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R9" i="1"/>
  <c r="R10"/>
  <c r="R11"/>
  <c r="R12"/>
  <c r="R13"/>
  <c r="R14"/>
  <c r="R15"/>
  <c r="R16"/>
  <c r="R17"/>
  <c r="R18"/>
  <c r="R19"/>
  <c r="R20"/>
  <c r="R21"/>
  <c r="R22"/>
  <c r="R23"/>
  <c r="R24"/>
  <c r="R8"/>
  <c r="N24"/>
  <c r="Q24" s="1"/>
  <c r="Q9"/>
  <c r="Q15"/>
  <c r="Q16"/>
  <c r="Q20"/>
  <c r="Q21"/>
  <c r="P19"/>
  <c r="P14"/>
  <c r="P13"/>
  <c r="P12"/>
  <c r="P11"/>
  <c r="P10"/>
  <c r="M23"/>
  <c r="M18"/>
  <c r="Q18" s="1"/>
  <c r="M17"/>
  <c r="Q17" s="1"/>
  <c r="M16"/>
  <c r="M24"/>
  <c r="M22"/>
  <c r="Q22" s="1"/>
  <c r="O19"/>
  <c r="N19"/>
  <c r="Q19" s="1"/>
  <c r="O14"/>
  <c r="N14"/>
  <c r="L23"/>
  <c r="L18"/>
  <c r="L16"/>
  <c r="O13"/>
  <c r="O12"/>
  <c r="O11"/>
  <c r="L24"/>
  <c r="K23"/>
  <c r="K18"/>
  <c r="K17"/>
  <c r="N13"/>
  <c r="N12"/>
  <c r="N11"/>
  <c r="K24"/>
  <c r="K13" s="1"/>
  <c r="L13"/>
  <c r="M13"/>
  <c r="J13"/>
  <c r="L19"/>
  <c r="M19"/>
  <c r="J23"/>
  <c r="K22"/>
  <c r="K19" s="1"/>
  <c r="K16"/>
  <c r="J18"/>
  <c r="Q13" l="1"/>
  <c r="Q23"/>
  <c r="P8"/>
  <c r="O10"/>
  <c r="O8" s="1"/>
  <c r="N10"/>
  <c r="J22"/>
  <c r="J19" s="1"/>
  <c r="Q10" l="1"/>
  <c r="N8"/>
  <c r="J17"/>
  <c r="M14"/>
  <c r="Q14" s="1"/>
  <c r="M12"/>
  <c r="Q12" s="1"/>
  <c r="M11"/>
  <c r="Q11" s="1"/>
  <c r="M10"/>
  <c r="J16"/>
  <c r="I23"/>
  <c r="I18"/>
  <c r="I17"/>
  <c r="M8" l="1"/>
  <c r="Q8" s="1"/>
  <c r="I22"/>
  <c r="L12"/>
  <c r="L11"/>
  <c r="L10"/>
  <c r="I16"/>
  <c r="L8" l="1"/>
  <c r="L14"/>
  <c r="I19"/>
  <c r="I11"/>
  <c r="H23"/>
  <c r="H22"/>
  <c r="G19"/>
  <c r="F19"/>
  <c r="E19"/>
  <c r="D19"/>
  <c r="I12"/>
  <c r="H18"/>
  <c r="G18"/>
  <c r="G12" s="1"/>
  <c r="F18"/>
  <c r="H17"/>
  <c r="G17"/>
  <c r="G14" s="1"/>
  <c r="F17"/>
  <c r="H16"/>
  <c r="K14"/>
  <c r="J14"/>
  <c r="F14"/>
  <c r="E14"/>
  <c r="D14"/>
  <c r="K12"/>
  <c r="J12"/>
  <c r="E12"/>
  <c r="D12"/>
  <c r="K11"/>
  <c r="J11"/>
  <c r="F11"/>
  <c r="E11"/>
  <c r="D11"/>
  <c r="K10"/>
  <c r="J10"/>
  <c r="J8" s="1"/>
  <c r="I10"/>
  <c r="G10"/>
  <c r="F10"/>
  <c r="E10"/>
  <c r="E8" s="1"/>
  <c r="D10"/>
  <c r="H19" l="1"/>
  <c r="G11"/>
  <c r="K8"/>
  <c r="G8"/>
  <c r="H14"/>
  <c r="F12"/>
  <c r="F8" s="1"/>
  <c r="D8"/>
  <c r="H10"/>
  <c r="H11"/>
  <c r="I14"/>
  <c r="I8"/>
  <c r="H12"/>
  <c r="H8" l="1"/>
</calcChain>
</file>

<file path=xl/sharedStrings.xml><?xml version="1.0" encoding="utf-8"?>
<sst xmlns="http://schemas.openxmlformats.org/spreadsheetml/2006/main" count="46" uniqueCount="36">
  <si>
    <t xml:space="preserve">к муниципальной  программе «Управление  муниципальными финансами» </t>
  </si>
  <si>
    <t>Статус</t>
  </si>
  <si>
    <t>Наименование муниципальной программы, подпрограммы муниципальной программы</t>
  </si>
  <si>
    <t>Оценка расходов (рублей), годы</t>
  </si>
  <si>
    <t>2014 год</t>
  </si>
  <si>
    <t>2015 год</t>
  </si>
  <si>
    <t>2016 год</t>
  </si>
  <si>
    <t xml:space="preserve"> 2017 год</t>
  </si>
  <si>
    <t xml:space="preserve"> 2018 год</t>
  </si>
  <si>
    <t>Муниципальная  программа</t>
  </si>
  <si>
    <t xml:space="preserve">«Управление муниципальными финансами» </t>
  </si>
  <si>
    <t xml:space="preserve">Всего                    </t>
  </si>
  <si>
    <t xml:space="preserve">в том числе:             </t>
  </si>
  <si>
    <t xml:space="preserve">федеральный бюджет </t>
  </si>
  <si>
    <t xml:space="preserve">краевой бюджет           </t>
  </si>
  <si>
    <t xml:space="preserve">бюджет муниципального образования  </t>
  </si>
  <si>
    <t>Подпрограмма 1</t>
  </si>
  <si>
    <t>«Создание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района»</t>
  </si>
  <si>
    <t xml:space="preserve">бюджет муниципального  образования   </t>
  </si>
  <si>
    <t>Подпрограмма 2</t>
  </si>
  <si>
    <t>«Обеспечение реализации муниципальной программы»</t>
  </si>
  <si>
    <t>бюджет муниципального  образования</t>
  </si>
  <si>
    <t xml:space="preserve"> 2019 год</t>
  </si>
  <si>
    <t xml:space="preserve"> 2020 год</t>
  </si>
  <si>
    <t xml:space="preserve"> 2021 год</t>
  </si>
  <si>
    <t>Источник            финансирования</t>
  </si>
  <si>
    <t>2022 год</t>
  </si>
  <si>
    <t>Ресурсное обеспечение и прогнозная оценка расходов на реализацию целей муниципальной программы Богучанского района  с учетом источников финансирования, 
в том числе по уровням бюджетной системы</t>
  </si>
  <si>
    <t>Приложение № 3</t>
  </si>
  <si>
    <t>2023 год</t>
  </si>
  <si>
    <t>бюджет поселений</t>
  </si>
  <si>
    <t>2024 год</t>
  </si>
  <si>
    <t>2025 год</t>
  </si>
  <si>
    <t xml:space="preserve"> </t>
  </si>
  <si>
    <t>2026 год</t>
  </si>
  <si>
    <t>Итого за 2023-2026 годы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</si>
</sst>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horizontal="left" indent="15"/>
    </xf>
    <xf numFmtId="43" fontId="2" fillId="0" borderId="1" xfId="1" applyFont="1" applyBorder="1" applyAlignment="1">
      <alignment horizontal="right"/>
    </xf>
    <xf numFmtId="43" fontId="0" fillId="0" borderId="1" xfId="1" applyFont="1" applyBorder="1" applyAlignment="1">
      <alignment vertical="top"/>
    </xf>
    <xf numFmtId="43" fontId="2" fillId="0" borderId="1" xfId="1" applyFont="1" applyBorder="1" applyAlignment="1">
      <alignment horizontal="center" vertical="top"/>
    </xf>
    <xf numFmtId="43" fontId="2" fillId="0" borderId="1" xfId="1" applyFont="1" applyBorder="1" applyAlignment="1">
      <alignment vertical="top"/>
    </xf>
    <xf numFmtId="43" fontId="2" fillId="0" borderId="1" xfId="1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vertical="top" wrapText="1"/>
    </xf>
    <xf numFmtId="43" fontId="2" fillId="0" borderId="1" xfId="1" applyFont="1" applyFill="1" applyBorder="1" applyAlignment="1">
      <alignment horizontal="center" vertical="top"/>
    </xf>
    <xf numFmtId="43" fontId="0" fillId="0" borderId="1" xfId="1" applyFont="1" applyFill="1" applyBorder="1" applyAlignment="1">
      <alignment vertical="top"/>
    </xf>
    <xf numFmtId="43" fontId="2" fillId="0" borderId="1" xfId="1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 wrapText="1"/>
    </xf>
    <xf numFmtId="43" fontId="2" fillId="0" borderId="1" xfId="1" applyFont="1" applyFill="1" applyBorder="1" applyAlignment="1">
      <alignment horizontal="right"/>
    </xf>
    <xf numFmtId="0" fontId="0" fillId="0" borderId="0" xfId="0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3" fillId="0" borderId="0" xfId="0" applyFont="1"/>
    <xf numFmtId="43" fontId="2" fillId="0" borderId="1" xfId="1" applyFont="1" applyFill="1" applyBorder="1" applyAlignment="1">
      <alignment horizontal="right" vertical="top"/>
    </xf>
    <xf numFmtId="43" fontId="0" fillId="0" borderId="0" xfId="0" applyNumberFormat="1"/>
    <xf numFmtId="0" fontId="2" fillId="0" borderId="4" xfId="0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0" fillId="0" borderId="1" xfId="0" applyBorder="1"/>
    <xf numFmtId="0" fontId="0" fillId="0" borderId="1" xfId="0" applyFill="1" applyBorder="1"/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5"/>
  <sheetViews>
    <sheetView tabSelected="1" workbookViewId="0">
      <selection activeCell="R1" sqref="R1:R1048576"/>
    </sheetView>
  </sheetViews>
  <sheetFormatPr defaultRowHeight="15"/>
  <cols>
    <col min="1" max="1" width="13.140625" customWidth="1"/>
    <col min="2" max="2" width="24.85546875" customWidth="1"/>
    <col min="3" max="3" width="20.42578125" customWidth="1"/>
    <col min="4" max="4" width="15.42578125" hidden="1" customWidth="1"/>
    <col min="5" max="5" width="15" hidden="1" customWidth="1"/>
    <col min="6" max="6" width="14.5703125" hidden="1" customWidth="1"/>
    <col min="7" max="7" width="15.140625" hidden="1" customWidth="1"/>
    <col min="8" max="8" width="15.28515625" style="13" hidden="1" customWidth="1"/>
    <col min="9" max="9" width="18.42578125" style="13" hidden="1" customWidth="1"/>
    <col min="10" max="10" width="19" style="13" hidden="1" customWidth="1"/>
    <col min="11" max="11" width="16.5703125" style="13" hidden="1" customWidth="1"/>
    <col min="12" max="12" width="17" style="13" hidden="1" customWidth="1"/>
    <col min="13" max="16" width="17" style="13" customWidth="1"/>
    <col min="17" max="17" width="19.140625" style="13" customWidth="1"/>
    <col min="18" max="18" width="18.140625" hidden="1" customWidth="1"/>
  </cols>
  <sheetData>
    <row r="1" spans="1:18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8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8">
      <c r="A3" s="1"/>
    </row>
    <row r="4" spans="1:18" ht="31.5" customHeight="1">
      <c r="A4" s="28" t="s">
        <v>27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6" spans="1:18" ht="29.25" customHeight="1">
      <c r="A6" s="33" t="s">
        <v>1</v>
      </c>
      <c r="B6" s="33" t="s">
        <v>2</v>
      </c>
      <c r="C6" s="25" t="s">
        <v>25</v>
      </c>
      <c r="D6" s="16" t="s">
        <v>3</v>
      </c>
      <c r="E6" s="16"/>
      <c r="F6" s="16"/>
      <c r="G6" s="16"/>
      <c r="H6" s="16"/>
      <c r="I6" s="20"/>
      <c r="J6" s="29" t="s">
        <v>3</v>
      </c>
      <c r="K6" s="30"/>
      <c r="L6" s="30"/>
      <c r="M6" s="30"/>
      <c r="N6" s="30"/>
      <c r="O6" s="30"/>
      <c r="P6" s="30"/>
      <c r="Q6" s="31"/>
    </row>
    <row r="7" spans="1:18" ht="29.25" customHeight="1">
      <c r="A7" s="33"/>
      <c r="B7" s="33"/>
      <c r="C7" s="26"/>
      <c r="D7" s="14" t="s">
        <v>4</v>
      </c>
      <c r="E7" s="14" t="s">
        <v>5</v>
      </c>
      <c r="F7" s="14" t="s">
        <v>6</v>
      </c>
      <c r="G7" s="11" t="s">
        <v>7</v>
      </c>
      <c r="H7" s="11" t="s">
        <v>8</v>
      </c>
      <c r="I7" s="11" t="s">
        <v>22</v>
      </c>
      <c r="J7" s="11" t="s">
        <v>23</v>
      </c>
      <c r="K7" s="11" t="s">
        <v>24</v>
      </c>
      <c r="L7" s="11" t="s">
        <v>26</v>
      </c>
      <c r="M7" s="11" t="s">
        <v>29</v>
      </c>
      <c r="N7" s="11" t="s">
        <v>31</v>
      </c>
      <c r="O7" s="11" t="s">
        <v>32</v>
      </c>
      <c r="P7" s="11" t="s">
        <v>34</v>
      </c>
      <c r="Q7" s="11" t="s">
        <v>35</v>
      </c>
    </row>
    <row r="8" spans="1:18" ht="15" customHeight="1">
      <c r="A8" s="34" t="s">
        <v>9</v>
      </c>
      <c r="B8" s="34" t="s">
        <v>10</v>
      </c>
      <c r="C8" s="15" t="s">
        <v>11</v>
      </c>
      <c r="D8" s="2">
        <f t="shared" ref="D8:I8" si="0">SUM(D10:D12)</f>
        <v>119947028.32000001</v>
      </c>
      <c r="E8" s="2">
        <f t="shared" si="0"/>
        <v>131070344.61</v>
      </c>
      <c r="F8" s="2">
        <f t="shared" si="0"/>
        <v>118476136.76000001</v>
      </c>
      <c r="G8" s="12">
        <f t="shared" si="0"/>
        <v>125854911.55</v>
      </c>
      <c r="H8" s="12">
        <f t="shared" si="0"/>
        <v>122974582.41999999</v>
      </c>
      <c r="I8" s="12">
        <f t="shared" si="0"/>
        <v>135149647.28</v>
      </c>
      <c r="J8" s="12">
        <f>SUM(J10:J13)</f>
        <v>159960160.05000001</v>
      </c>
      <c r="K8" s="12">
        <f t="shared" ref="K8:P8" si="1">SUM(K10:K13)</f>
        <v>182090064.75999999</v>
      </c>
      <c r="L8" s="12">
        <f t="shared" si="1"/>
        <v>186940748.17000002</v>
      </c>
      <c r="M8" s="12">
        <f t="shared" si="1"/>
        <v>207828682.30000001</v>
      </c>
      <c r="N8" s="12">
        <f t="shared" si="1"/>
        <v>205272224</v>
      </c>
      <c r="O8" s="12">
        <f t="shared" si="1"/>
        <v>170485924</v>
      </c>
      <c r="P8" s="12">
        <f t="shared" si="1"/>
        <v>163683124</v>
      </c>
      <c r="Q8" s="18">
        <f>SUM(M8+N8+O8+P8)</f>
        <v>747269954.29999995</v>
      </c>
      <c r="R8" s="19">
        <f>SUM(D8:P8)</f>
        <v>2029733578.22</v>
      </c>
    </row>
    <row r="9" spans="1:18">
      <c r="A9" s="35"/>
      <c r="B9" s="35"/>
      <c r="C9" s="15" t="s">
        <v>12</v>
      </c>
      <c r="D9" s="3"/>
      <c r="E9" s="3"/>
      <c r="F9" s="3"/>
      <c r="G9" s="9"/>
      <c r="H9" s="6"/>
      <c r="I9" s="6"/>
      <c r="J9" s="6"/>
      <c r="K9" s="6"/>
      <c r="L9" s="6"/>
      <c r="M9" s="6"/>
      <c r="N9" s="6"/>
      <c r="O9" s="6"/>
      <c r="P9" s="6"/>
      <c r="Q9" s="18">
        <f t="shared" ref="Q9:Q24" si="2">SUM(M9+N9+O9+P9)</f>
        <v>0</v>
      </c>
      <c r="R9" s="19">
        <f t="shared" ref="R9:R24" si="3">SUM(D9:P9)</f>
        <v>0</v>
      </c>
    </row>
    <row r="10" spans="1:18">
      <c r="A10" s="35"/>
      <c r="B10" s="35"/>
      <c r="C10" s="15" t="s">
        <v>13</v>
      </c>
      <c r="D10" s="4">
        <f>SUM(D16+D21)</f>
        <v>4273900</v>
      </c>
      <c r="E10" s="4">
        <f t="shared" ref="E10:P12" si="4">SUM(E16+E21)</f>
        <v>4971820</v>
      </c>
      <c r="F10" s="4">
        <f t="shared" si="4"/>
        <v>4321800</v>
      </c>
      <c r="G10" s="8">
        <f t="shared" si="4"/>
        <v>4131005</v>
      </c>
      <c r="H10" s="8">
        <f t="shared" si="4"/>
        <v>4966396.9000000004</v>
      </c>
      <c r="I10" s="8">
        <f t="shared" si="4"/>
        <v>5944770.0300000003</v>
      </c>
      <c r="J10" s="8">
        <f t="shared" si="4"/>
        <v>5529900</v>
      </c>
      <c r="K10" s="8">
        <f t="shared" si="4"/>
        <v>5498800</v>
      </c>
      <c r="L10" s="8">
        <f t="shared" si="4"/>
        <v>5647725.2999999998</v>
      </c>
      <c r="M10" s="8">
        <f t="shared" si="4"/>
        <v>6598262.75</v>
      </c>
      <c r="N10" s="8">
        <f t="shared" si="4"/>
        <v>6537700</v>
      </c>
      <c r="O10" s="8">
        <f t="shared" si="4"/>
        <v>6802800</v>
      </c>
      <c r="P10" s="8">
        <f t="shared" si="4"/>
        <v>0</v>
      </c>
      <c r="Q10" s="18">
        <f t="shared" si="2"/>
        <v>19938762.75</v>
      </c>
      <c r="R10" s="19">
        <f t="shared" si="3"/>
        <v>65224879.979999997</v>
      </c>
    </row>
    <row r="11" spans="1:18">
      <c r="A11" s="35"/>
      <c r="B11" s="35"/>
      <c r="C11" s="15" t="s">
        <v>14</v>
      </c>
      <c r="D11" s="4">
        <f>SUM(D17+D22)</f>
        <v>26885848</v>
      </c>
      <c r="E11" s="4">
        <f t="shared" si="4"/>
        <v>31431287</v>
      </c>
      <c r="F11" s="4">
        <f t="shared" si="4"/>
        <v>25358900</v>
      </c>
      <c r="G11" s="8">
        <f t="shared" si="4"/>
        <v>34088060</v>
      </c>
      <c r="H11" s="8">
        <f t="shared" si="4"/>
        <v>46410067</v>
      </c>
      <c r="I11" s="8">
        <f t="shared" si="4"/>
        <v>49855049.969999999</v>
      </c>
      <c r="J11" s="8">
        <f t="shared" si="4"/>
        <v>59487815</v>
      </c>
      <c r="K11" s="8">
        <f t="shared" si="4"/>
        <v>63033387</v>
      </c>
      <c r="L11" s="8">
        <f t="shared" si="4"/>
        <v>66344147</v>
      </c>
      <c r="M11" s="8">
        <f t="shared" si="4"/>
        <v>87518393.590000004</v>
      </c>
      <c r="N11" s="8">
        <f t="shared" si="4"/>
        <v>76582500</v>
      </c>
      <c r="O11" s="8">
        <f t="shared" si="4"/>
        <v>61331000</v>
      </c>
      <c r="P11" s="8">
        <f t="shared" si="4"/>
        <v>61331000</v>
      </c>
      <c r="Q11" s="18">
        <f t="shared" si="2"/>
        <v>286762893.59000003</v>
      </c>
      <c r="R11" s="19">
        <f t="shared" si="3"/>
        <v>689657454.56000006</v>
      </c>
    </row>
    <row r="12" spans="1:18" ht="24">
      <c r="A12" s="35"/>
      <c r="B12" s="35"/>
      <c r="C12" s="15" t="s">
        <v>15</v>
      </c>
      <c r="D12" s="4">
        <f>SUM(D18+D23)</f>
        <v>88787280.320000008</v>
      </c>
      <c r="E12" s="4">
        <f t="shared" si="4"/>
        <v>94667237.609999999</v>
      </c>
      <c r="F12" s="4">
        <f t="shared" si="4"/>
        <v>88795436.760000005</v>
      </c>
      <c r="G12" s="4">
        <f>SUM(G18+G23)</f>
        <v>87635846.549999997</v>
      </c>
      <c r="H12" s="8">
        <f t="shared" si="4"/>
        <v>71598118.519999996</v>
      </c>
      <c r="I12" s="8">
        <f t="shared" si="4"/>
        <v>79349827.280000001</v>
      </c>
      <c r="J12" s="8">
        <f t="shared" si="4"/>
        <v>94364163.049999997</v>
      </c>
      <c r="K12" s="8">
        <f t="shared" si="4"/>
        <v>112877511.75999999</v>
      </c>
      <c r="L12" s="8">
        <f t="shared" si="4"/>
        <v>114216328.87</v>
      </c>
      <c r="M12" s="8">
        <f t="shared" si="4"/>
        <v>112903165</v>
      </c>
      <c r="N12" s="8">
        <f t="shared" si="4"/>
        <v>121341334</v>
      </c>
      <c r="O12" s="8">
        <f t="shared" si="4"/>
        <v>101541434</v>
      </c>
      <c r="P12" s="8">
        <f t="shared" si="4"/>
        <v>101541434</v>
      </c>
      <c r="Q12" s="18">
        <f t="shared" si="2"/>
        <v>437327367</v>
      </c>
      <c r="R12" s="19">
        <f t="shared" si="3"/>
        <v>1269619117.7199998</v>
      </c>
    </row>
    <row r="13" spans="1:18">
      <c r="A13" s="36"/>
      <c r="B13" s="36"/>
      <c r="C13" s="21" t="s">
        <v>30</v>
      </c>
      <c r="D13" s="4"/>
      <c r="E13" s="4"/>
      <c r="F13" s="4"/>
      <c r="G13" s="4"/>
      <c r="H13" s="8"/>
      <c r="I13" s="8"/>
      <c r="J13" s="8">
        <f>SUM(J24)</f>
        <v>578282</v>
      </c>
      <c r="K13" s="8">
        <f t="shared" ref="K13:P13" si="5">SUM(K24)</f>
        <v>680366</v>
      </c>
      <c r="L13" s="8">
        <f t="shared" si="5"/>
        <v>732547</v>
      </c>
      <c r="M13" s="8">
        <f t="shared" si="5"/>
        <v>808860.96</v>
      </c>
      <c r="N13" s="8">
        <f t="shared" si="5"/>
        <v>810690</v>
      </c>
      <c r="O13" s="8">
        <f t="shared" si="5"/>
        <v>810690</v>
      </c>
      <c r="P13" s="8">
        <f t="shared" si="5"/>
        <v>810690</v>
      </c>
      <c r="Q13" s="18">
        <f t="shared" si="2"/>
        <v>3240930.96</v>
      </c>
      <c r="R13" s="19">
        <f t="shared" si="3"/>
        <v>5232125.96</v>
      </c>
    </row>
    <row r="14" spans="1:18" ht="21" customHeight="1">
      <c r="A14" s="32" t="s">
        <v>16</v>
      </c>
      <c r="B14" s="32" t="s">
        <v>17</v>
      </c>
      <c r="C14" s="15" t="s">
        <v>11</v>
      </c>
      <c r="D14" s="8">
        <f>SUM(D16:D18)</f>
        <v>107619441.76000001</v>
      </c>
      <c r="E14" s="8">
        <f t="shared" ref="E14:P14" si="6">SUM(E16:E18)</f>
        <v>119335807</v>
      </c>
      <c r="F14" s="8">
        <f t="shared" si="6"/>
        <v>105812600</v>
      </c>
      <c r="G14" s="8">
        <f t="shared" si="6"/>
        <v>113163883</v>
      </c>
      <c r="H14" s="8">
        <f t="shared" si="6"/>
        <v>110033705.3</v>
      </c>
      <c r="I14" s="8">
        <f t="shared" si="6"/>
        <v>119980509</v>
      </c>
      <c r="J14" s="8">
        <f t="shared" si="6"/>
        <v>142831913</v>
      </c>
      <c r="K14" s="8">
        <f t="shared" si="6"/>
        <v>162612986</v>
      </c>
      <c r="L14" s="8">
        <f t="shared" si="6"/>
        <v>166505233.30000001</v>
      </c>
      <c r="M14" s="8">
        <f t="shared" si="6"/>
        <v>184976081.34</v>
      </c>
      <c r="N14" s="8">
        <f t="shared" si="6"/>
        <v>182118400</v>
      </c>
      <c r="O14" s="8">
        <f t="shared" si="6"/>
        <v>147332100</v>
      </c>
      <c r="P14" s="8">
        <f t="shared" si="6"/>
        <v>140529300</v>
      </c>
      <c r="Q14" s="18">
        <f t="shared" si="2"/>
        <v>654955881.34000003</v>
      </c>
      <c r="R14" s="19">
        <f t="shared" si="3"/>
        <v>1802851959.6999998</v>
      </c>
    </row>
    <row r="15" spans="1:18">
      <c r="A15" s="32"/>
      <c r="B15" s="32"/>
      <c r="C15" s="15" t="s">
        <v>12</v>
      </c>
      <c r="D15" s="9"/>
      <c r="E15" s="9"/>
      <c r="F15" s="9"/>
      <c r="G15" s="9"/>
      <c r="H15" s="6"/>
      <c r="I15" s="6"/>
      <c r="J15" s="6"/>
      <c r="K15" s="6"/>
      <c r="L15" s="6"/>
      <c r="M15" s="6"/>
      <c r="N15" s="6"/>
      <c r="O15" s="6"/>
      <c r="P15" s="6"/>
      <c r="Q15" s="18">
        <f t="shared" si="2"/>
        <v>0</v>
      </c>
      <c r="R15" s="19">
        <f t="shared" si="3"/>
        <v>0</v>
      </c>
    </row>
    <row r="16" spans="1:18" ht="25.5" customHeight="1">
      <c r="A16" s="32"/>
      <c r="B16" s="32"/>
      <c r="C16" s="15" t="s">
        <v>13</v>
      </c>
      <c r="D16" s="8">
        <v>4273900</v>
      </c>
      <c r="E16" s="8">
        <v>4971820</v>
      </c>
      <c r="F16" s="8">
        <v>4321800</v>
      </c>
      <c r="G16" s="8">
        <v>4131005</v>
      </c>
      <c r="H16" s="6">
        <f>4629100+337296.9</f>
        <v>4966396.9000000004</v>
      </c>
      <c r="I16" s="6">
        <f>4289600+421000+1421770.03-187600</f>
        <v>5944770.0300000003</v>
      </c>
      <c r="J16" s="6">
        <f>4642400+571900+315600</f>
        <v>5529900</v>
      </c>
      <c r="K16" s="6">
        <f>4948600+550200</f>
        <v>5498800</v>
      </c>
      <c r="L16" s="6">
        <f>5767725.3-120000</f>
        <v>5647725.2999999998</v>
      </c>
      <c r="M16" s="6">
        <f>5370200+917800+310262.75</f>
        <v>6598262.75</v>
      </c>
      <c r="N16" s="6">
        <v>6537700</v>
      </c>
      <c r="O16" s="6">
        <v>6802800</v>
      </c>
      <c r="P16" s="6">
        <v>0</v>
      </c>
      <c r="Q16" s="18">
        <f t="shared" si="2"/>
        <v>19938762.75</v>
      </c>
      <c r="R16" s="19">
        <f t="shared" si="3"/>
        <v>65224879.979999997</v>
      </c>
    </row>
    <row r="17" spans="1:23">
      <c r="A17" s="32"/>
      <c r="B17" s="32"/>
      <c r="C17" s="15" t="s">
        <v>14</v>
      </c>
      <c r="D17" s="8">
        <v>26883464</v>
      </c>
      <c r="E17" s="8">
        <v>31231287</v>
      </c>
      <c r="F17" s="8">
        <f>24063400+1295500</f>
        <v>25358900</v>
      </c>
      <c r="G17" s="10">
        <f>26666200+178100+3780740+350000+3100000</f>
        <v>34075040</v>
      </c>
      <c r="H17" s="7">
        <f>37201800+178200+5300+2389025+215000+2430862+9200+3034000+222380</f>
        <v>45685767</v>
      </c>
      <c r="I17" s="7">
        <f>213800+41401000+2245000+74829.97+2957520+1433000+1800+604100+222000+60000+167000</f>
        <v>49380049.969999999</v>
      </c>
      <c r="J17" s="7">
        <f>222300+1543000+36855700+60600+3500000+6888400+1246000+20100+280000+4447040+2251000+1600+669273</f>
        <v>57985013</v>
      </c>
      <c r="K17" s="7">
        <f>94700+265800+42780600+10000000+1191914+35000+7490190+1110000</f>
        <v>62968204</v>
      </c>
      <c r="L17" s="7">
        <v>65365786</v>
      </c>
      <c r="M17" s="7">
        <f>60319000+437000+1718800+58308.34+8485112+2727811+1243290+7200+3270250+240000+4745310-310262.75+4021600</f>
        <v>86963418.590000004</v>
      </c>
      <c r="N17" s="7">
        <v>76582500</v>
      </c>
      <c r="O17" s="7">
        <v>61331000</v>
      </c>
      <c r="P17" s="7">
        <v>61331000</v>
      </c>
      <c r="Q17" s="18">
        <f t="shared" si="2"/>
        <v>286207918.59000003</v>
      </c>
      <c r="R17" s="19">
        <f t="shared" si="3"/>
        <v>685141429.56000006</v>
      </c>
    </row>
    <row r="18" spans="1:23" ht="30" customHeight="1">
      <c r="A18" s="32"/>
      <c r="B18" s="32"/>
      <c r="C18" s="15" t="s">
        <v>18</v>
      </c>
      <c r="D18" s="8">
        <v>76462077.760000005</v>
      </c>
      <c r="E18" s="8">
        <v>83132700</v>
      </c>
      <c r="F18" s="8">
        <f>72340900+1250000+1128000+1413000</f>
        <v>76131900</v>
      </c>
      <c r="G18" s="10">
        <f>36937338+37521500+389000+110000</f>
        <v>74957838</v>
      </c>
      <c r="H18" s="6">
        <f>22623400+32759700+817141.4+185300+200000+400000+1826000+570000</f>
        <v>59381541.399999999</v>
      </c>
      <c r="I18" s="6">
        <f>40060600+37390300-15638200+29932+305000+55000+181000+623000+1200000+281500+167497+60</f>
        <v>64655689</v>
      </c>
      <c r="J18" s="6">
        <f>34714100+37946900+3600000+1671000+1285000+100000</f>
        <v>79317000</v>
      </c>
      <c r="K18" s="6">
        <f>50653600+36570000+4274982+1229400+1418000</f>
        <v>94145982</v>
      </c>
      <c r="L18" s="6">
        <f>93991722+1500000</f>
        <v>95491722</v>
      </c>
      <c r="M18" s="6">
        <f>88957500+300000+827016-76116+48600+1752250-394850</f>
        <v>91414400</v>
      </c>
      <c r="N18" s="6">
        <v>98998200</v>
      </c>
      <c r="O18" s="6">
        <v>79198300</v>
      </c>
      <c r="P18" s="6">
        <v>79198300</v>
      </c>
      <c r="Q18" s="18">
        <f t="shared" si="2"/>
        <v>348809200</v>
      </c>
      <c r="R18" s="19">
        <f t="shared" si="3"/>
        <v>1052485650.16</v>
      </c>
    </row>
    <row r="19" spans="1:23" ht="21" customHeight="1">
      <c r="A19" s="24" t="s">
        <v>19</v>
      </c>
      <c r="B19" s="24" t="s">
        <v>20</v>
      </c>
      <c r="C19" s="21" t="s">
        <v>11</v>
      </c>
      <c r="D19" s="4">
        <f>SUM(D21:D23)</f>
        <v>12327586.560000001</v>
      </c>
      <c r="E19" s="4">
        <f t="shared" ref="E19:I19" si="7">SUM(E21:E23)</f>
        <v>11734537.609999999</v>
      </c>
      <c r="F19" s="4">
        <f t="shared" si="7"/>
        <v>12663536.76</v>
      </c>
      <c r="G19" s="8">
        <f>SUM(G21:G23)</f>
        <v>12691028.550000001</v>
      </c>
      <c r="H19" s="8">
        <f t="shared" si="7"/>
        <v>12940877.119999999</v>
      </c>
      <c r="I19" s="8">
        <f t="shared" si="7"/>
        <v>15169138.279999999</v>
      </c>
      <c r="J19" s="8">
        <f>SUM(J21:J24)</f>
        <v>17128247.050000001</v>
      </c>
      <c r="K19" s="8">
        <f t="shared" ref="K19:P19" si="8">SUM(K21:K24)</f>
        <v>19477078.759999998</v>
      </c>
      <c r="L19" s="8">
        <f t="shared" si="8"/>
        <v>20435514.870000001</v>
      </c>
      <c r="M19" s="8">
        <f t="shared" si="8"/>
        <v>22852600.960000001</v>
      </c>
      <c r="N19" s="8">
        <f t="shared" si="8"/>
        <v>23153824</v>
      </c>
      <c r="O19" s="8">
        <f t="shared" si="8"/>
        <v>23153824</v>
      </c>
      <c r="P19" s="8">
        <f t="shared" si="8"/>
        <v>23153824</v>
      </c>
      <c r="Q19" s="18">
        <f t="shared" si="2"/>
        <v>92314072.960000008</v>
      </c>
      <c r="R19" s="19">
        <f t="shared" si="3"/>
        <v>226881618.52000001</v>
      </c>
      <c r="W19" t="s">
        <v>33</v>
      </c>
    </row>
    <row r="20" spans="1:23">
      <c r="A20" s="24"/>
      <c r="B20" s="24"/>
      <c r="C20" s="21" t="s">
        <v>12</v>
      </c>
      <c r="D20" s="4"/>
      <c r="E20" s="4"/>
      <c r="F20" s="4"/>
      <c r="G20" s="8"/>
      <c r="H20" s="6"/>
      <c r="I20" s="6"/>
      <c r="J20" s="6"/>
      <c r="K20" s="6"/>
      <c r="L20" s="6"/>
      <c r="M20" s="6"/>
      <c r="N20" s="6"/>
      <c r="O20" s="6"/>
      <c r="P20" s="6"/>
      <c r="Q20" s="18">
        <f t="shared" si="2"/>
        <v>0</v>
      </c>
      <c r="R20" s="19">
        <f t="shared" si="3"/>
        <v>0</v>
      </c>
    </row>
    <row r="21" spans="1:23">
      <c r="A21" s="24"/>
      <c r="B21" s="24"/>
      <c r="C21" s="21" t="s">
        <v>13</v>
      </c>
      <c r="D21" s="4"/>
      <c r="E21" s="4"/>
      <c r="F21" s="4"/>
      <c r="G21" s="8"/>
      <c r="H21" s="6"/>
      <c r="I21" s="6"/>
      <c r="J21" s="6"/>
      <c r="K21" s="6"/>
      <c r="L21" s="6"/>
      <c r="M21" s="6"/>
      <c r="N21" s="6"/>
      <c r="O21" s="6"/>
      <c r="P21" s="6"/>
      <c r="Q21" s="18">
        <f t="shared" si="2"/>
        <v>0</v>
      </c>
      <c r="R21" s="19">
        <f t="shared" si="3"/>
        <v>0</v>
      </c>
    </row>
    <row r="22" spans="1:23">
      <c r="A22" s="24"/>
      <c r="B22" s="24"/>
      <c r="C22" s="21" t="s">
        <v>14</v>
      </c>
      <c r="D22" s="4">
        <v>2384</v>
      </c>
      <c r="E22" s="4">
        <v>200000</v>
      </c>
      <c r="F22" s="4"/>
      <c r="G22" s="8">
        <v>13020</v>
      </c>
      <c r="H22" s="6">
        <f>354700+369600</f>
        <v>724300</v>
      </c>
      <c r="I22" s="6">
        <f>125400+228000+108600+13000</f>
        <v>475000</v>
      </c>
      <c r="J22" s="6">
        <f>89000+1231300+182502</f>
        <v>1502802</v>
      </c>
      <c r="K22" s="6">
        <f>65183</f>
        <v>65183</v>
      </c>
      <c r="L22" s="6">
        <v>978361</v>
      </c>
      <c r="M22" s="6">
        <f>94700+460275</f>
        <v>554975</v>
      </c>
      <c r="N22" s="6"/>
      <c r="O22" s="6"/>
      <c r="P22" s="6"/>
      <c r="Q22" s="18">
        <f t="shared" si="2"/>
        <v>554975</v>
      </c>
      <c r="R22" s="19">
        <f t="shared" si="3"/>
        <v>4516025</v>
      </c>
    </row>
    <row r="23" spans="1:23" ht="24">
      <c r="A23" s="24"/>
      <c r="B23" s="24"/>
      <c r="C23" s="21" t="s">
        <v>21</v>
      </c>
      <c r="D23" s="4">
        <v>12325202.560000001</v>
      </c>
      <c r="E23" s="4">
        <v>11534537.609999999</v>
      </c>
      <c r="F23" s="4">
        <v>12663536.76</v>
      </c>
      <c r="G23" s="5">
        <v>12678008.550000001</v>
      </c>
      <c r="H23" s="10">
        <f>12572336+15356+26647-397761.88</f>
        <v>12216577.119999999</v>
      </c>
      <c r="I23" s="10">
        <f>14621770+5149+198000-130720.72-60</f>
        <v>14694138.279999999</v>
      </c>
      <c r="J23" s="10">
        <f>15814518-89000-110000+58400+4495+120000-172967.95-578282</f>
        <v>15047163.050000001</v>
      </c>
      <c r="K23" s="10">
        <f>18903105+1407445.2-641476+220000-1157544.44</f>
        <v>18731529.759999998</v>
      </c>
      <c r="L23" s="10">
        <f>19663555-938948.13</f>
        <v>18724606.870000001</v>
      </c>
      <c r="M23" s="10">
        <f>21040765+200000+248000</f>
        <v>21488765</v>
      </c>
      <c r="N23" s="10">
        <v>22343134</v>
      </c>
      <c r="O23" s="10">
        <v>22343134</v>
      </c>
      <c r="P23" s="10">
        <v>22343134</v>
      </c>
      <c r="Q23" s="18">
        <f t="shared" si="2"/>
        <v>88518167</v>
      </c>
      <c r="R23" s="19">
        <f t="shared" si="3"/>
        <v>217133467.56</v>
      </c>
    </row>
    <row r="24" spans="1:23">
      <c r="A24" s="24"/>
      <c r="B24" s="24"/>
      <c r="C24" s="21" t="s">
        <v>30</v>
      </c>
      <c r="D24" s="22"/>
      <c r="E24" s="22"/>
      <c r="F24" s="22"/>
      <c r="G24" s="22"/>
      <c r="H24" s="23"/>
      <c r="I24" s="23"/>
      <c r="J24" s="10">
        <v>578282</v>
      </c>
      <c r="K24" s="10">
        <f>641476+38890</f>
        <v>680366</v>
      </c>
      <c r="L24" s="10">
        <f>703323+29224</f>
        <v>732547</v>
      </c>
      <c r="M24" s="10">
        <f>764039+23325+21496.96</f>
        <v>808860.96</v>
      </c>
      <c r="N24" s="10">
        <f>785690+25000</f>
        <v>810690</v>
      </c>
      <c r="O24" s="10">
        <v>810690</v>
      </c>
      <c r="P24" s="10">
        <v>810690</v>
      </c>
      <c r="Q24" s="18">
        <f t="shared" si="2"/>
        <v>3240930.96</v>
      </c>
      <c r="R24" s="19">
        <f t="shared" si="3"/>
        <v>5232125.96</v>
      </c>
    </row>
    <row r="25" spans="1:23">
      <c r="B25" s="17"/>
    </row>
  </sheetData>
  <mergeCells count="13">
    <mergeCell ref="A19:A24"/>
    <mergeCell ref="B19:B24"/>
    <mergeCell ref="C6:C7"/>
    <mergeCell ref="A1:Q1"/>
    <mergeCell ref="A2:Q2"/>
    <mergeCell ref="A4:Q4"/>
    <mergeCell ref="J6:Q6"/>
    <mergeCell ref="A14:A18"/>
    <mergeCell ref="B14:B18"/>
    <mergeCell ref="A6:A7"/>
    <mergeCell ref="B6:B7"/>
    <mergeCell ref="A8:A13"/>
    <mergeCell ref="B8:B13"/>
  </mergeCells>
  <pageMargins left="0.31496062992125984" right="0.11811023622047245" top="0.15748031496062992" bottom="0.15748031496062992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2023-11-10T01:45:22Z</cp:lastPrinted>
  <dcterms:created xsi:type="dcterms:W3CDTF">2016-07-29T05:37:53Z</dcterms:created>
  <dcterms:modified xsi:type="dcterms:W3CDTF">2023-11-10T01:45:38Z</dcterms:modified>
</cp:coreProperties>
</file>