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Дороги" sheetId="1" r:id="rId1"/>
    <sheet name="Транспорт" sheetId="2" r:id="rId2"/>
    <sheet name="БДД" sheetId="3" r:id="rId3"/>
    <sheet name="прил 2 к МП" sheetId="4" r:id="rId4"/>
    <sheet name="прил 3 к МП" sheetId="5" r:id="rId5"/>
  </sheets>
  <calcPr calcId="125725"/>
</workbook>
</file>

<file path=xl/calcChain.xml><?xml version="1.0" encoding="utf-8"?>
<calcChain xmlns="http://schemas.openxmlformats.org/spreadsheetml/2006/main">
  <c r="M21" i="5"/>
  <c r="P11" l="1"/>
  <c r="P12"/>
  <c r="P9" s="1"/>
  <c r="P13"/>
  <c r="P14"/>
  <c r="P15"/>
  <c r="P16"/>
  <c r="Q31"/>
  <c r="Q27" s="1"/>
  <c r="Q30"/>
  <c r="Q34"/>
  <c r="Q33"/>
  <c r="Q32"/>
  <c r="Q29"/>
  <c r="P27"/>
  <c r="Q21"/>
  <c r="Q22"/>
  <c r="Q20"/>
  <c r="P18"/>
  <c r="Q25"/>
  <c r="Q24"/>
  <c r="Q23"/>
  <c r="Q36"/>
  <c r="Q43"/>
  <c r="Q41"/>
  <c r="Q42"/>
  <c r="Q38"/>
  <c r="P36"/>
  <c r="Q39"/>
  <c r="Q40"/>
  <c r="M22"/>
  <c r="O14" i="4"/>
  <c r="O9" s="1"/>
  <c r="O26"/>
  <c r="O12" s="1"/>
  <c r="O19" l="1"/>
  <c r="S26" i="1"/>
  <c r="O27" i="2"/>
  <c r="O10" s="1"/>
  <c r="O11"/>
  <c r="S14" i="1"/>
  <c r="O21" i="4"/>
  <c r="O41" i="3" l="1"/>
  <c r="O39" s="1"/>
  <c r="P41"/>
  <c r="P39" s="1"/>
  <c r="Q41"/>
  <c r="Q39" s="1"/>
  <c r="O42"/>
  <c r="P42"/>
  <c r="Q42"/>
  <c r="O43"/>
  <c r="P43"/>
  <c r="Q43"/>
  <c r="O30" i="4"/>
  <c r="O29"/>
  <c r="M39" i="5"/>
  <c r="M40"/>
  <c r="N26" i="4"/>
  <c r="R37" i="1"/>
  <c r="V34"/>
  <c r="T32"/>
  <c r="U32"/>
  <c r="S32"/>
  <c r="V32" s="1"/>
  <c r="S37"/>
  <c r="O15" i="4" l="1"/>
  <c r="N26" i="3"/>
  <c r="N29" i="4"/>
  <c r="R22" i="3"/>
  <c r="Q21" i="4"/>
  <c r="Q19"/>
  <c r="P19"/>
  <c r="V31" i="1"/>
  <c r="V27"/>
  <c r="V26"/>
  <c r="V25"/>
  <c r="V24"/>
  <c r="V23"/>
  <c r="V22"/>
  <c r="V17"/>
  <c r="V21"/>
  <c r="V20"/>
  <c r="V19"/>
  <c r="V18"/>
  <c r="V16"/>
  <c r="V15"/>
  <c r="T37"/>
  <c r="U37"/>
  <c r="S38"/>
  <c r="T38"/>
  <c r="U38"/>
  <c r="R38"/>
  <c r="U35"/>
  <c r="U14"/>
  <c r="V29"/>
  <c r="V28"/>
  <c r="V33"/>
  <c r="U13" l="1"/>
  <c r="R34" i="2" l="1"/>
  <c r="R29"/>
  <c r="R28"/>
  <c r="R27"/>
  <c r="R26"/>
  <c r="R25"/>
  <c r="R24"/>
  <c r="R23"/>
  <c r="R22"/>
  <c r="R20"/>
  <c r="R19"/>
  <c r="R18"/>
  <c r="R17"/>
  <c r="R16"/>
  <c r="R15"/>
  <c r="R14"/>
  <c r="R13"/>
  <c r="M34"/>
  <c r="Q31"/>
  <c r="Q33"/>
  <c r="Q34"/>
  <c r="Q11"/>
  <c r="Q10" s="1"/>
  <c r="N11"/>
  <c r="N34"/>
  <c r="M11" l="1"/>
  <c r="N41" i="3" l="1"/>
  <c r="N39" s="1"/>
  <c r="N11"/>
  <c r="N30"/>
  <c r="R43" l="1"/>
  <c r="R13"/>
  <c r="R14"/>
  <c r="R15"/>
  <c r="R16"/>
  <c r="R17"/>
  <c r="R18"/>
  <c r="R19"/>
  <c r="R20"/>
  <c r="R21"/>
  <c r="R23"/>
  <c r="R24"/>
  <c r="R25"/>
  <c r="R26"/>
  <c r="R27"/>
  <c r="R28"/>
  <c r="R29"/>
  <c r="R31"/>
  <c r="R32"/>
  <c r="R33"/>
  <c r="R34"/>
  <c r="R35"/>
  <c r="R36"/>
  <c r="R37"/>
  <c r="R38"/>
  <c r="O30"/>
  <c r="R30" s="1"/>
  <c r="P30"/>
  <c r="Q30"/>
  <c r="O12"/>
  <c r="P12"/>
  <c r="Q12"/>
  <c r="Q11" s="1"/>
  <c r="N12"/>
  <c r="P21" i="4"/>
  <c r="Q10" i="3" l="1"/>
  <c r="R29" i="4"/>
  <c r="Q12"/>
  <c r="Q13"/>
  <c r="Q14"/>
  <c r="Q16"/>
  <c r="R32"/>
  <c r="R33"/>
  <c r="R25"/>
  <c r="R24"/>
  <c r="R20"/>
  <c r="Q27"/>
  <c r="Q22"/>
  <c r="Q17"/>
  <c r="Q11"/>
  <c r="Q44" i="5"/>
  <c r="Q45"/>
  <c r="Q46"/>
  <c r="Q47"/>
  <c r="Q48"/>
  <c r="Q49"/>
  <c r="Q50"/>
  <c r="Q51"/>
  <c r="Q52"/>
  <c r="O36"/>
  <c r="O27"/>
  <c r="O18"/>
  <c r="O11"/>
  <c r="Q11" s="1"/>
  <c r="O12"/>
  <c r="O13"/>
  <c r="O14"/>
  <c r="Q14" s="1"/>
  <c r="O15"/>
  <c r="Q15" s="1"/>
  <c r="O16"/>
  <c r="Q16" s="1"/>
  <c r="Q9" i="4" l="1"/>
  <c r="O9" i="5"/>
  <c r="N42" i="3"/>
  <c r="N30" i="4" l="1"/>
  <c r="R30" s="1"/>
  <c r="N31"/>
  <c r="R31" s="1"/>
  <c r="N27" l="1"/>
  <c r="R27"/>
  <c r="M30" i="3"/>
  <c r="T14" i="1" l="1"/>
  <c r="R14"/>
  <c r="R42" i="3"/>
  <c r="M42"/>
  <c r="N21" i="4"/>
  <c r="N11" s="1"/>
  <c r="N19"/>
  <c r="N12" s="1"/>
  <c r="L22" i="5"/>
  <c r="O11" i="4"/>
  <c r="R11" s="1"/>
  <c r="P11"/>
  <c r="K31" i="5"/>
  <c r="L21"/>
  <c r="R26" i="4"/>
  <c r="N18" i="5" l="1"/>
  <c r="I12" i="4"/>
  <c r="H12"/>
  <c r="I22"/>
  <c r="H22"/>
  <c r="N36" i="5"/>
  <c r="M36"/>
  <c r="L36"/>
  <c r="K36"/>
  <c r="J36"/>
  <c r="I36"/>
  <c r="H36"/>
  <c r="G36"/>
  <c r="F36"/>
  <c r="N27"/>
  <c r="M27"/>
  <c r="L27"/>
  <c r="K27"/>
  <c r="J27"/>
  <c r="I27"/>
  <c r="H27"/>
  <c r="G27"/>
  <c r="F27"/>
  <c r="K22"/>
  <c r="K21"/>
  <c r="J21"/>
  <c r="M18"/>
  <c r="L18"/>
  <c r="J18"/>
  <c r="I18"/>
  <c r="H18"/>
  <c r="G18"/>
  <c r="F18"/>
  <c r="N16"/>
  <c r="M16"/>
  <c r="L16"/>
  <c r="K16"/>
  <c r="J16"/>
  <c r="I16"/>
  <c r="H16"/>
  <c r="G16"/>
  <c r="F16"/>
  <c r="N15"/>
  <c r="M15"/>
  <c r="L15"/>
  <c r="K15"/>
  <c r="J15"/>
  <c r="I15"/>
  <c r="H15"/>
  <c r="G15"/>
  <c r="F15"/>
  <c r="N14"/>
  <c r="M14"/>
  <c r="L14"/>
  <c r="K14"/>
  <c r="J14"/>
  <c r="I14"/>
  <c r="H14"/>
  <c r="G14"/>
  <c r="F14"/>
  <c r="M13"/>
  <c r="L13"/>
  <c r="J13"/>
  <c r="I13"/>
  <c r="H13"/>
  <c r="G13"/>
  <c r="F13"/>
  <c r="F9" s="1"/>
  <c r="N12"/>
  <c r="M12"/>
  <c r="Q12" s="1"/>
  <c r="L12"/>
  <c r="K12"/>
  <c r="J12"/>
  <c r="I12"/>
  <c r="H12"/>
  <c r="G12"/>
  <c r="G9" s="1"/>
  <c r="F12"/>
  <c r="N11"/>
  <c r="M11"/>
  <c r="L11"/>
  <c r="K11"/>
  <c r="J11"/>
  <c r="I11"/>
  <c r="I9" s="1"/>
  <c r="H11"/>
  <c r="G11"/>
  <c r="F11"/>
  <c r="J9"/>
  <c r="Q18" l="1"/>
  <c r="H9"/>
  <c r="M9"/>
  <c r="N13"/>
  <c r="L9"/>
  <c r="K13"/>
  <c r="K9" s="1"/>
  <c r="K18"/>
  <c r="P27" i="4"/>
  <c r="O27"/>
  <c r="M27"/>
  <c r="L27"/>
  <c r="K27"/>
  <c r="J27"/>
  <c r="I27"/>
  <c r="H27"/>
  <c r="P22"/>
  <c r="O22"/>
  <c r="N22"/>
  <c r="N39" s="1"/>
  <c r="M22"/>
  <c r="L22"/>
  <c r="K22"/>
  <c r="J22"/>
  <c r="M21"/>
  <c r="L21"/>
  <c r="R21" s="1"/>
  <c r="L19"/>
  <c r="R19" s="1"/>
  <c r="P17"/>
  <c r="O17"/>
  <c r="N17"/>
  <c r="K17"/>
  <c r="J17"/>
  <c r="I17"/>
  <c r="H17"/>
  <c r="P16"/>
  <c r="O16"/>
  <c r="N16"/>
  <c r="M16"/>
  <c r="L16"/>
  <c r="K16"/>
  <c r="J16"/>
  <c r="I16"/>
  <c r="H16"/>
  <c r="M15"/>
  <c r="R15" s="1"/>
  <c r="P14"/>
  <c r="N14"/>
  <c r="M14"/>
  <c r="L14"/>
  <c r="K14"/>
  <c r="J14"/>
  <c r="I14"/>
  <c r="H14"/>
  <c r="P13"/>
  <c r="O13"/>
  <c r="N13"/>
  <c r="M13"/>
  <c r="L13"/>
  <c r="K13"/>
  <c r="J13"/>
  <c r="I13"/>
  <c r="H13"/>
  <c r="P12"/>
  <c r="M12"/>
  <c r="K12"/>
  <c r="J12"/>
  <c r="K11"/>
  <c r="J11"/>
  <c r="I11"/>
  <c r="H11"/>
  <c r="N9" i="5" l="1"/>
  <c r="Q9" s="1"/>
  <c r="Q13"/>
  <c r="R22" i="4"/>
  <c r="R12"/>
  <c r="J9"/>
  <c r="R14"/>
  <c r="I9"/>
  <c r="R13"/>
  <c r="R16"/>
  <c r="K39"/>
  <c r="M17"/>
  <c r="M39" s="1"/>
  <c r="M11"/>
  <c r="M9" s="1"/>
  <c r="N9"/>
  <c r="J39"/>
  <c r="H9"/>
  <c r="L11"/>
  <c r="I39"/>
  <c r="K9"/>
  <c r="H39"/>
  <c r="L17"/>
  <c r="L39" s="1"/>
  <c r="O39"/>
  <c r="L9"/>
  <c r="P9"/>
  <c r="L12"/>
  <c r="P39"/>
  <c r="R9" l="1"/>
  <c r="R17"/>
  <c r="R39" s="1"/>
  <c r="Q59" i="5" s="1"/>
  <c r="I48" i="1"/>
  <c r="H48"/>
  <c r="H49" s="1"/>
  <c r="G48"/>
  <c r="G49" s="1"/>
  <c r="V41"/>
  <c r="V40"/>
  <c r="V39"/>
  <c r="Q38"/>
  <c r="P38"/>
  <c r="O38"/>
  <c r="N38"/>
  <c r="M38"/>
  <c r="L38"/>
  <c r="Q37"/>
  <c r="P37"/>
  <c r="O37"/>
  <c r="N37"/>
  <c r="M37"/>
  <c r="L37"/>
  <c r="V37" s="1"/>
  <c r="P35"/>
  <c r="O35"/>
  <c r="N35"/>
  <c r="M35"/>
  <c r="L35"/>
  <c r="T35"/>
  <c r="S35"/>
  <c r="R32"/>
  <c r="Q32"/>
  <c r="Q35" s="1"/>
  <c r="P32"/>
  <c r="O32"/>
  <c r="N32"/>
  <c r="M32"/>
  <c r="L32"/>
  <c r="X15"/>
  <c r="I15"/>
  <c r="G15" s="1"/>
  <c r="H15"/>
  <c r="Q14"/>
  <c r="P14"/>
  <c r="P13" s="1"/>
  <c r="O14"/>
  <c r="O13" s="1"/>
  <c r="N14"/>
  <c r="N13" s="1"/>
  <c r="M14"/>
  <c r="L14"/>
  <c r="V14" s="1"/>
  <c r="J14"/>
  <c r="I14"/>
  <c r="G14" s="1"/>
  <c r="H14"/>
  <c r="Q13"/>
  <c r="M13"/>
  <c r="V38" l="1"/>
  <c r="S13"/>
  <c r="X14"/>
  <c r="T13"/>
  <c r="R35"/>
  <c r="R13"/>
  <c r="V35"/>
  <c r="L13"/>
  <c r="V13" l="1"/>
  <c r="P34" i="2"/>
  <c r="O34"/>
  <c r="L34"/>
  <c r="K34"/>
  <c r="J34"/>
  <c r="I34"/>
  <c r="H34"/>
  <c r="P31"/>
  <c r="O31"/>
  <c r="I31"/>
  <c r="N27"/>
  <c r="N31" s="1"/>
  <c r="M27"/>
  <c r="L27"/>
  <c r="L31" s="1"/>
  <c r="K27"/>
  <c r="K31" s="1"/>
  <c r="J27"/>
  <c r="J31" s="1"/>
  <c r="H27"/>
  <c r="P11"/>
  <c r="P10" s="1"/>
  <c r="P33" s="1"/>
  <c r="L11"/>
  <c r="L10" s="1"/>
  <c r="L33" s="1"/>
  <c r="K11"/>
  <c r="K10" s="1"/>
  <c r="K33" s="1"/>
  <c r="J11"/>
  <c r="J10" s="1"/>
  <c r="J33" s="1"/>
  <c r="I11"/>
  <c r="H11"/>
  <c r="I10"/>
  <c r="I33" s="1"/>
  <c r="R31" l="1"/>
  <c r="O33"/>
  <c r="R11"/>
  <c r="M31"/>
  <c r="M33" s="1"/>
  <c r="M10"/>
  <c r="N10"/>
  <c r="H31"/>
  <c r="H10"/>
  <c r="N43" i="3"/>
  <c r="M43"/>
  <c r="L43"/>
  <c r="K43"/>
  <c r="J43"/>
  <c r="J39" s="1"/>
  <c r="I43"/>
  <c r="I39" s="1"/>
  <c r="H43"/>
  <c r="L42"/>
  <c r="K42"/>
  <c r="J42"/>
  <c r="H42"/>
  <c r="M41"/>
  <c r="L41"/>
  <c r="L39" s="1"/>
  <c r="K41"/>
  <c r="J41"/>
  <c r="I41"/>
  <c r="H41"/>
  <c r="H39" s="1"/>
  <c r="L30"/>
  <c r="K30"/>
  <c r="J30"/>
  <c r="I30"/>
  <c r="H30"/>
  <c r="P11"/>
  <c r="P10" s="1"/>
  <c r="O11"/>
  <c r="O10" s="1"/>
  <c r="N10"/>
  <c r="M12"/>
  <c r="L12"/>
  <c r="L11" s="1"/>
  <c r="L10" s="1"/>
  <c r="K12"/>
  <c r="K11" s="1"/>
  <c r="K10" s="1"/>
  <c r="J12"/>
  <c r="J11" s="1"/>
  <c r="J10" s="1"/>
  <c r="I12"/>
  <c r="I11" s="1"/>
  <c r="I10" s="1"/>
  <c r="H12"/>
  <c r="N33" i="2" l="1"/>
  <c r="R33" s="1"/>
  <c r="R10"/>
  <c r="R41" i="3"/>
  <c r="M11"/>
  <c r="R12"/>
  <c r="M39"/>
  <c r="R39" s="1"/>
  <c r="K39"/>
  <c r="H33" i="2"/>
  <c r="H11" i="3"/>
  <c r="M10" l="1"/>
  <c r="R10" s="1"/>
  <c r="R11"/>
  <c r="H10"/>
  <c r="S59" l="1"/>
</calcChain>
</file>

<file path=xl/sharedStrings.xml><?xml version="1.0" encoding="utf-8"?>
<sst xmlns="http://schemas.openxmlformats.org/spreadsheetml/2006/main" count="435" uniqueCount="187">
  <si>
    <t xml:space="preserve">Приложение № 2
к подпрограмме "Безопасность дорожного движения в Богучанском районе" 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</si>
  <si>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</si>
  <si>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</si>
  <si>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</si>
  <si>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</si>
  <si>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Источник финансирования</t>
  </si>
  <si>
    <t>Расходы (рублей),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</si>
  <si>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</si>
  <si>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</si>
  <si>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</si>
  <si>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</si>
  <si>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</si>
  <si>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</si>
  <si>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Муниципальная программа Богучанского района "Развитие транспортной системы Богучанского района" </t>
  </si>
  <si>
    <t xml:space="preserve">Подпрограма "Безопасность дорожного движения в Богучанском районе" </t>
  </si>
  <si>
    <t>Цель: Сокращение смертности от дорожно-транспортных происшествий</t>
  </si>
  <si>
    <t>Задача 1.  Обеспечение безопасности участия детей в дорожном движении</t>
  </si>
  <si>
    <t>1.1.  Обучение детей и подростков Правилам дорожного движения, формирование у них навыков безопасного поведения на дорогах:</t>
  </si>
  <si>
    <t>а) проведение районных конкурсов и соревнований, участие детей и подростков в зональных и краевых конкурсах и слетах, а именно: районный конкурс "Знатоки дорожных правил", районный конкурс "Безопасное колесо", конкурс по ПДД, конкурс плакатов "Дороги и дети" 5-11 классы, конкурс рисунков "Правила дорожного движения - наши верные друзья" 1-4 классы, районный конкурс "Знаток ПДД" 1-4 классы, районный конкурс "Я и улица моя" среди детей старших групп ДОУ, районный конкурс программ ДОУ по обучению детей БДД "Зеленый огонек" конкурс уголков БДД среди школ района, участие в соревновании "Безопасное колесо" краевой этап, участие в краевом слете юных инспекторов движения, участие в зональном конкурсе юных инспекторов движения "Безопасное колесо", участие в зональном конкурсе "Знатоки дорожного движения";
б) выпуск печатной пропагандистской продукции по БДД (листовки, закладки, памятки, обращения, плакаты, календари) для проведения акций: "Велосипедисты", "Пешеход", "Внимание дети", "День памяти жертв ДТП", "Глобальная неделя безопасности";
в) приобретение базового класс-комплекта и интерактивной доски.</t>
  </si>
  <si>
    <t>Управление образования администрации Богучанского района</t>
  </si>
  <si>
    <t>0702</t>
  </si>
  <si>
    <t>0938001</t>
  </si>
  <si>
    <t>районный бюджет</t>
  </si>
  <si>
    <t>0930080010</t>
  </si>
  <si>
    <t>0703</t>
  </si>
  <si>
    <t>0701</t>
  </si>
  <si>
    <t xml:space="preserve">   Количество задействованных школ района, всего 24 учреждения.</t>
  </si>
  <si>
    <t xml:space="preserve">   Приобретение базового класс-комплекта, всего  2 шт, в том числе: 2014г - 1 шт; 2015г - 1 шт; 2016г-2022г - 0 шт.</t>
  </si>
  <si>
    <t>0707</t>
  </si>
  <si>
    <t xml:space="preserve">   Приобретение интерактивной доски в количестве 1 шт, в том числе: 2014г - 0 шт; 2015г - 1 шт; 2016г-2022г - 0 шт.</t>
  </si>
  <si>
    <t xml:space="preserve">1.2.  Расходы на проведение мероприятий, направленных на обеспечение безопасного участия детей в дорожном движении </t>
  </si>
  <si>
    <t>0930073980</t>
  </si>
  <si>
    <t>краевой бюджет</t>
  </si>
  <si>
    <t xml:space="preserve"> Приобретение и распространение световозвращающих приспособлений среди учащихся первых классов муниципальных образовательных учреждений района, всего 2435 чел, в том числе: 2014г-2015г - 0 чел; 2016г - 610 чел; 2017г - 616 чел; 2018г - 630 чел, 2019 г -579 чел, 2020-2022г - 0 чел.</t>
  </si>
  <si>
    <t>093R373980</t>
  </si>
  <si>
    <t>09300S3980</t>
  </si>
  <si>
    <t>Задача 2. Развитие системы организации движения транспортных средств и пешеходов, и повышение безопасности дорожных условий</t>
  </si>
  <si>
    <t>2.1. Межбюджетные трансферты бюджетам муниципальных образований на приобретение и установку дорожных знаков (1.23 "Дети" на планке алмазного типа) на участках автодорог местного значения вблизи детских учреждений на проезжей части которых возможно появление детей</t>
  </si>
  <si>
    <t>Финансовое управление администрации Богучанского района</t>
  </si>
  <si>
    <t>0409</t>
  </si>
  <si>
    <t>0937491</t>
  </si>
  <si>
    <t xml:space="preserve">    Количество установленных знаков/количество оборудованных участков в том числе: 2014г - 4/1; 2015г-2022г - 0 шт.</t>
  </si>
  <si>
    <t>Администрация Богучанского сельсовета</t>
  </si>
  <si>
    <t>2628219</t>
  </si>
  <si>
    <t>бюджет поселения</t>
  </si>
  <si>
    <t>2.2. Оснащение транспортных средств (автобусов), осуществляющих перевозки по муниципальны маршрутам, средствами контроля, обеспечивающими непрерывную, некорректируемую регистрацию информации о скрости и маршруте движения транспортных средств, о режиме труда и отдыха водителей транспортных средств (тахографами)</t>
  </si>
  <si>
    <t>УМС Богучанского района</t>
  </si>
  <si>
    <t>0314</t>
  </si>
  <si>
    <t>Оснащение 5 единиц транспортных средств (автобусов), осуществляющих перевозки по муниципальным маршрутам, тахографами, в т.ч.: 2014г - 5 ед;  2015г-2022г - 0 ед</t>
  </si>
  <si>
    <t xml:space="preserve">2.3. Межбюджетные трансферты бюджетам муниципальных образований на  обустройство пешеходных переходов  и нанесение дорожной разметки на автомобильных дорогах общего пользования местного значения                                 </t>
  </si>
  <si>
    <t>093R374920</t>
  </si>
  <si>
    <t>Количество оборудованных участков, всего 24 шт, в том числе: 2014г-2015г - 0 шт; 2016г - 6 шт; 2017г- 6 шт, 2018г - 6 шт, 2019г - 6 шт, 2020 - 2022г - 0 шт.</t>
  </si>
  <si>
    <t>Итого по подпрограмме:</t>
  </si>
  <si>
    <t>В том числе:</t>
  </si>
  <si>
    <t>средства районного бюджета</t>
  </si>
  <si>
    <t>средства краевого бюджета</t>
  </si>
  <si>
    <t>средства бюджетов поселений</t>
  </si>
  <si>
    <t>Количество оборудованных участков (дорожными знаками 5.19.1 и 5.19.2 "Пешеходный переход" повышенной яркости (на желтом фоне), нанесение дорожной разметки 1.14.1 "Зебра" на пешеходных переходах)</t>
  </si>
  <si>
    <t xml:space="preserve">Приложение № 2
к подпрограмме "Развитие транспортного комплекса Богучанского района" </t>
  </si>
  <si>
    <t>Источник финанси- рования</t>
  </si>
  <si>
    <t>Муниципальная программа Богучанского района "Развитие транспортной системы Богучанского района"</t>
  </si>
  <si>
    <t xml:space="preserve">Подпрограма "Развитие транспортного комплекса Богучанского района" 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</si>
  <si>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</si>
  <si>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>Задача 1. Развитие рынка транспортных услуг  Богучанского района и повышение эффективности его функционирования</t>
  </si>
  <si>
    <t>1.1. Предоставление:</t>
  </si>
  <si>
    <t>субсидии на компенсацию расходов,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</t>
  </si>
  <si>
    <t>администрация Богучанского района</t>
  </si>
  <si>
    <t>0408</t>
  </si>
  <si>
    <t>092П000</t>
  </si>
  <si>
    <t>Количество перевезенных пассажиров всего 3 889,6 тыс.чел, в т.ч.:
в 2014 году -  103,3 тыс.чел.;
в 2015 году -  104,4 тыс.чел.;
в 2016 году -  104,0 тыс.чел.;
в 2017 году -  104,4 тыс.чел.;
в 2018 году -  694,7 тыс.чел.;
в 2019 году -  694,7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- 694,7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- 694,7 тыс.чел;                                                  в 2022 году - 694,7 тыс.чел.</t>
  </si>
  <si>
    <t>09200П0000</t>
  </si>
  <si>
    <t>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</t>
  </si>
  <si>
    <t>1.2. Межбюджетные трансферты на осуществление полномочий в области автомобильного транспорта</t>
  </si>
  <si>
    <t>09200Ч0090</t>
  </si>
  <si>
    <t>Количество перевезенных пассажиров всего 1095,3 тыс.чел, в т.ч.:
в 2014 году -       0,0 тыс.чел.;
в 2015 году -       0,0 тыс.чел.;
в 2016 году -   505,0 тыс.чел.;
в 2017 году -   590,3 тыс.чел.;
в 2018 году -       0,0 тыс.чел.;
в 2019 году -     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    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      0,0 тыс.чел;                                                       в 2022 году -       0,0 тыс.чел.</t>
  </si>
  <si>
    <t>1.3. Предоставление:</t>
  </si>
  <si>
    <t>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населенные пункты, находящиеся на правом берегу р. Ангара в период отсутствия переправы</t>
  </si>
  <si>
    <t>092Л000</t>
  </si>
  <si>
    <t>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воздушным транспортом по внутрирайонным маршрутам в Богучанском районе</t>
  </si>
  <si>
    <t>09200Л0000</t>
  </si>
  <si>
    <t>Задача 2. Обновление парка подвижного состава для выполнения регулярных пассажирских перевозок по муниципальным маршрутам в Богучанском районе</t>
  </si>
  <si>
    <t>2.1. Приобретение новых автобусов среднего и малого классов вместимости за счет средств краевого бюджета, путем участия в краевых программах и грантах</t>
  </si>
  <si>
    <t>Количество приобретенного подвижного состава - 9 автобусов среднего и малого классов вместимости</t>
  </si>
  <si>
    <t>2.2.Обновление парка подвижного состава для выполнения регулярных пассажирских перевозок по муниципальным маршрутам в Богучанском районе</t>
  </si>
  <si>
    <t>092008Ф000</t>
  </si>
  <si>
    <t>Приобретение подвижного состава - 2 автобуса марки ПАЗ 32053,                  1 автобус марки ПАЗ 4234-04</t>
  </si>
  <si>
    <t>ИТОГО по подпрограмме:</t>
  </si>
  <si>
    <t>Приложение № 2
к подпрограмме "Дороги Богучанского района"</t>
  </si>
  <si>
    <t>Наименование программы, подпрограммы</t>
  </si>
  <si>
    <t>Ожидаемый результат от реализации подпрограммного мероприятия                  
(в натуральном выражении)</t>
  </si>
  <si>
    <t xml:space="preserve">текущий финансовый год 
</t>
  </si>
  <si>
    <t>Согласно утвержденной программы</t>
  </si>
  <si>
    <t>Изменения</t>
  </si>
  <si>
    <t>с учетом изменений</t>
  </si>
  <si>
    <t xml:space="preserve">Подпрограмма "Дороги Богучанского района" </t>
  </si>
  <si>
    <t>Цель.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</si>
  <si>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</si>
  <si>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>Мероприятие 1.1. Межбюджетные трансферты бюджетам муниципальных образований на содержание автомобильных дорог общего пользования местного значения городских округов, городских и  сельских поселений за счет средств дорожного фонда Красноярского края</t>
  </si>
  <si>
    <t>0917508</t>
  </si>
  <si>
    <t>Содержание  дороги в удовлетворительном состоянии, в т.ч. 
2014г - 41,34 км; 
2015г - 35 км, 
2016г - 35,1км; 
2017г- 38,6 км;                                                                                                                                                                                                                                                                                                                         2018г - 38,6 км;                                                   2019г - 38,6 км (предварительно);                                                         2020-2022г - 0 км (в виду отсутствия финансирования)</t>
  </si>
  <si>
    <t>0910075080</t>
  </si>
  <si>
    <t>0910073930</t>
  </si>
  <si>
    <t>Администрация Богучанского района</t>
  </si>
  <si>
    <t>09100S3930</t>
  </si>
  <si>
    <t>09100S5080</t>
  </si>
  <si>
    <t>Мероприятие 1.2. Средства районного бюджета на содержание автомобильных дорог общего пользования местного значения (межселенного значения)</t>
  </si>
  <si>
    <t>0918000</t>
  </si>
  <si>
    <t>0910080000</t>
  </si>
  <si>
    <t>Мероприятие 1.3. Межбюджетные трансферты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тыс. человек, городских и  сельских поселений за счет средств дорожного фонда Красноярского края</t>
  </si>
  <si>
    <t>0917594</t>
  </si>
  <si>
    <t>Капитальный ремонт  и ремонт дороги, в т.ч.: 
2014г - 0 км; 
2015г - 6,6 км; 
2016г-7,0 км; 
2017г-7,3 км;                                                                                                                                                                                                                                                                                                                 2018г- 7,3 км;                          2019г - 7,3 км (предварительно);                    2020г-2022г - 0 км (в виду отсутствия финансирования)</t>
  </si>
  <si>
    <t>0910075090</t>
  </si>
  <si>
    <t>Задача 2. Устройство и содержание ледовых переправ</t>
  </si>
  <si>
    <t>Мероприятие 2.1. Выполнение работ по корректировке проектной документации на строительство переправы по льду по трассе п.Гремучий - с.Богучаны</t>
  </si>
  <si>
    <t>МКУ «Муниципальная служба Заказчика»</t>
  </si>
  <si>
    <t>Изготовление проектно - сметной документации</t>
  </si>
  <si>
    <t>в том числе:</t>
  </si>
  <si>
    <t>Приложение № 2
к муниципальной программе Богучанского района "Развитие транспортной системы Богучанского района"</t>
  </si>
  <si>
    <t>Распределение планируемых расходов за счет средств районного бюджета по мероприятиям и подпрограммам
 муниципальной программы</t>
  </si>
  <si>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</si>
  <si>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</si>
  <si>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</si>
  <si>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Рз Пр</t>
  </si>
  <si>
    <t>Муниципальная программа</t>
  </si>
  <si>
    <t>"Развитие транспортной системы Богучанского района"</t>
  </si>
  <si>
    <t>всего расходные обязательства  по программе</t>
  </si>
  <si>
    <t>Х</t>
  </si>
  <si>
    <t>в том числе по ГРБС:</t>
  </si>
  <si>
    <t>890</t>
  </si>
  <si>
    <t>806</t>
  </si>
  <si>
    <t>администрация Богучанского сельсовета</t>
  </si>
  <si>
    <t>863</t>
  </si>
  <si>
    <t>МУК "Муниципальная служба Заказчика"</t>
  </si>
  <si>
    <t>830</t>
  </si>
  <si>
    <t>875</t>
  </si>
  <si>
    <t>Подпрограмма 1</t>
  </si>
  <si>
    <t>"Дороги Богучанского района"</t>
  </si>
  <si>
    <t>всего расходные обязательства  по подпрограмме</t>
  </si>
  <si>
    <t>Подпрограмма 2</t>
  </si>
  <si>
    <t xml:space="preserve">"Развитие транспортного комплекса Богучанского района" </t>
  </si>
  <si>
    <t>Подпрограмма 3</t>
  </si>
  <si>
    <t xml:space="preserve">"Безопасность дорожного движения в Богучанском районе" </t>
  </si>
  <si>
    <t>Приложение № 3
к муниципальной программе Богучанского района 
"Развитие транспортной системы Богучанского района"</t>
  </si>
  <si>
    <t>Ресурсное обеспечение и прогнозная оценка расходов на реализацию целей муниципальной программы Богучанского района
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</si>
  <si>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</si>
  <si>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</si>
  <si>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</si>
  <si>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(в рублях), годы</t>
  </si>
  <si>
    <t xml:space="preserve">Итого на период 
</t>
  </si>
  <si>
    <t xml:space="preserve">"Развитие транспортной системы Богучанского района"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</si>
  <si>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</si>
  <si>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</si>
  <si>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</si>
  <si>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</si>
  <si>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юридические лица</t>
  </si>
  <si>
    <t xml:space="preserve">"Дороги Богучанского района" 
</t>
  </si>
  <si>
    <t>Финансовое управление администрации Богучанского района; 
администрация Богучанского района</t>
  </si>
  <si>
    <t xml:space="preserve">федеральный бюджет    </t>
  </si>
  <si>
    <t xml:space="preserve">"Развитие транспортного комплекса Богучанского района" 
</t>
  </si>
  <si>
    <t>администрация Богучанского района;
 УМС Богучанского района</t>
  </si>
  <si>
    <t xml:space="preserve">федеральный бюджет </t>
  </si>
  <si>
    <t>Управление образования администрации Богучанского района; 
Финансовое управление администрации Богучанского района; 
администрация Богучанского сельсовета;
 УМС Богучанского района</t>
  </si>
  <si>
    <t>0920075110</t>
  </si>
  <si>
    <t>09200S5110</t>
  </si>
  <si>
    <t>093R310601</t>
  </si>
  <si>
    <t>09100S5090</t>
  </si>
  <si>
    <t>09100S5081</t>
  </si>
  <si>
    <t>2.4. Субсидия муниципальному образованию на разработку комплексной схемы организации дорожного движения на автомобильных дорогах местного значения общего пользования</t>
  </si>
  <si>
    <t>093R310602</t>
  </si>
  <si>
    <t>Разработанная комплексная схема 2020г - 1 шт.</t>
  </si>
  <si>
    <t>093R374270</t>
  </si>
  <si>
    <t xml:space="preserve">Количество обустроенных участков возле образовательных организаций, всего 3 шт, в том числе: 2019г - 0 шт, 2020г - 3 шт, 2021г - 0 шт,                   2022г - 0 шт.  </t>
  </si>
  <si>
    <t xml:space="preserve">2.5. Субсидии бюджетам муниципальных образований на обустройство участков улично - дорожной сети вблизи образовательных организаций для обеспечения безопасности дорожного движения </t>
  </si>
  <si>
    <t>1.3 Обучение детей и подростков навыкам оказания первой медицинской помощи при дорожно-транспортном происшествии</t>
  </si>
  <si>
    <t>093008Ф010</t>
  </si>
  <si>
    <t xml:space="preserve">   Количество задействованных детей и подростков всего 7 160 человек, в т.ч.: 2014г - 895 чел; 2015г - 895  чел; 2016г - 895 чел; 2017г - 895 чел; 2018г - 895 чел; 2019г - 895 чел; 2020г - 0 чел, 2021г - 895 чел, 2022г - 895 чел.</t>
  </si>
  <si>
    <t>Приобритение манекена-тренажера,                                всего 2020г - 1 шт.</t>
  </si>
  <si>
    <t>Предоставления в 2020 году субсидий,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транспортом по муниципальным маршрутам на территории Богучанского района, части фактически понесенных затрат на топливо, проведение профилактических мероприятий и дезинфекцию подвижного состава общественного транспорта в целях недопущения распространения новой короновирусной инфекции</t>
  </si>
  <si>
    <t>0920074020</t>
  </si>
  <si>
    <t>местный</t>
  </si>
  <si>
    <t>краевой</t>
  </si>
  <si>
    <t>0930080000</t>
  </si>
  <si>
    <t>Количество перевезенных пассажиров всего 0,660 тыс.чел, в т.ч.:
в 2014 году -      0,0 тыс.чел.;
в 2015 году -      0,0 тыс.чел.;
в 2016 году -      0,0 тыс.чел.;
в 2017 году -   0,132 тыс.чел.;
в 2018 году -      0,0 тыс.чел.;
в 2019 году -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- 0,132 тыс.чел;                            в 2022 году - 0,132 тыс.чел.</t>
  </si>
  <si>
    <t>091 00S3950</t>
  </si>
  <si>
    <t>Строительство и реконструкция автомобильных дорог в п.Таежный 2021-2023гг протяженностью 3,26 км</t>
  </si>
  <si>
    <t>бюджеты муниципальных образований</t>
  </si>
  <si>
    <t xml:space="preserve">внебюджетные источники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</si>
</sst>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.5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.5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7">
    <xf numFmtId="0" fontId="0" fillId="0" borderId="0" xfId="0"/>
    <xf numFmtId="0" fontId="1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4" fontId="2" fillId="0" borderId="6" xfId="1" applyNumberFormat="1" applyFont="1" applyFill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right"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2" fillId="0" borderId="6" xfId="1" applyNumberFormat="1" applyFont="1" applyFill="1" applyBorder="1" applyAlignment="1">
      <alignment horizontal="justify" vertical="center" wrapText="1"/>
    </xf>
    <xf numFmtId="0" fontId="1" fillId="0" borderId="0" xfId="0" applyFont="1" applyFill="1"/>
    <xf numFmtId="0" fontId="2" fillId="0" borderId="6" xfId="1" applyNumberFormat="1" applyFont="1" applyFill="1" applyBorder="1" applyAlignment="1">
      <alignment horizontal="justify" vertical="top" wrapText="1"/>
    </xf>
    <xf numFmtId="4" fontId="2" fillId="0" borderId="6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9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/>
    </xf>
    <xf numFmtId="4" fontId="2" fillId="0" borderId="6" xfId="0" applyNumberFormat="1" applyFont="1" applyFill="1" applyBorder="1"/>
    <xf numFmtId="0" fontId="4" fillId="0" borderId="6" xfId="0" applyFont="1" applyFill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/>
    <xf numFmtId="0" fontId="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" fontId="2" fillId="0" borderId="6" xfId="1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6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 wrapText="1"/>
    </xf>
    <xf numFmtId="164" fontId="11" fillId="0" borderId="0" xfId="0" applyNumberFormat="1" applyFont="1" applyFill="1" applyAlignment="1">
      <alignment vertical="center"/>
    </xf>
    <xf numFmtId="0" fontId="11" fillId="0" borderId="0" xfId="0" applyFont="1" applyFill="1"/>
    <xf numFmtId="164" fontId="4" fillId="0" borderId="0" xfId="0" applyNumberFormat="1" applyFont="1" applyFill="1" applyAlignment="1">
      <alignment horizontal="left" vertical="center" wrapText="1"/>
    </xf>
    <xf numFmtId="0" fontId="14" fillId="0" borderId="0" xfId="0" applyFont="1" applyFill="1"/>
    <xf numFmtId="164" fontId="15" fillId="0" borderId="2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164" fontId="15" fillId="0" borderId="12" xfId="0" applyNumberFormat="1" applyFont="1" applyFill="1" applyBorder="1" applyAlignment="1">
      <alignment vertical="center" wrapText="1"/>
    </xf>
    <xf numFmtId="164" fontId="15" fillId="0" borderId="11" xfId="0" applyNumberFormat="1" applyFont="1" applyFill="1" applyBorder="1" applyAlignment="1">
      <alignment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6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0" xfId="0" applyFont="1" applyFill="1"/>
    <xf numFmtId="0" fontId="16" fillId="0" borderId="6" xfId="0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top" wrapText="1"/>
    </xf>
    <xf numFmtId="164" fontId="16" fillId="0" borderId="0" xfId="0" applyNumberFormat="1" applyFont="1" applyFill="1"/>
    <xf numFmtId="49" fontId="15" fillId="0" borderId="6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/>
    </xf>
    <xf numFmtId="164" fontId="15" fillId="0" borderId="6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right" vertical="center" wrapText="1"/>
    </xf>
    <xf numFmtId="164" fontId="15" fillId="0" borderId="6" xfId="0" applyNumberFormat="1" applyFont="1" applyFill="1" applyBorder="1" applyAlignment="1">
      <alignment horizontal="left" vertical="center" wrapText="1"/>
    </xf>
    <xf numFmtId="164" fontId="15" fillId="0" borderId="6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center" vertical="center"/>
    </xf>
    <xf numFmtId="1" fontId="18" fillId="0" borderId="6" xfId="0" applyNumberFormat="1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4" fontId="22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2" fillId="0" borderId="0" xfId="0" applyFont="1" applyFill="1"/>
    <xf numFmtId="0" fontId="24" fillId="2" borderId="1" xfId="0" applyFont="1" applyFill="1" applyBorder="1" applyAlignment="1">
      <alignment horizontal="center" vertical="center" wrapText="1"/>
    </xf>
    <xf numFmtId="164" fontId="24" fillId="2" borderId="5" xfId="0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top" wrapText="1"/>
    </xf>
    <xf numFmtId="0" fontId="24" fillId="2" borderId="10" xfId="0" applyFont="1" applyFill="1" applyBorder="1" applyAlignment="1">
      <alignment vertical="top" wrapText="1"/>
    </xf>
    <xf numFmtId="4" fontId="24" fillId="2" borderId="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vertical="top" wrapText="1"/>
    </xf>
    <xf numFmtId="4" fontId="24" fillId="2" borderId="6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top" wrapText="1"/>
    </xf>
    <xf numFmtId="4" fontId="2" fillId="3" borderId="6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" fontId="20" fillId="0" borderId="0" xfId="0" applyNumberFormat="1" applyFont="1" applyFill="1"/>
    <xf numFmtId="164" fontId="11" fillId="4" borderId="0" xfId="0" applyNumberFormat="1" applyFont="1" applyFill="1" applyAlignment="1">
      <alignment vertical="center"/>
    </xf>
    <xf numFmtId="164" fontId="4" fillId="4" borderId="0" xfId="0" applyNumberFormat="1" applyFont="1" applyFill="1" applyAlignment="1">
      <alignment vertical="center" wrapText="1"/>
    </xf>
    <xf numFmtId="164" fontId="4" fillId="4" borderId="0" xfId="0" applyNumberFormat="1" applyFont="1" applyFill="1" applyAlignment="1">
      <alignment horizontal="left" vertical="center" wrapText="1"/>
    </xf>
    <xf numFmtId="1" fontId="15" fillId="4" borderId="9" xfId="0" applyNumberFormat="1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164" fontId="15" fillId="4" borderId="6" xfId="0" applyNumberFormat="1" applyFont="1" applyFill="1" applyBorder="1" applyAlignment="1">
      <alignment horizontal="center" vertical="center" wrapText="1"/>
    </xf>
    <xf numFmtId="164" fontId="15" fillId="4" borderId="6" xfId="0" applyNumberFormat="1" applyFont="1" applyFill="1" applyBorder="1" applyAlignment="1">
      <alignment horizontal="right" vertical="center" wrapText="1"/>
    </xf>
    <xf numFmtId="164" fontId="15" fillId="4" borderId="6" xfId="0" applyNumberFormat="1" applyFont="1" applyFill="1" applyBorder="1" applyAlignment="1">
      <alignment horizontal="left" vertical="center" wrapText="1"/>
    </xf>
    <xf numFmtId="164" fontId="15" fillId="4" borderId="6" xfId="0" applyNumberFormat="1" applyFont="1" applyFill="1" applyBorder="1" applyAlignment="1">
      <alignment vertical="center"/>
    </xf>
    <xf numFmtId="164" fontId="15" fillId="4" borderId="0" xfId="0" applyNumberFormat="1" applyFont="1" applyFill="1" applyAlignment="1">
      <alignment vertical="center"/>
    </xf>
    <xf numFmtId="164" fontId="2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7" fillId="4" borderId="0" xfId="0" applyFont="1" applyFill="1" applyAlignment="1">
      <alignment vertical="center"/>
    </xf>
    <xf numFmtId="0" fontId="18" fillId="4" borderId="0" xfId="0" applyFont="1" applyFill="1" applyAlignment="1">
      <alignment vertical="center" wrapText="1"/>
    </xf>
    <xf numFmtId="0" fontId="18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9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" fontId="18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right" vertical="center"/>
    </xf>
    <xf numFmtId="4" fontId="2" fillId="4" borderId="6" xfId="0" applyNumberFormat="1" applyFont="1" applyFill="1" applyBorder="1" applyAlignment="1">
      <alignment horizontal="right" vertical="center"/>
    </xf>
    <xf numFmtId="4" fontId="18" fillId="4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18" fillId="4" borderId="1" xfId="0" applyNumberFormat="1" applyFont="1" applyFill="1" applyBorder="1" applyAlignment="1">
      <alignment vertical="center"/>
    </xf>
    <xf numFmtId="4" fontId="22" fillId="4" borderId="0" xfId="0" applyNumberFormat="1" applyFont="1" applyFill="1" applyAlignment="1">
      <alignment vertical="center"/>
    </xf>
    <xf numFmtId="4" fontId="8" fillId="4" borderId="0" xfId="0" applyNumberFormat="1" applyFont="1" applyFill="1" applyAlignment="1">
      <alignment vertical="center"/>
    </xf>
    <xf numFmtId="0" fontId="0" fillId="4" borderId="0" xfId="0" applyFont="1" applyFill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right" vertical="center"/>
    </xf>
    <xf numFmtId="4" fontId="24" fillId="5" borderId="6" xfId="0" applyNumberFormat="1" applyFont="1" applyFill="1" applyBorder="1" applyAlignment="1">
      <alignment horizontal="center" vertical="center" wrapText="1"/>
    </xf>
    <xf numFmtId="4" fontId="24" fillId="5" borderId="6" xfId="0" applyNumberFormat="1" applyFont="1" applyFill="1" applyBorder="1" applyAlignment="1">
      <alignment horizontal="right" vertical="center" wrapText="1"/>
    </xf>
    <xf numFmtId="0" fontId="20" fillId="4" borderId="0" xfId="0" applyFont="1" applyFill="1"/>
    <xf numFmtId="0" fontId="23" fillId="4" borderId="0" xfId="0" applyFont="1" applyFill="1" applyAlignment="1">
      <alignment vertical="center" wrapText="1"/>
    </xf>
    <xf numFmtId="0" fontId="24" fillId="4" borderId="6" xfId="0" applyFont="1" applyFill="1" applyBorder="1" applyAlignment="1">
      <alignment horizontal="center" vertical="center" wrapText="1"/>
    </xf>
    <xf numFmtId="164" fontId="24" fillId="4" borderId="6" xfId="0" applyNumberFormat="1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top" wrapText="1"/>
    </xf>
    <xf numFmtId="4" fontId="24" fillId="4" borderId="6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24" fillId="4" borderId="6" xfId="0" applyNumberFormat="1" applyFont="1" applyFill="1" applyBorder="1" applyAlignment="1">
      <alignment horizontal="right" vertical="center" wrapText="1"/>
    </xf>
    <xf numFmtId="4" fontId="4" fillId="4" borderId="6" xfId="0" applyNumberFormat="1" applyFont="1" applyFill="1" applyBorder="1" applyAlignment="1">
      <alignment horizontal="right" vertical="center" wrapText="1"/>
    </xf>
    <xf numFmtId="164" fontId="18" fillId="4" borderId="6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4" fontId="2" fillId="6" borderId="6" xfId="0" applyNumberFormat="1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" fillId="3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right" vertical="center"/>
    </xf>
    <xf numFmtId="4" fontId="2" fillId="3" borderId="6" xfId="1" applyNumberFormat="1" applyFont="1" applyFill="1" applyBorder="1" applyAlignment="1">
      <alignment horizontal="right" vertical="center"/>
    </xf>
    <xf numFmtId="2" fontId="1" fillId="3" borderId="6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 wrapText="1"/>
    </xf>
    <xf numFmtId="164" fontId="2" fillId="3" borderId="6" xfId="1" applyNumberFormat="1" applyFont="1" applyFill="1" applyBorder="1" applyAlignment="1">
      <alignment horizontal="right" vertical="center"/>
    </xf>
    <xf numFmtId="4" fontId="2" fillId="3" borderId="6" xfId="1" applyNumberFormat="1" applyFont="1" applyFill="1" applyBorder="1" applyAlignment="1">
      <alignment horizontal="center" vertical="center"/>
    </xf>
    <xf numFmtId="164" fontId="2" fillId="3" borderId="6" xfId="1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/>
    <xf numFmtId="4" fontId="2" fillId="3" borderId="6" xfId="0" applyNumberFormat="1" applyFont="1" applyFill="1" applyBorder="1"/>
    <xf numFmtId="4" fontId="2" fillId="3" borderId="6" xfId="0" applyNumberFormat="1" applyFont="1" applyFill="1" applyBorder="1" applyAlignment="1">
      <alignment horizontal="right"/>
    </xf>
    <xf numFmtId="0" fontId="2" fillId="3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" fontId="18" fillId="0" borderId="1" xfId="0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right" vertical="center"/>
    </xf>
    <xf numFmtId="0" fontId="2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0" fontId="9" fillId="7" borderId="0" xfId="0" applyFont="1" applyFill="1" applyAlignment="1">
      <alignment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center" vertical="center" wrapText="1"/>
    </xf>
    <xf numFmtId="4" fontId="2" fillId="7" borderId="6" xfId="1" applyNumberFormat="1" applyFont="1" applyFill="1" applyBorder="1" applyAlignment="1">
      <alignment horizontal="center" vertical="center"/>
    </xf>
    <xf numFmtId="2" fontId="2" fillId="7" borderId="0" xfId="0" applyNumberFormat="1" applyFont="1" applyFill="1" applyAlignment="1">
      <alignment horizontal="center" vertical="center"/>
    </xf>
    <xf numFmtId="4" fontId="2" fillId="7" borderId="6" xfId="1" applyNumberFormat="1" applyFont="1" applyFill="1" applyBorder="1" applyAlignment="1">
      <alignment horizontal="left" vertical="center"/>
    </xf>
    <xf numFmtId="4" fontId="2" fillId="7" borderId="6" xfId="0" applyNumberFormat="1" applyFont="1" applyFill="1" applyBorder="1" applyAlignment="1">
      <alignment horizontal="center"/>
    </xf>
    <xf numFmtId="4" fontId="2" fillId="7" borderId="6" xfId="0" applyNumberFormat="1" applyFont="1" applyFill="1" applyBorder="1"/>
    <xf numFmtId="0" fontId="2" fillId="7" borderId="0" xfId="0" applyFont="1" applyFill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164" fontId="24" fillId="4" borderId="5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0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justify" vertical="center" wrapText="1"/>
    </xf>
    <xf numFmtId="0" fontId="5" fillId="0" borderId="1" xfId="1" applyNumberFormat="1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0" xfId="0" applyFont="1" applyFill="1" applyAlignment="1">
      <alignment horizontal="left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4" fillId="2" borderId="5" xfId="0" applyFont="1" applyFill="1" applyBorder="1" applyAlignment="1">
      <alignment vertical="center" wrapText="1"/>
    </xf>
    <xf numFmtId="0" fontId="24" fillId="2" borderId="10" xfId="0" applyFont="1" applyFill="1" applyBorder="1" applyAlignment="1">
      <alignment vertical="center" wrapText="1"/>
    </xf>
  </cellXfs>
  <cellStyles count="2">
    <cellStyle name="Обычный" xfId="0" builtinId="0"/>
    <cellStyle name="Обычный_приложения  транспорт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9"/>
  <sheetViews>
    <sheetView topLeftCell="B1" zoomScale="70" zoomScaleNormal="70" workbookViewId="0">
      <pane xSplit="10" ySplit="9" topLeftCell="R25" activePane="bottomRight" state="frozen"/>
      <selection activeCell="B1" sqref="B1"/>
      <selection pane="topRight" activeCell="L1" sqref="L1"/>
      <selection pane="bottomLeft" activeCell="B10" sqref="B10"/>
      <selection pane="bottomRight" activeCell="S35" sqref="S35"/>
    </sheetView>
  </sheetViews>
  <sheetFormatPr defaultRowHeight="12.75"/>
  <cols>
    <col min="1" max="1" width="50.28515625" style="63" customWidth="1"/>
    <col min="2" max="2" width="18.85546875" style="63" customWidth="1"/>
    <col min="3" max="3" width="7.7109375" style="63" customWidth="1"/>
    <col min="4" max="4" width="8" style="63" customWidth="1"/>
    <col min="5" max="5" width="13.140625" style="63" customWidth="1"/>
    <col min="6" max="6" width="5.5703125" style="63" customWidth="1"/>
    <col min="7" max="7" width="11.42578125" style="64" hidden="1" customWidth="1"/>
    <col min="8" max="8" width="12.5703125" style="64" hidden="1" customWidth="1"/>
    <col min="9" max="9" width="11.42578125" style="64" hidden="1" customWidth="1"/>
    <col min="10" max="10" width="10.5703125" style="64" hidden="1" customWidth="1"/>
    <col min="11" max="11" width="10.5703125" style="64" customWidth="1"/>
    <col min="12" max="12" width="11.7109375" style="154" customWidth="1"/>
    <col min="13" max="15" width="12.42578125" style="154" customWidth="1"/>
    <col min="16" max="16" width="13.140625" style="154" customWidth="1"/>
    <col min="17" max="17" width="12.42578125" style="154" customWidth="1"/>
    <col min="18" max="18" width="13.42578125" style="154" customWidth="1"/>
    <col min="19" max="21" width="13.42578125" style="64" customWidth="1"/>
    <col min="22" max="22" width="13.28515625" style="64" customWidth="1"/>
    <col min="23" max="23" width="27.5703125" style="63" customWidth="1"/>
    <col min="24" max="24" width="15.42578125" style="65" hidden="1" customWidth="1"/>
    <col min="25" max="16384" width="9.140625" style="65"/>
  </cols>
  <sheetData>
    <row r="1" spans="1:27" ht="56.25" customHeight="1">
      <c r="P1" s="155"/>
      <c r="Q1" s="214"/>
      <c r="R1" s="306" t="s">
        <v>87</v>
      </c>
      <c r="S1" s="306"/>
      <c r="T1" s="306"/>
      <c r="U1" s="306"/>
      <c r="V1" s="306"/>
      <c r="W1" s="306"/>
    </row>
    <row r="2" spans="1:27" ht="16.5" customHeight="1">
      <c r="O2" s="156"/>
      <c r="P2" s="156"/>
      <c r="Q2" s="156"/>
      <c r="R2" s="156"/>
      <c r="S2" s="66"/>
      <c r="T2" s="66"/>
      <c r="U2" s="246"/>
      <c r="V2" s="66"/>
      <c r="W2" s="66"/>
    </row>
    <row r="3" spans="1:27" s="67" customFormat="1" ht="26.25">
      <c r="A3" s="307" t="s">
        <v>1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</row>
    <row r="4" spans="1:27" ht="12.75" hidden="1" customHeight="1"/>
    <row r="5" spans="1:27" ht="12.75" customHeight="1"/>
    <row r="6" spans="1:27" s="70" customFormat="1" ht="12.75" customHeight="1">
      <c r="A6" s="303" t="s">
        <v>88</v>
      </c>
      <c r="B6" s="303" t="s">
        <v>8</v>
      </c>
      <c r="C6" s="303" t="s">
        <v>4</v>
      </c>
      <c r="D6" s="303"/>
      <c r="E6" s="303"/>
      <c r="F6" s="303"/>
      <c r="G6" s="68"/>
      <c r="H6" s="69"/>
      <c r="I6" s="69"/>
      <c r="J6" s="69"/>
      <c r="K6" s="302" t="s">
        <v>59</v>
      </c>
      <c r="L6" s="308" t="s">
        <v>6</v>
      </c>
      <c r="M6" s="308"/>
      <c r="N6" s="308"/>
      <c r="O6" s="308"/>
      <c r="P6" s="308"/>
      <c r="Q6" s="308"/>
      <c r="R6" s="308"/>
      <c r="S6" s="308"/>
      <c r="T6" s="308"/>
      <c r="U6" s="308"/>
      <c r="V6" s="309"/>
      <c r="W6" s="303" t="s">
        <v>89</v>
      </c>
    </row>
    <row r="7" spans="1:27" s="70" customFormat="1" ht="12.75" customHeight="1">
      <c r="A7" s="303"/>
      <c r="B7" s="303"/>
      <c r="C7" s="303"/>
      <c r="D7" s="303"/>
      <c r="E7" s="303"/>
      <c r="F7" s="303"/>
      <c r="G7" s="71"/>
      <c r="H7" s="72"/>
      <c r="I7" s="72"/>
      <c r="J7" s="72"/>
      <c r="K7" s="302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1"/>
      <c r="W7" s="303"/>
    </row>
    <row r="8" spans="1:27" s="70" customFormat="1" ht="35.25" customHeight="1">
      <c r="A8" s="303"/>
      <c r="B8" s="303"/>
      <c r="C8" s="303" t="s">
        <v>8</v>
      </c>
      <c r="D8" s="303" t="s">
        <v>9</v>
      </c>
      <c r="E8" s="303" t="s">
        <v>10</v>
      </c>
      <c r="F8" s="303" t="s">
        <v>11</v>
      </c>
      <c r="G8" s="73"/>
      <c r="H8" s="73"/>
      <c r="I8" s="73" t="s">
        <v>90</v>
      </c>
      <c r="J8" s="74"/>
      <c r="K8" s="302"/>
      <c r="L8" s="157">
        <v>2014</v>
      </c>
      <c r="M8" s="158">
        <v>2015</v>
      </c>
      <c r="N8" s="158">
        <v>2016</v>
      </c>
      <c r="O8" s="158">
        <v>2017</v>
      </c>
      <c r="P8" s="158">
        <v>2018</v>
      </c>
      <c r="Q8" s="158">
        <v>2019</v>
      </c>
      <c r="R8" s="158">
        <v>2020</v>
      </c>
      <c r="S8" s="75">
        <v>2021</v>
      </c>
      <c r="T8" s="75">
        <v>2022</v>
      </c>
      <c r="U8" s="75">
        <v>2023</v>
      </c>
      <c r="V8" s="302" t="s">
        <v>12</v>
      </c>
      <c r="W8" s="303"/>
    </row>
    <row r="9" spans="1:27" s="70" customFormat="1" ht="53.25" hidden="1" customHeight="1">
      <c r="A9" s="303"/>
      <c r="B9" s="303"/>
      <c r="C9" s="303"/>
      <c r="D9" s="303"/>
      <c r="E9" s="303"/>
      <c r="F9" s="303"/>
      <c r="G9" s="73" t="s">
        <v>91</v>
      </c>
      <c r="H9" s="73" t="s">
        <v>92</v>
      </c>
      <c r="I9" s="73" t="s">
        <v>91</v>
      </c>
      <c r="J9" s="74" t="s">
        <v>92</v>
      </c>
      <c r="K9" s="302"/>
      <c r="L9" s="159"/>
      <c r="M9" s="160" t="s">
        <v>93</v>
      </c>
      <c r="N9" s="160"/>
      <c r="O9" s="160" t="s">
        <v>93</v>
      </c>
      <c r="P9" s="160" t="s">
        <v>93</v>
      </c>
      <c r="Q9" s="160" t="s">
        <v>93</v>
      </c>
      <c r="R9" s="160"/>
      <c r="S9" s="73"/>
      <c r="T9" s="73"/>
      <c r="U9" s="245"/>
      <c r="V9" s="302"/>
      <c r="W9" s="303"/>
    </row>
    <row r="10" spans="1:27" s="70" customFormat="1" ht="22.5" customHeight="1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73"/>
      <c r="H10" s="73"/>
      <c r="I10" s="73"/>
      <c r="J10" s="73"/>
      <c r="K10" s="77">
        <v>7</v>
      </c>
      <c r="L10" s="158">
        <v>8</v>
      </c>
      <c r="M10" s="158">
        <v>9</v>
      </c>
      <c r="N10" s="158">
        <v>10</v>
      </c>
      <c r="O10" s="158">
        <v>11</v>
      </c>
      <c r="P10" s="158">
        <v>12</v>
      </c>
      <c r="Q10" s="158">
        <v>13</v>
      </c>
      <c r="R10" s="158">
        <v>14</v>
      </c>
      <c r="S10" s="75">
        <v>15</v>
      </c>
      <c r="T10" s="75">
        <v>16</v>
      </c>
      <c r="U10" s="75">
        <v>17</v>
      </c>
      <c r="V10" s="77">
        <v>18</v>
      </c>
      <c r="W10" s="76">
        <v>19</v>
      </c>
    </row>
    <row r="11" spans="1:27" s="78" customFormat="1">
      <c r="A11" s="303" t="s">
        <v>60</v>
      </c>
      <c r="B11" s="303"/>
      <c r="C11" s="303"/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</row>
    <row r="12" spans="1:27" s="78" customFormat="1">
      <c r="A12" s="303" t="s">
        <v>94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</row>
    <row r="13" spans="1:27" s="82" customFormat="1" ht="34.5" customHeight="1">
      <c r="A13" s="79" t="s">
        <v>95</v>
      </c>
      <c r="B13" s="80"/>
      <c r="C13" s="76"/>
      <c r="D13" s="76"/>
      <c r="E13" s="76"/>
      <c r="F13" s="76"/>
      <c r="G13" s="76"/>
      <c r="H13" s="76"/>
      <c r="I13" s="76"/>
      <c r="J13" s="76"/>
      <c r="K13" s="76"/>
      <c r="L13" s="160">
        <f t="shared" ref="L13:P13" si="0">L14</f>
        <v>4115000</v>
      </c>
      <c r="M13" s="160">
        <f t="shared" si="0"/>
        <v>24266010</v>
      </c>
      <c r="N13" s="160">
        <f>N14</f>
        <v>30825800</v>
      </c>
      <c r="O13" s="160">
        <f t="shared" si="0"/>
        <v>35013530</v>
      </c>
      <c r="P13" s="160">
        <f t="shared" si="0"/>
        <v>33823600</v>
      </c>
      <c r="Q13" s="160">
        <f>Q14+Q32</f>
        <v>29408780</v>
      </c>
      <c r="R13" s="160">
        <f>R14+R32</f>
        <v>33044734</v>
      </c>
      <c r="S13" s="213">
        <f t="shared" ref="S13:T13" si="1">S14+S32</f>
        <v>85195100</v>
      </c>
      <c r="T13" s="213">
        <f t="shared" si="1"/>
        <v>35151900</v>
      </c>
      <c r="U13" s="245">
        <f t="shared" ref="U13" si="2">U14+U32</f>
        <v>35509500</v>
      </c>
      <c r="V13" s="73">
        <f t="shared" ref="V13:V31" si="3">SUM(L13:U13)</f>
        <v>346353954</v>
      </c>
      <c r="W13" s="81"/>
    </row>
    <row r="14" spans="1:27" s="82" customFormat="1" ht="55.5" customHeight="1">
      <c r="A14" s="79" t="s">
        <v>96</v>
      </c>
      <c r="B14" s="83"/>
      <c r="C14" s="83"/>
      <c r="D14" s="83"/>
      <c r="E14" s="83"/>
      <c r="F14" s="83"/>
      <c r="G14" s="84" t="e">
        <f>#REF!+#REF!+I14+#REF!+#REF!</f>
        <v>#REF!</v>
      </c>
      <c r="H14" s="84" t="e">
        <f>#REF!+#REF!+#REF!</f>
        <v>#REF!</v>
      </c>
      <c r="I14" s="84" t="e">
        <f>#REF!+#REF!+#REF!</f>
        <v>#REF!</v>
      </c>
      <c r="J14" s="84" t="e">
        <f>#REF!+#REF!+#REF!</f>
        <v>#REF!</v>
      </c>
      <c r="K14" s="84"/>
      <c r="L14" s="160">
        <f>SUM(L15:L27)</f>
        <v>4115000</v>
      </c>
      <c r="M14" s="160">
        <f>SUM(M15:M27)</f>
        <v>24266010</v>
      </c>
      <c r="N14" s="160">
        <f t="shared" ref="N14:Q14" si="4">SUM(N15:N29)</f>
        <v>30825800</v>
      </c>
      <c r="O14" s="160">
        <f t="shared" si="4"/>
        <v>35013530</v>
      </c>
      <c r="P14" s="160">
        <f t="shared" si="4"/>
        <v>33823600</v>
      </c>
      <c r="Q14" s="160">
        <f t="shared" si="4"/>
        <v>29288780</v>
      </c>
      <c r="R14" s="160">
        <f>SUM(R15:R31)</f>
        <v>33044734</v>
      </c>
      <c r="S14" s="213">
        <f>SUM(S15:S31)</f>
        <v>85195100</v>
      </c>
      <c r="T14" s="213">
        <f>SUM(T15:T31)</f>
        <v>35151900</v>
      </c>
      <c r="U14" s="245">
        <f t="shared" ref="U14" si="5">SUM(U15:U31)</f>
        <v>35509500</v>
      </c>
      <c r="V14" s="73">
        <f t="shared" si="3"/>
        <v>346233954</v>
      </c>
      <c r="W14" s="85"/>
      <c r="X14" s="86" t="e">
        <f>#REF!+#REF!+M14-#REF!+O14+Q14</f>
        <v>#REF!</v>
      </c>
      <c r="Y14" s="86"/>
      <c r="Z14" s="86"/>
      <c r="AA14" s="86"/>
    </row>
    <row r="15" spans="1:27" s="78" customFormat="1" ht="34.5" customHeight="1">
      <c r="A15" s="296" t="s">
        <v>97</v>
      </c>
      <c r="B15" s="296" t="s">
        <v>38</v>
      </c>
      <c r="C15" s="296">
        <v>890</v>
      </c>
      <c r="D15" s="299" t="s">
        <v>39</v>
      </c>
      <c r="E15" s="87" t="s">
        <v>98</v>
      </c>
      <c r="F15" s="76">
        <v>540</v>
      </c>
      <c r="G15" s="88" t="e">
        <f>#REF!+#REF!+I15+#REF!+#REF!</f>
        <v>#REF!</v>
      </c>
      <c r="H15" s="88" t="e">
        <f>#REF!+#REF!+J15+#REF!+#REF!</f>
        <v>#REF!</v>
      </c>
      <c r="I15" s="88">
        <f>218279+1896101+5336.5</f>
        <v>2119716.5</v>
      </c>
      <c r="J15" s="88">
        <v>0</v>
      </c>
      <c r="K15" s="73" t="s">
        <v>32</v>
      </c>
      <c r="L15" s="160">
        <v>4089300</v>
      </c>
      <c r="M15" s="161">
        <v>5621900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89">
        <v>0</v>
      </c>
      <c r="T15" s="89">
        <v>0</v>
      </c>
      <c r="U15" s="89">
        <v>0</v>
      </c>
      <c r="V15" s="73">
        <f t="shared" si="3"/>
        <v>9711200</v>
      </c>
      <c r="W15" s="296" t="s">
        <v>99</v>
      </c>
      <c r="X15" s="86" t="e">
        <f>#REF!+#REF!+M15-#REF!+O15+Q15</f>
        <v>#REF!</v>
      </c>
      <c r="Y15" s="86"/>
      <c r="Z15" s="86"/>
      <c r="AA15" s="86"/>
    </row>
    <row r="16" spans="1:27" s="78" customFormat="1" ht="34.5" customHeight="1">
      <c r="A16" s="297"/>
      <c r="B16" s="297"/>
      <c r="C16" s="297"/>
      <c r="D16" s="300"/>
      <c r="E16" s="87" t="s">
        <v>100</v>
      </c>
      <c r="F16" s="76">
        <v>540</v>
      </c>
      <c r="G16" s="88"/>
      <c r="H16" s="88"/>
      <c r="I16" s="88"/>
      <c r="J16" s="88"/>
      <c r="K16" s="90" t="s">
        <v>32</v>
      </c>
      <c r="L16" s="160">
        <v>0</v>
      </c>
      <c r="M16" s="161">
        <v>0</v>
      </c>
      <c r="N16" s="161">
        <v>0</v>
      </c>
      <c r="O16" s="161">
        <v>5912130</v>
      </c>
      <c r="P16" s="161">
        <v>7008400</v>
      </c>
      <c r="Q16" s="161">
        <v>7783900</v>
      </c>
      <c r="R16" s="161">
        <v>0</v>
      </c>
      <c r="S16" s="89">
        <v>0</v>
      </c>
      <c r="T16" s="89">
        <v>0</v>
      </c>
      <c r="U16" s="89">
        <v>0</v>
      </c>
      <c r="V16" s="73">
        <f t="shared" si="3"/>
        <v>20704430</v>
      </c>
      <c r="W16" s="297"/>
      <c r="X16" s="86"/>
      <c r="Y16" s="86"/>
      <c r="Z16" s="86"/>
      <c r="AA16" s="86"/>
    </row>
    <row r="17" spans="1:27" s="78" customFormat="1" ht="34.5" customHeight="1">
      <c r="A17" s="297"/>
      <c r="B17" s="297"/>
      <c r="C17" s="297"/>
      <c r="D17" s="300"/>
      <c r="E17" s="87" t="s">
        <v>104</v>
      </c>
      <c r="F17" s="208">
        <v>521</v>
      </c>
      <c r="G17" s="88"/>
      <c r="H17" s="88"/>
      <c r="I17" s="88"/>
      <c r="J17" s="88"/>
      <c r="K17" s="207" t="s">
        <v>32</v>
      </c>
      <c r="L17" s="160"/>
      <c r="M17" s="161"/>
      <c r="N17" s="161"/>
      <c r="O17" s="161"/>
      <c r="P17" s="161"/>
      <c r="Q17" s="161"/>
      <c r="R17" s="161">
        <v>8064920</v>
      </c>
      <c r="S17" s="89">
        <v>8450180</v>
      </c>
      <c r="T17" s="89">
        <v>8788200</v>
      </c>
      <c r="U17" s="89">
        <v>9145700</v>
      </c>
      <c r="V17" s="209">
        <f t="shared" si="3"/>
        <v>34449000</v>
      </c>
      <c r="W17" s="297"/>
      <c r="X17" s="86"/>
      <c r="Y17" s="86"/>
      <c r="Z17" s="86"/>
      <c r="AA17" s="86"/>
    </row>
    <row r="18" spans="1:27" s="78" customFormat="1" ht="34.5" customHeight="1">
      <c r="A18" s="297"/>
      <c r="B18" s="298"/>
      <c r="C18" s="298"/>
      <c r="D18" s="301"/>
      <c r="E18" s="87" t="s">
        <v>101</v>
      </c>
      <c r="F18" s="76">
        <v>540</v>
      </c>
      <c r="G18" s="88"/>
      <c r="H18" s="88"/>
      <c r="I18" s="88"/>
      <c r="J18" s="88"/>
      <c r="K18" s="90" t="s">
        <v>32</v>
      </c>
      <c r="L18" s="160">
        <v>0</v>
      </c>
      <c r="M18" s="161">
        <v>0</v>
      </c>
      <c r="N18" s="161">
        <v>5364400</v>
      </c>
      <c r="O18" s="161">
        <v>0</v>
      </c>
      <c r="P18" s="161">
        <v>0</v>
      </c>
      <c r="Q18" s="161">
        <v>0</v>
      </c>
      <c r="R18" s="161">
        <v>0</v>
      </c>
      <c r="S18" s="89">
        <v>0</v>
      </c>
      <c r="T18" s="89">
        <v>0</v>
      </c>
      <c r="U18" s="89">
        <v>0</v>
      </c>
      <c r="V18" s="73">
        <f t="shared" si="3"/>
        <v>5364400</v>
      </c>
      <c r="W18" s="297"/>
      <c r="X18" s="86"/>
      <c r="Y18" s="86"/>
      <c r="Z18" s="86"/>
      <c r="AA18" s="86"/>
    </row>
    <row r="19" spans="1:27" s="78" customFormat="1" ht="34.5" customHeight="1">
      <c r="A19" s="297"/>
      <c r="B19" s="296" t="s">
        <v>102</v>
      </c>
      <c r="C19" s="91">
        <v>806</v>
      </c>
      <c r="D19" s="92" t="s">
        <v>39</v>
      </c>
      <c r="E19" s="87" t="s">
        <v>101</v>
      </c>
      <c r="F19" s="76">
        <v>244</v>
      </c>
      <c r="G19" s="88"/>
      <c r="H19" s="88"/>
      <c r="I19" s="88"/>
      <c r="J19" s="88"/>
      <c r="K19" s="90" t="s">
        <v>32</v>
      </c>
      <c r="L19" s="160">
        <v>0</v>
      </c>
      <c r="M19" s="161">
        <v>0</v>
      </c>
      <c r="N19" s="161">
        <v>100000</v>
      </c>
      <c r="O19" s="161">
        <v>0</v>
      </c>
      <c r="P19" s="161">
        <v>0</v>
      </c>
      <c r="Q19" s="161">
        <v>0</v>
      </c>
      <c r="R19" s="161">
        <v>0</v>
      </c>
      <c r="S19" s="89">
        <v>0</v>
      </c>
      <c r="T19" s="89">
        <v>0</v>
      </c>
      <c r="U19" s="89">
        <v>0</v>
      </c>
      <c r="V19" s="73">
        <f t="shared" si="3"/>
        <v>100000</v>
      </c>
      <c r="W19" s="297"/>
      <c r="X19" s="86"/>
      <c r="Y19" s="86"/>
      <c r="Z19" s="86"/>
      <c r="AA19" s="86"/>
    </row>
    <row r="20" spans="1:27" s="78" customFormat="1" ht="29.25" customHeight="1">
      <c r="A20" s="297"/>
      <c r="B20" s="297"/>
      <c r="C20" s="91">
        <v>806</v>
      </c>
      <c r="D20" s="92" t="s">
        <v>39</v>
      </c>
      <c r="E20" s="87" t="s">
        <v>103</v>
      </c>
      <c r="F20" s="76">
        <v>244</v>
      </c>
      <c r="G20" s="88"/>
      <c r="H20" s="88"/>
      <c r="I20" s="88"/>
      <c r="J20" s="88"/>
      <c r="K20" s="90" t="s">
        <v>22</v>
      </c>
      <c r="L20" s="160">
        <v>0</v>
      </c>
      <c r="M20" s="161">
        <v>0</v>
      </c>
      <c r="N20" s="161">
        <v>1000</v>
      </c>
      <c r="O20" s="161">
        <v>0</v>
      </c>
      <c r="P20" s="161">
        <v>0</v>
      </c>
      <c r="Q20" s="161">
        <v>0</v>
      </c>
      <c r="R20" s="161">
        <v>0</v>
      </c>
      <c r="S20" s="89">
        <v>0</v>
      </c>
      <c r="T20" s="89">
        <v>0</v>
      </c>
      <c r="U20" s="89">
        <v>0</v>
      </c>
      <c r="V20" s="73">
        <f t="shared" si="3"/>
        <v>1000</v>
      </c>
      <c r="W20" s="297"/>
      <c r="X20" s="86"/>
      <c r="Y20" s="86"/>
      <c r="Z20" s="86"/>
      <c r="AA20" s="86"/>
    </row>
    <row r="21" spans="1:27" s="78" customFormat="1" ht="29.25" customHeight="1">
      <c r="A21" s="297"/>
      <c r="B21" s="297"/>
      <c r="C21" s="91">
        <v>806</v>
      </c>
      <c r="D21" s="92" t="s">
        <v>39</v>
      </c>
      <c r="E21" s="87" t="s">
        <v>100</v>
      </c>
      <c r="F21" s="76">
        <v>244</v>
      </c>
      <c r="G21" s="88"/>
      <c r="H21" s="88"/>
      <c r="I21" s="88"/>
      <c r="J21" s="88"/>
      <c r="K21" s="90" t="s">
        <v>32</v>
      </c>
      <c r="L21" s="160">
        <v>0</v>
      </c>
      <c r="M21" s="161">
        <v>0</v>
      </c>
      <c r="N21" s="161">
        <v>0</v>
      </c>
      <c r="O21" s="161">
        <v>0</v>
      </c>
      <c r="P21" s="161">
        <v>140000</v>
      </c>
      <c r="Q21" s="161">
        <v>140000</v>
      </c>
      <c r="R21" s="161">
        <v>0</v>
      </c>
      <c r="S21" s="89">
        <v>0</v>
      </c>
      <c r="T21" s="89">
        <v>0</v>
      </c>
      <c r="U21" s="89">
        <v>0</v>
      </c>
      <c r="V21" s="73">
        <f t="shared" si="3"/>
        <v>280000</v>
      </c>
      <c r="W21" s="297"/>
      <c r="X21" s="86"/>
      <c r="Y21" s="86"/>
      <c r="Z21" s="86"/>
      <c r="AA21" s="86"/>
    </row>
    <row r="22" spans="1:27" s="78" customFormat="1" ht="29.25" customHeight="1">
      <c r="A22" s="297"/>
      <c r="B22" s="297"/>
      <c r="C22" s="204">
        <v>806</v>
      </c>
      <c r="D22" s="206" t="s">
        <v>39</v>
      </c>
      <c r="E22" s="87" t="s">
        <v>166</v>
      </c>
      <c r="F22" s="208">
        <v>244</v>
      </c>
      <c r="G22" s="88"/>
      <c r="H22" s="88"/>
      <c r="I22" s="88"/>
      <c r="J22" s="88"/>
      <c r="K22" s="207" t="s">
        <v>22</v>
      </c>
      <c r="L22" s="160"/>
      <c r="M22" s="161"/>
      <c r="N22" s="161"/>
      <c r="O22" s="161"/>
      <c r="P22" s="161"/>
      <c r="Q22" s="161"/>
      <c r="R22" s="161">
        <v>1680</v>
      </c>
      <c r="S22" s="89">
        <v>1000</v>
      </c>
      <c r="T22" s="89">
        <v>1000</v>
      </c>
      <c r="U22" s="89">
        <v>1000</v>
      </c>
      <c r="V22" s="209">
        <f t="shared" si="3"/>
        <v>4680</v>
      </c>
      <c r="W22" s="297"/>
      <c r="X22" s="86"/>
      <c r="Y22" s="86"/>
      <c r="Z22" s="86"/>
      <c r="AA22" s="86"/>
    </row>
    <row r="23" spans="1:27" s="78" customFormat="1" ht="29.25" customHeight="1">
      <c r="A23" s="297"/>
      <c r="B23" s="297"/>
      <c r="C23" s="204">
        <v>806</v>
      </c>
      <c r="D23" s="206" t="s">
        <v>39</v>
      </c>
      <c r="E23" s="87" t="s">
        <v>166</v>
      </c>
      <c r="F23" s="208">
        <v>244</v>
      </c>
      <c r="G23" s="88"/>
      <c r="H23" s="88"/>
      <c r="I23" s="88"/>
      <c r="J23" s="88"/>
      <c r="K23" s="207" t="s">
        <v>32</v>
      </c>
      <c r="L23" s="160"/>
      <c r="M23" s="161"/>
      <c r="N23" s="161"/>
      <c r="O23" s="161"/>
      <c r="P23" s="161"/>
      <c r="Q23" s="161"/>
      <c r="R23" s="161">
        <v>167980</v>
      </c>
      <c r="S23" s="89">
        <v>112020</v>
      </c>
      <c r="T23" s="89">
        <v>116500</v>
      </c>
      <c r="U23" s="89">
        <v>115200</v>
      </c>
      <c r="V23" s="209">
        <f t="shared" si="3"/>
        <v>511700</v>
      </c>
      <c r="W23" s="297"/>
      <c r="X23" s="86"/>
      <c r="Y23" s="86"/>
      <c r="Z23" s="86"/>
      <c r="AA23" s="86"/>
    </row>
    <row r="24" spans="1:27" s="78" customFormat="1" ht="29.25" customHeight="1">
      <c r="A24" s="298"/>
      <c r="B24" s="298"/>
      <c r="C24" s="91">
        <v>806</v>
      </c>
      <c r="D24" s="92" t="s">
        <v>39</v>
      </c>
      <c r="E24" s="87" t="s">
        <v>104</v>
      </c>
      <c r="F24" s="76">
        <v>244</v>
      </c>
      <c r="G24" s="88"/>
      <c r="H24" s="88"/>
      <c r="I24" s="88"/>
      <c r="J24" s="88"/>
      <c r="K24" s="90" t="s">
        <v>22</v>
      </c>
      <c r="L24" s="160">
        <v>0</v>
      </c>
      <c r="M24" s="161">
        <v>0</v>
      </c>
      <c r="N24" s="161">
        <v>0</v>
      </c>
      <c r="O24" s="161">
        <v>0</v>
      </c>
      <c r="P24" s="161">
        <v>1400</v>
      </c>
      <c r="Q24" s="161">
        <v>1680</v>
      </c>
      <c r="R24" s="161">
        <v>0</v>
      </c>
      <c r="S24" s="89">
        <v>0</v>
      </c>
      <c r="T24" s="89">
        <v>0</v>
      </c>
      <c r="U24" s="89">
        <v>0</v>
      </c>
      <c r="V24" s="73">
        <f t="shared" si="3"/>
        <v>3080</v>
      </c>
      <c r="W24" s="297"/>
      <c r="X24" s="86"/>
      <c r="Y24" s="86"/>
      <c r="Z24" s="86"/>
      <c r="AA24" s="86"/>
    </row>
    <row r="25" spans="1:27" s="78" customFormat="1" ht="27.75" customHeight="1">
      <c r="A25" s="304" t="s">
        <v>105</v>
      </c>
      <c r="B25" s="296" t="s">
        <v>102</v>
      </c>
      <c r="C25" s="296">
        <v>806</v>
      </c>
      <c r="D25" s="299" t="s">
        <v>39</v>
      </c>
      <c r="E25" s="87" t="s">
        <v>106</v>
      </c>
      <c r="F25" s="76">
        <v>244</v>
      </c>
      <c r="G25" s="88"/>
      <c r="H25" s="88"/>
      <c r="I25" s="88"/>
      <c r="J25" s="88"/>
      <c r="K25" s="312" t="s">
        <v>22</v>
      </c>
      <c r="L25" s="160">
        <v>25700</v>
      </c>
      <c r="M25" s="161">
        <v>45200</v>
      </c>
      <c r="N25" s="161">
        <v>0</v>
      </c>
      <c r="O25" s="161">
        <v>0</v>
      </c>
      <c r="P25" s="161">
        <v>0</v>
      </c>
      <c r="Q25" s="161">
        <v>0</v>
      </c>
      <c r="R25" s="161">
        <v>0</v>
      </c>
      <c r="S25" s="89">
        <v>0</v>
      </c>
      <c r="T25" s="89">
        <v>0</v>
      </c>
      <c r="U25" s="89">
        <v>0</v>
      </c>
      <c r="V25" s="73">
        <f t="shared" si="3"/>
        <v>70900</v>
      </c>
      <c r="W25" s="297"/>
      <c r="X25" s="86"/>
      <c r="Y25" s="86"/>
      <c r="Z25" s="86"/>
      <c r="AA25" s="86"/>
    </row>
    <row r="26" spans="1:27" s="78" customFormat="1" ht="27.75" customHeight="1">
      <c r="A26" s="305"/>
      <c r="B26" s="298"/>
      <c r="C26" s="298"/>
      <c r="D26" s="301"/>
      <c r="E26" s="87" t="s">
        <v>107</v>
      </c>
      <c r="F26" s="76">
        <v>244</v>
      </c>
      <c r="G26" s="88"/>
      <c r="H26" s="88"/>
      <c r="I26" s="88"/>
      <c r="J26" s="88"/>
      <c r="K26" s="313"/>
      <c r="L26" s="160">
        <v>0</v>
      </c>
      <c r="M26" s="161">
        <v>0</v>
      </c>
      <c r="N26" s="161">
        <v>83100</v>
      </c>
      <c r="O26" s="161">
        <v>32700</v>
      </c>
      <c r="P26" s="161">
        <v>284300</v>
      </c>
      <c r="Q26" s="161">
        <v>32200</v>
      </c>
      <c r="R26" s="161">
        <v>40454</v>
      </c>
      <c r="S26" s="89">
        <f>37400+387000</f>
        <v>424400</v>
      </c>
      <c r="T26" s="89">
        <v>38700</v>
      </c>
      <c r="U26" s="89">
        <v>40100</v>
      </c>
      <c r="V26" s="73">
        <f t="shared" si="3"/>
        <v>975954</v>
      </c>
      <c r="W26" s="298"/>
      <c r="X26" s="86"/>
      <c r="Y26" s="86"/>
      <c r="Z26" s="86"/>
      <c r="AA26" s="86"/>
    </row>
    <row r="27" spans="1:27" s="78" customFormat="1" ht="48.75" customHeight="1">
      <c r="A27" s="296" t="s">
        <v>108</v>
      </c>
      <c r="B27" s="296" t="s">
        <v>38</v>
      </c>
      <c r="C27" s="296">
        <v>890</v>
      </c>
      <c r="D27" s="299" t="s">
        <v>39</v>
      </c>
      <c r="E27" s="87" t="s">
        <v>109</v>
      </c>
      <c r="F27" s="76">
        <v>540</v>
      </c>
      <c r="G27" s="88"/>
      <c r="H27" s="88"/>
      <c r="I27" s="88"/>
      <c r="J27" s="88"/>
      <c r="K27" s="73" t="s">
        <v>32</v>
      </c>
      <c r="L27" s="160">
        <v>0</v>
      </c>
      <c r="M27" s="161">
        <v>18598910</v>
      </c>
      <c r="N27" s="161">
        <v>0</v>
      </c>
      <c r="O27" s="161">
        <v>0</v>
      </c>
      <c r="P27" s="161">
        <v>0</v>
      </c>
      <c r="Q27" s="161">
        <v>0</v>
      </c>
      <c r="R27" s="161">
        <v>0</v>
      </c>
      <c r="S27" s="89">
        <v>0</v>
      </c>
      <c r="T27" s="89">
        <v>0</v>
      </c>
      <c r="U27" s="89">
        <v>0</v>
      </c>
      <c r="V27" s="73">
        <f t="shared" si="3"/>
        <v>18598910</v>
      </c>
      <c r="W27" s="296" t="s">
        <v>110</v>
      </c>
      <c r="X27" s="86"/>
      <c r="Y27" s="86"/>
      <c r="Z27" s="86"/>
      <c r="AA27" s="86"/>
    </row>
    <row r="28" spans="1:27" s="78" customFormat="1" ht="48.75" customHeight="1">
      <c r="A28" s="297"/>
      <c r="B28" s="297"/>
      <c r="C28" s="297"/>
      <c r="D28" s="300"/>
      <c r="E28" s="87" t="s">
        <v>101</v>
      </c>
      <c r="F28" s="76">
        <v>540</v>
      </c>
      <c r="G28" s="88"/>
      <c r="H28" s="88"/>
      <c r="I28" s="88"/>
      <c r="J28" s="88"/>
      <c r="K28" s="73" t="s">
        <v>32</v>
      </c>
      <c r="L28" s="160">
        <v>0</v>
      </c>
      <c r="M28" s="161">
        <v>0</v>
      </c>
      <c r="N28" s="161">
        <v>25277300</v>
      </c>
      <c r="O28" s="161">
        <v>0</v>
      </c>
      <c r="P28" s="161">
        <v>0</v>
      </c>
      <c r="Q28" s="161">
        <v>0</v>
      </c>
      <c r="R28" s="161">
        <v>0</v>
      </c>
      <c r="S28" s="89">
        <v>0</v>
      </c>
      <c r="T28" s="89">
        <v>0</v>
      </c>
      <c r="U28" s="89">
        <v>0</v>
      </c>
      <c r="V28" s="73">
        <f t="shared" si="3"/>
        <v>25277300</v>
      </c>
      <c r="W28" s="297"/>
      <c r="X28" s="86"/>
      <c r="Y28" s="86"/>
      <c r="Z28" s="86"/>
      <c r="AA28" s="86"/>
    </row>
    <row r="29" spans="1:27" s="78" customFormat="1" ht="48.75" customHeight="1">
      <c r="A29" s="298"/>
      <c r="B29" s="297"/>
      <c r="C29" s="297"/>
      <c r="D29" s="300"/>
      <c r="E29" s="87" t="s">
        <v>111</v>
      </c>
      <c r="F29" s="76">
        <v>540</v>
      </c>
      <c r="G29" s="88"/>
      <c r="H29" s="88"/>
      <c r="I29" s="88"/>
      <c r="J29" s="88"/>
      <c r="K29" s="73" t="s">
        <v>32</v>
      </c>
      <c r="L29" s="160">
        <v>0</v>
      </c>
      <c r="M29" s="161">
        <v>0</v>
      </c>
      <c r="N29" s="161">
        <v>0</v>
      </c>
      <c r="O29" s="161">
        <v>29068700</v>
      </c>
      <c r="P29" s="161">
        <v>26389500</v>
      </c>
      <c r="Q29" s="161">
        <v>21331000</v>
      </c>
      <c r="R29" s="161">
        <v>0</v>
      </c>
      <c r="S29" s="89">
        <v>0</v>
      </c>
      <c r="T29" s="89">
        <v>0</v>
      </c>
      <c r="U29" s="89">
        <v>0</v>
      </c>
      <c r="V29" s="73">
        <f t="shared" si="3"/>
        <v>76789200</v>
      </c>
      <c r="W29" s="298"/>
      <c r="X29" s="86"/>
      <c r="Y29" s="86"/>
      <c r="Z29" s="86"/>
      <c r="AA29" s="86"/>
    </row>
    <row r="30" spans="1:27" s="78" customFormat="1" ht="48.75" customHeight="1">
      <c r="A30" s="287"/>
      <c r="B30" s="297"/>
      <c r="C30" s="297"/>
      <c r="D30" s="300"/>
      <c r="E30" s="87" t="s">
        <v>183</v>
      </c>
      <c r="F30" s="289">
        <v>523</v>
      </c>
      <c r="G30" s="88"/>
      <c r="H30" s="88"/>
      <c r="I30" s="88"/>
      <c r="J30" s="88"/>
      <c r="K30" s="288" t="s">
        <v>32</v>
      </c>
      <c r="L30" s="160"/>
      <c r="M30" s="161"/>
      <c r="N30" s="161"/>
      <c r="O30" s="161"/>
      <c r="P30" s="161"/>
      <c r="Q30" s="161"/>
      <c r="R30" s="161"/>
      <c r="S30" s="89">
        <v>50000000</v>
      </c>
      <c r="T30" s="89"/>
      <c r="U30" s="89"/>
      <c r="V30" s="288"/>
      <c r="W30" s="287"/>
      <c r="X30" s="86"/>
      <c r="Y30" s="86"/>
      <c r="Z30" s="86"/>
      <c r="AA30" s="86"/>
    </row>
    <row r="31" spans="1:27" s="78" customFormat="1" ht="48.75" customHeight="1">
      <c r="A31" s="205"/>
      <c r="B31" s="298"/>
      <c r="C31" s="298"/>
      <c r="D31" s="301"/>
      <c r="E31" s="87" t="s">
        <v>165</v>
      </c>
      <c r="F31" s="208">
        <v>521</v>
      </c>
      <c r="G31" s="88"/>
      <c r="H31" s="88"/>
      <c r="I31" s="88"/>
      <c r="J31" s="88"/>
      <c r="K31" s="209" t="s">
        <v>32</v>
      </c>
      <c r="L31" s="160"/>
      <c r="M31" s="161"/>
      <c r="N31" s="161"/>
      <c r="O31" s="161"/>
      <c r="P31" s="161"/>
      <c r="Q31" s="161">
        <v>0</v>
      </c>
      <c r="R31" s="161">
        <v>24769700</v>
      </c>
      <c r="S31" s="89">
        <v>26207500</v>
      </c>
      <c r="T31" s="89">
        <v>26207500</v>
      </c>
      <c r="U31" s="89">
        <v>26207500</v>
      </c>
      <c r="V31" s="245">
        <f t="shared" si="3"/>
        <v>103392200</v>
      </c>
      <c r="W31" s="205"/>
      <c r="X31" s="86"/>
      <c r="Y31" s="86"/>
      <c r="Z31" s="86"/>
      <c r="AA31" s="86"/>
    </row>
    <row r="32" spans="1:27" s="78" customFormat="1" ht="48.75" customHeight="1">
      <c r="A32" s="93" t="s">
        <v>112</v>
      </c>
      <c r="B32" s="93"/>
      <c r="C32" s="93"/>
      <c r="D32" s="94"/>
      <c r="E32" s="87"/>
      <c r="F32" s="76"/>
      <c r="G32" s="88"/>
      <c r="H32" s="88"/>
      <c r="I32" s="88"/>
      <c r="J32" s="88"/>
      <c r="K32" s="73"/>
      <c r="L32" s="161">
        <f t="shared" ref="L32:P32" si="6">L33</f>
        <v>0</v>
      </c>
      <c r="M32" s="161">
        <f t="shared" si="6"/>
        <v>0</v>
      </c>
      <c r="N32" s="161">
        <f t="shared" si="6"/>
        <v>0</v>
      </c>
      <c r="O32" s="161">
        <f t="shared" si="6"/>
        <v>0</v>
      </c>
      <c r="P32" s="161">
        <f t="shared" si="6"/>
        <v>0</v>
      </c>
      <c r="Q32" s="161">
        <f>Q33</f>
        <v>120000</v>
      </c>
      <c r="R32" s="161">
        <f t="shared" ref="R32" si="7">R33</f>
        <v>0</v>
      </c>
      <c r="S32" s="89">
        <f>S33+S34</f>
        <v>0</v>
      </c>
      <c r="T32" s="89">
        <f t="shared" ref="T32:U32" si="8">T33+T34</f>
        <v>0</v>
      </c>
      <c r="U32" s="89">
        <f t="shared" si="8"/>
        <v>0</v>
      </c>
      <c r="V32" s="73">
        <f>SUM(L32:U32)</f>
        <v>120000</v>
      </c>
      <c r="W32" s="93"/>
      <c r="X32" s="86"/>
      <c r="Y32" s="86"/>
      <c r="Z32" s="86"/>
      <c r="AA32" s="86"/>
    </row>
    <row r="33" spans="1:27" s="78" customFormat="1" ht="48.75" customHeight="1">
      <c r="A33" s="93" t="s">
        <v>113</v>
      </c>
      <c r="B33" s="296" t="s">
        <v>114</v>
      </c>
      <c r="C33" s="296">
        <v>830</v>
      </c>
      <c r="D33" s="299" t="s">
        <v>39</v>
      </c>
      <c r="E33" s="87" t="s">
        <v>107</v>
      </c>
      <c r="F33" s="76">
        <v>244</v>
      </c>
      <c r="G33" s="88"/>
      <c r="H33" s="88"/>
      <c r="I33" s="88"/>
      <c r="J33" s="88"/>
      <c r="K33" s="73" t="s">
        <v>22</v>
      </c>
      <c r="L33" s="160">
        <v>0</v>
      </c>
      <c r="M33" s="161">
        <v>0</v>
      </c>
      <c r="N33" s="161">
        <v>0</v>
      </c>
      <c r="O33" s="161">
        <v>0</v>
      </c>
      <c r="P33" s="161">
        <v>0</v>
      </c>
      <c r="Q33" s="161">
        <v>120000</v>
      </c>
      <c r="R33" s="161">
        <v>0</v>
      </c>
      <c r="S33" s="89">
        <v>0</v>
      </c>
      <c r="T33" s="89">
        <v>0</v>
      </c>
      <c r="U33" s="89">
        <v>0</v>
      </c>
      <c r="V33" s="73">
        <f>SUM(L33:U33)</f>
        <v>120000</v>
      </c>
      <c r="W33" s="93" t="s">
        <v>115</v>
      </c>
      <c r="X33" s="86"/>
      <c r="Y33" s="86"/>
      <c r="Z33" s="86"/>
      <c r="AA33" s="86"/>
    </row>
    <row r="34" spans="1:27" s="78" customFormat="1" ht="48.75" customHeight="1">
      <c r="A34" s="286"/>
      <c r="B34" s="298"/>
      <c r="C34" s="298"/>
      <c r="D34" s="301"/>
      <c r="E34" s="87" t="s">
        <v>183</v>
      </c>
      <c r="F34" s="284"/>
      <c r="G34" s="88"/>
      <c r="H34" s="88"/>
      <c r="I34" s="88"/>
      <c r="J34" s="88"/>
      <c r="K34" s="285" t="s">
        <v>22</v>
      </c>
      <c r="L34" s="160"/>
      <c r="M34" s="161"/>
      <c r="N34" s="161"/>
      <c r="O34" s="161"/>
      <c r="P34" s="161"/>
      <c r="Q34" s="161"/>
      <c r="R34" s="161"/>
      <c r="S34" s="89">
        <v>0</v>
      </c>
      <c r="T34" s="89"/>
      <c r="U34" s="89"/>
      <c r="V34" s="285">
        <f>SUM(L34:U34)</f>
        <v>0</v>
      </c>
      <c r="W34" s="286" t="s">
        <v>184</v>
      </c>
      <c r="X34" s="86"/>
      <c r="Y34" s="86"/>
      <c r="Z34" s="86"/>
      <c r="AA34" s="86"/>
    </row>
    <row r="35" spans="1:27" s="78" customFormat="1" ht="18" customHeight="1">
      <c r="A35" s="95" t="s">
        <v>52</v>
      </c>
      <c r="B35" s="76"/>
      <c r="C35" s="76"/>
      <c r="D35" s="87"/>
      <c r="E35" s="87"/>
      <c r="F35" s="76"/>
      <c r="G35" s="88"/>
      <c r="H35" s="88"/>
      <c r="I35" s="88"/>
      <c r="J35" s="88"/>
      <c r="K35" s="73"/>
      <c r="L35" s="162">
        <f t="shared" ref="L35:P35" si="9">SUM(L15:L29)</f>
        <v>4115000</v>
      </c>
      <c r="M35" s="162">
        <f t="shared" si="9"/>
        <v>24266010</v>
      </c>
      <c r="N35" s="162">
        <f t="shared" si="9"/>
        <v>30825800</v>
      </c>
      <c r="O35" s="162">
        <f t="shared" si="9"/>
        <v>35013530</v>
      </c>
      <c r="P35" s="162">
        <f t="shared" si="9"/>
        <v>33823600</v>
      </c>
      <c r="Q35" s="162">
        <f>SUM(Q15:Q29)+Q32</f>
        <v>29408780</v>
      </c>
      <c r="R35" s="162">
        <f>SUM(R15:R31)+R32</f>
        <v>33044734</v>
      </c>
      <c r="S35" s="96">
        <f>SUM(S15:S31)+S32</f>
        <v>85195100</v>
      </c>
      <c r="T35" s="96">
        <f t="shared" ref="T35:U35" si="10">SUM(T15:T31)+T32</f>
        <v>35151900</v>
      </c>
      <c r="U35" s="96">
        <f t="shared" si="10"/>
        <v>35509500</v>
      </c>
      <c r="V35" s="96">
        <f>SUM(V15:V31)+V32</f>
        <v>296353954</v>
      </c>
      <c r="W35" s="79"/>
      <c r="X35" s="86"/>
      <c r="Y35" s="86"/>
      <c r="Z35" s="86"/>
      <c r="AA35" s="86"/>
    </row>
    <row r="36" spans="1:27" s="78" customFormat="1">
      <c r="A36" s="79" t="s">
        <v>116</v>
      </c>
      <c r="B36" s="76"/>
      <c r="C36" s="76"/>
      <c r="D36" s="76"/>
      <c r="E36" s="76"/>
      <c r="F36" s="76"/>
      <c r="G36" s="97"/>
      <c r="H36" s="97"/>
      <c r="I36" s="97"/>
      <c r="J36" s="97"/>
      <c r="K36" s="97"/>
      <c r="L36" s="163"/>
      <c r="M36" s="163"/>
      <c r="N36" s="163"/>
      <c r="O36" s="163"/>
      <c r="P36" s="163"/>
      <c r="Q36" s="163"/>
      <c r="R36" s="163"/>
      <c r="S36" s="97"/>
      <c r="T36" s="97"/>
      <c r="U36" s="97"/>
      <c r="V36" s="73"/>
      <c r="W36" s="76"/>
    </row>
    <row r="37" spans="1:27" s="78" customFormat="1" ht="12.75" customHeight="1">
      <c r="A37" s="79" t="s">
        <v>54</v>
      </c>
      <c r="B37" s="76"/>
      <c r="C37" s="76"/>
      <c r="D37" s="76"/>
      <c r="E37" s="76"/>
      <c r="F37" s="76"/>
      <c r="G37" s="97"/>
      <c r="H37" s="97"/>
      <c r="I37" s="97"/>
      <c r="J37" s="97"/>
      <c r="K37" s="97"/>
      <c r="L37" s="160">
        <f>L25</f>
        <v>25700</v>
      </c>
      <c r="M37" s="160">
        <f>M25</f>
        <v>45200</v>
      </c>
      <c r="N37" s="160">
        <f>N26+N20</f>
        <v>84100</v>
      </c>
      <c r="O37" s="160">
        <f>O26</f>
        <v>32700</v>
      </c>
      <c r="P37" s="160">
        <f>P26+P24+P25+P20</f>
        <v>285700</v>
      </c>
      <c r="Q37" s="160">
        <f>Q26+Q24+Q33</f>
        <v>153880</v>
      </c>
      <c r="R37" s="160">
        <f>R26+R24+R33+R22</f>
        <v>42134</v>
      </c>
      <c r="S37" s="245">
        <f>S26+S24+S33+S22+S34</f>
        <v>425400</v>
      </c>
      <c r="T37" s="245">
        <f>T26+T24+T33+T22</f>
        <v>39700</v>
      </c>
      <c r="U37" s="245">
        <f>U26+U24+U33+U22</f>
        <v>41100</v>
      </c>
      <c r="V37" s="73">
        <f>SUM(L37:U37)</f>
        <v>1175614</v>
      </c>
      <c r="W37" s="244" t="s">
        <v>179</v>
      </c>
    </row>
    <row r="38" spans="1:27" s="78" customFormat="1">
      <c r="A38" s="98" t="s">
        <v>55</v>
      </c>
      <c r="B38" s="99"/>
      <c r="C38" s="99"/>
      <c r="D38" s="99"/>
      <c r="E38" s="99"/>
      <c r="F38" s="99"/>
      <c r="G38" s="97"/>
      <c r="H38" s="97"/>
      <c r="I38" s="97"/>
      <c r="J38" s="97"/>
      <c r="K38" s="97"/>
      <c r="L38" s="160">
        <f>L15+L27</f>
        <v>4089300</v>
      </c>
      <c r="M38" s="160">
        <f>M15+M27</f>
        <v>24220810</v>
      </c>
      <c r="N38" s="160">
        <f>N18+N19+N28</f>
        <v>30741700</v>
      </c>
      <c r="O38" s="160">
        <f>O18+O19+O28+O29+O16</f>
        <v>34980830</v>
      </c>
      <c r="P38" s="160">
        <f>P15+P27+P16+P18+P19+P21+P28+P29</f>
        <v>33537900</v>
      </c>
      <c r="Q38" s="160">
        <f>Q15+Q27+Q16+Q18+Q19+Q21+Q28+Q29</f>
        <v>29254900</v>
      </c>
      <c r="R38" s="160">
        <f>R15+R27+R16+R18+R19+R21+R28+R29+R31+R23+R17</f>
        <v>33002600</v>
      </c>
      <c r="S38" s="245">
        <f t="shared" ref="S38:U38" si="11">S15+S27+S16+S18+S19+S21+S28+S29+S31+S23+S17</f>
        <v>34769700</v>
      </c>
      <c r="T38" s="245">
        <f t="shared" si="11"/>
        <v>35112200</v>
      </c>
      <c r="U38" s="245">
        <f t="shared" si="11"/>
        <v>35468400</v>
      </c>
      <c r="V38" s="73">
        <f>SUM(L38:U38)</f>
        <v>295178340</v>
      </c>
      <c r="W38" s="244" t="s">
        <v>180</v>
      </c>
    </row>
    <row r="39" spans="1:27">
      <c r="A39" s="100"/>
      <c r="B39" s="100"/>
      <c r="C39" s="100"/>
      <c r="D39" s="100"/>
      <c r="E39" s="100"/>
      <c r="V39" s="73">
        <f>SUM(L39:Q39)</f>
        <v>0</v>
      </c>
    </row>
    <row r="40" spans="1:27">
      <c r="A40" s="100"/>
      <c r="B40" s="100"/>
      <c r="C40" s="100"/>
      <c r="D40" s="100"/>
      <c r="E40" s="100"/>
      <c r="V40" s="73">
        <f>SUM(L40:Q40)</f>
        <v>0</v>
      </c>
    </row>
    <row r="41" spans="1:27">
      <c r="A41" s="100"/>
      <c r="B41" s="100"/>
      <c r="C41" s="100"/>
      <c r="D41" s="100"/>
      <c r="E41" s="100"/>
      <c r="V41" s="73">
        <f>SUM(L41:Q41)</f>
        <v>0</v>
      </c>
    </row>
    <row r="42" spans="1:27">
      <c r="A42" s="101"/>
      <c r="B42" s="101"/>
      <c r="C42" s="101"/>
      <c r="D42" s="101"/>
      <c r="E42" s="101"/>
      <c r="F42" s="101"/>
      <c r="P42" s="164"/>
      <c r="Q42" s="164"/>
      <c r="R42" s="164"/>
      <c r="S42" s="102"/>
      <c r="T42" s="102"/>
      <c r="U42" s="102"/>
      <c r="V42" s="102"/>
      <c r="W42" s="102"/>
    </row>
    <row r="43" spans="1:27" ht="18.75">
      <c r="A43" s="103"/>
      <c r="B43" s="103"/>
      <c r="C43" s="103"/>
      <c r="D43" s="103"/>
      <c r="E43" s="103"/>
      <c r="P43" s="165"/>
      <c r="Q43" s="165"/>
      <c r="R43" s="165"/>
      <c r="S43" s="104"/>
      <c r="T43" s="104"/>
      <c r="U43" s="104"/>
      <c r="V43" s="104"/>
      <c r="W43" s="104"/>
    </row>
    <row r="48" spans="1:27">
      <c r="G48" s="64" t="e">
        <f>#REF!+#REF!+#REF!+#REF!+#REF!</f>
        <v>#REF!</v>
      </c>
      <c r="H48" s="64" t="e">
        <f>#REF!+#REF!+#REF!+#REF!+#REF!</f>
        <v>#REF!</v>
      </c>
      <c r="I48" s="64" t="e">
        <f>#REF!-#REF!-#REF!</f>
        <v>#REF!</v>
      </c>
    </row>
    <row r="49" spans="7:8">
      <c r="G49" s="64" t="e">
        <f>#REF!-G48</f>
        <v>#REF!</v>
      </c>
      <c r="H49" s="64" t="e">
        <f>#REF!-H48</f>
        <v>#REF!</v>
      </c>
    </row>
  </sheetData>
  <mergeCells count="34">
    <mergeCell ref="B33:B34"/>
    <mergeCell ref="C33:C34"/>
    <mergeCell ref="D33:D34"/>
    <mergeCell ref="R1:W1"/>
    <mergeCell ref="A3:W3"/>
    <mergeCell ref="A6:A9"/>
    <mergeCell ref="B6:B9"/>
    <mergeCell ref="C6:F7"/>
    <mergeCell ref="K6:K9"/>
    <mergeCell ref="L6:V7"/>
    <mergeCell ref="W6:W9"/>
    <mergeCell ref="C8:C9"/>
    <mergeCell ref="D8:D9"/>
    <mergeCell ref="K25:K26"/>
    <mergeCell ref="E8:E9"/>
    <mergeCell ref="F8:F9"/>
    <mergeCell ref="V8:V9"/>
    <mergeCell ref="A11:W11"/>
    <mergeCell ref="A12:W12"/>
    <mergeCell ref="A15:A24"/>
    <mergeCell ref="B15:B18"/>
    <mergeCell ref="C15:C18"/>
    <mergeCell ref="D15:D18"/>
    <mergeCell ref="W15:W26"/>
    <mergeCell ref="B19:B24"/>
    <mergeCell ref="A25:A26"/>
    <mergeCell ref="B25:B26"/>
    <mergeCell ref="C25:C26"/>
    <mergeCell ref="D25:D26"/>
    <mergeCell ref="A27:A29"/>
    <mergeCell ref="W27:W29"/>
    <mergeCell ref="B27:B31"/>
    <mergeCell ref="C27:C31"/>
    <mergeCell ref="D27:D3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0"/>
  <sheetViews>
    <sheetView zoomScale="50" zoomScaleNormal="50" workbookViewId="0">
      <pane xSplit="7" ySplit="9" topLeftCell="N28" activePane="bottomRight" state="frozen"/>
      <selection pane="topRight" activeCell="H1" sqref="H1"/>
      <selection pane="bottomLeft" activeCell="A10" sqref="A10"/>
      <selection pane="bottomRight" activeCell="O25" sqref="O25"/>
    </sheetView>
  </sheetViews>
  <sheetFormatPr defaultRowHeight="18"/>
  <cols>
    <col min="1" max="1" width="88" style="27" customWidth="1"/>
    <col min="2" max="2" width="22.42578125" style="27" customWidth="1"/>
    <col min="3" max="3" width="11.42578125" style="27" customWidth="1"/>
    <col min="4" max="4" width="11.5703125" style="27" customWidth="1"/>
    <col min="5" max="5" width="17.85546875" style="27" customWidth="1"/>
    <col min="6" max="6" width="9.140625" style="27"/>
    <col min="7" max="7" width="16.7109375" style="27" customWidth="1"/>
    <col min="8" max="12" width="18.42578125" style="273" customWidth="1"/>
    <col min="13" max="13" width="18.140625" style="273" bestFit="1" customWidth="1"/>
    <col min="14" max="17" width="18.42578125" style="27" customWidth="1"/>
    <col min="18" max="18" width="20.140625" style="27" customWidth="1"/>
    <col min="19" max="19" width="44.7109375" style="27" customWidth="1"/>
    <col min="20" max="16384" width="9.140625" style="27"/>
  </cols>
  <sheetData>
    <row r="1" spans="1:19" ht="68.25" customHeight="1">
      <c r="R1" s="334" t="s">
        <v>58</v>
      </c>
      <c r="S1" s="334"/>
    </row>
    <row r="2" spans="1:19" ht="8.25" customHeight="1">
      <c r="L2" s="274"/>
      <c r="M2" s="274"/>
      <c r="N2" s="46"/>
      <c r="O2" s="46"/>
      <c r="P2" s="46"/>
      <c r="Q2" s="46"/>
      <c r="R2" s="46"/>
      <c r="S2" s="46"/>
    </row>
    <row r="3" spans="1:19" s="47" customFormat="1" ht="28.5" customHeight="1">
      <c r="A3" s="335" t="s">
        <v>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</row>
    <row r="4" spans="1:19" s="47" customFormat="1" ht="11.25" customHeight="1">
      <c r="A4" s="48"/>
      <c r="B4" s="48"/>
      <c r="C4" s="49"/>
      <c r="D4" s="49"/>
      <c r="E4" s="49"/>
      <c r="F4" s="49"/>
      <c r="G4" s="48"/>
      <c r="H4" s="275"/>
      <c r="I4" s="275"/>
      <c r="J4" s="275"/>
      <c r="K4" s="275"/>
      <c r="L4" s="275"/>
      <c r="M4" s="275"/>
      <c r="N4" s="48"/>
      <c r="O4" s="48"/>
      <c r="P4" s="48"/>
      <c r="Q4" s="48"/>
      <c r="R4" s="48"/>
      <c r="S4" s="48"/>
    </row>
    <row r="5" spans="1:19" s="47" customFormat="1" ht="20.25" customHeight="1">
      <c r="A5" s="316" t="s">
        <v>2</v>
      </c>
      <c r="B5" s="316" t="s">
        <v>3</v>
      </c>
      <c r="C5" s="336" t="s">
        <v>4</v>
      </c>
      <c r="D5" s="336"/>
      <c r="E5" s="336"/>
      <c r="F5" s="336"/>
      <c r="G5" s="316" t="s">
        <v>59</v>
      </c>
      <c r="H5" s="316" t="s">
        <v>6</v>
      </c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 t="s">
        <v>7</v>
      </c>
    </row>
    <row r="6" spans="1:19" s="47" customFormat="1" ht="39.75" customHeight="1">
      <c r="A6" s="329"/>
      <c r="B6" s="329"/>
      <c r="C6" s="3" t="s">
        <v>8</v>
      </c>
      <c r="D6" s="3" t="s">
        <v>9</v>
      </c>
      <c r="E6" s="3" t="s">
        <v>10</v>
      </c>
      <c r="F6" s="3" t="s">
        <v>11</v>
      </c>
      <c r="G6" s="329"/>
      <c r="H6" s="276">
        <v>2014</v>
      </c>
      <c r="I6" s="276">
        <v>2015</v>
      </c>
      <c r="J6" s="276">
        <v>2016</v>
      </c>
      <c r="K6" s="276">
        <v>2017</v>
      </c>
      <c r="L6" s="276">
        <v>2018</v>
      </c>
      <c r="M6" s="276">
        <v>2019</v>
      </c>
      <c r="N6" s="3">
        <v>2020</v>
      </c>
      <c r="O6" s="3">
        <v>2021</v>
      </c>
      <c r="P6" s="3">
        <v>2022</v>
      </c>
      <c r="Q6" s="249">
        <v>2023</v>
      </c>
      <c r="R6" s="3" t="s">
        <v>12</v>
      </c>
      <c r="S6" s="329"/>
    </row>
    <row r="7" spans="1:19" s="47" customFormat="1" ht="18.7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276">
        <v>8</v>
      </c>
      <c r="I7" s="276">
        <v>9</v>
      </c>
      <c r="J7" s="276">
        <v>10</v>
      </c>
      <c r="K7" s="276">
        <v>11</v>
      </c>
      <c r="L7" s="276">
        <v>12</v>
      </c>
      <c r="M7" s="276">
        <v>13</v>
      </c>
      <c r="N7" s="4">
        <v>14</v>
      </c>
      <c r="O7" s="4">
        <v>15</v>
      </c>
      <c r="P7" s="4">
        <v>16</v>
      </c>
      <c r="Q7" s="256">
        <v>17</v>
      </c>
      <c r="R7" s="4">
        <v>18</v>
      </c>
      <c r="S7" s="4">
        <v>19</v>
      </c>
    </row>
    <row r="8" spans="1:19" s="47" customFormat="1" ht="18.75">
      <c r="A8" s="337" t="s">
        <v>60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9"/>
    </row>
    <row r="9" spans="1:19" s="47" customFormat="1" ht="18.75">
      <c r="A9" s="337" t="s">
        <v>61</v>
      </c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8"/>
      <c r="P9" s="338"/>
      <c r="Q9" s="338"/>
      <c r="R9" s="338"/>
      <c r="S9" s="339"/>
    </row>
    <row r="10" spans="1:19" s="47" customFormat="1" ht="60.75" customHeight="1">
      <c r="A10" s="6" t="s">
        <v>62</v>
      </c>
      <c r="B10" s="7"/>
      <c r="C10" s="7"/>
      <c r="D10" s="7"/>
      <c r="E10" s="7"/>
      <c r="F10" s="7"/>
      <c r="G10" s="7"/>
      <c r="H10" s="277">
        <f t="shared" ref="H10:Q10" si="0">H11+H27</f>
        <v>22741138.559999999</v>
      </c>
      <c r="I10" s="277">
        <f t="shared" si="0"/>
        <v>24610008</v>
      </c>
      <c r="J10" s="277">
        <f t="shared" si="0"/>
        <v>36121067</v>
      </c>
      <c r="K10" s="277">
        <f t="shared" si="0"/>
        <v>34957000</v>
      </c>
      <c r="L10" s="277">
        <f t="shared" si="0"/>
        <v>36353300</v>
      </c>
      <c r="M10" s="277">
        <f t="shared" si="0"/>
        <v>56835003</v>
      </c>
      <c r="N10" s="8">
        <f t="shared" si="0"/>
        <v>59457110.120000005</v>
      </c>
      <c r="O10" s="8">
        <f>O11+O27</f>
        <v>63655200</v>
      </c>
      <c r="P10" s="8">
        <f t="shared" si="0"/>
        <v>30390000</v>
      </c>
      <c r="Q10" s="8">
        <f t="shared" si="0"/>
        <v>30390000</v>
      </c>
      <c r="R10" s="8">
        <f>SUM(H10:Q10)</f>
        <v>395509826.68000001</v>
      </c>
      <c r="S10" s="7"/>
    </row>
    <row r="11" spans="1:19" s="47" customFormat="1" ht="51.75" customHeight="1">
      <c r="A11" s="6" t="s">
        <v>63</v>
      </c>
      <c r="B11" s="7"/>
      <c r="C11" s="7"/>
      <c r="D11" s="7"/>
      <c r="E11" s="7"/>
      <c r="F11" s="7"/>
      <c r="G11" s="7"/>
      <c r="H11" s="277">
        <f>SUM(H13:H25)</f>
        <v>22741138.559999999</v>
      </c>
      <c r="I11" s="277">
        <f t="shared" ref="I11:P11" si="1">SUM(I13:I25)</f>
        <v>24610008</v>
      </c>
      <c r="J11" s="277">
        <f t="shared" si="1"/>
        <v>36121067</v>
      </c>
      <c r="K11" s="277">
        <f t="shared" si="1"/>
        <v>34957000</v>
      </c>
      <c r="L11" s="277">
        <f t="shared" si="1"/>
        <v>36353300</v>
      </c>
      <c r="M11" s="277">
        <f>SUM(M13:M25)</f>
        <v>48515003</v>
      </c>
      <c r="N11" s="8">
        <f>SUM(N13:N26)</f>
        <v>59457110.120000005</v>
      </c>
      <c r="O11" s="8">
        <f>SUM(O13:O25)</f>
        <v>61038206.420000002</v>
      </c>
      <c r="P11" s="8">
        <f t="shared" si="1"/>
        <v>30390000</v>
      </c>
      <c r="Q11" s="8">
        <f t="shared" ref="Q11" si="2">SUM(Q13:Q25)</f>
        <v>30390000</v>
      </c>
      <c r="R11" s="8">
        <f>SUM(H11:Q11)</f>
        <v>384572833.10000002</v>
      </c>
      <c r="S11" s="7"/>
    </row>
    <row r="12" spans="1:19" s="47" customFormat="1" ht="25.5" customHeight="1">
      <c r="A12" s="51" t="s">
        <v>64</v>
      </c>
      <c r="B12" s="52"/>
      <c r="C12" s="52"/>
      <c r="D12" s="52"/>
      <c r="E12" s="7"/>
      <c r="F12" s="7"/>
      <c r="G12" s="52"/>
      <c r="H12" s="277"/>
      <c r="I12" s="277"/>
      <c r="J12" s="277"/>
      <c r="K12" s="277"/>
      <c r="L12" s="277"/>
      <c r="M12" s="277"/>
      <c r="N12" s="8"/>
      <c r="O12" s="8"/>
      <c r="P12" s="8"/>
      <c r="Q12" s="8"/>
      <c r="R12" s="8"/>
      <c r="S12" s="52"/>
    </row>
    <row r="13" spans="1:19" s="47" customFormat="1" ht="54" customHeight="1">
      <c r="A13" s="325" t="s">
        <v>65</v>
      </c>
      <c r="B13" s="316" t="s">
        <v>66</v>
      </c>
      <c r="C13" s="324">
        <v>806</v>
      </c>
      <c r="D13" s="340" t="s">
        <v>67</v>
      </c>
      <c r="E13" s="32" t="s">
        <v>68</v>
      </c>
      <c r="F13" s="152">
        <v>810</v>
      </c>
      <c r="G13" s="342" t="s">
        <v>22</v>
      </c>
      <c r="H13" s="278">
        <v>22741138.559999999</v>
      </c>
      <c r="I13" s="278">
        <v>24610008</v>
      </c>
      <c r="J13" s="278">
        <v>0</v>
      </c>
      <c r="K13" s="278">
        <v>0</v>
      </c>
      <c r="L13" s="278">
        <v>0</v>
      </c>
      <c r="M13" s="278">
        <v>0</v>
      </c>
      <c r="N13" s="29">
        <v>0</v>
      </c>
      <c r="O13" s="29">
        <v>0</v>
      </c>
      <c r="P13" s="29">
        <v>0</v>
      </c>
      <c r="Q13" s="29">
        <v>0</v>
      </c>
      <c r="R13" s="8">
        <f t="shared" ref="R13:R20" si="3">SUM(H13:Q13)</f>
        <v>47351146.560000002</v>
      </c>
      <c r="S13" s="316" t="s">
        <v>69</v>
      </c>
    </row>
    <row r="14" spans="1:19" s="47" customFormat="1" ht="54" customHeight="1">
      <c r="A14" s="326"/>
      <c r="B14" s="329"/>
      <c r="C14" s="324"/>
      <c r="D14" s="340"/>
      <c r="E14" s="340" t="s">
        <v>70</v>
      </c>
      <c r="F14" s="324">
        <v>814</v>
      </c>
      <c r="G14" s="342"/>
      <c r="H14" s="278">
        <v>0</v>
      </c>
      <c r="I14" s="278">
        <v>0</v>
      </c>
      <c r="J14" s="278">
        <v>25767530</v>
      </c>
      <c r="K14" s="278">
        <v>0</v>
      </c>
      <c r="L14" s="278">
        <v>0</v>
      </c>
      <c r="M14" s="278">
        <v>0</v>
      </c>
      <c r="N14" s="29">
        <v>0</v>
      </c>
      <c r="O14" s="29">
        <v>0</v>
      </c>
      <c r="P14" s="29">
        <v>0</v>
      </c>
      <c r="Q14" s="29">
        <v>0</v>
      </c>
      <c r="R14" s="8">
        <f t="shared" si="3"/>
        <v>25767530</v>
      </c>
      <c r="S14" s="329"/>
    </row>
    <row r="15" spans="1:19" s="47" customFormat="1" ht="72" customHeight="1">
      <c r="A15" s="325" t="s">
        <v>71</v>
      </c>
      <c r="B15" s="329"/>
      <c r="C15" s="324"/>
      <c r="D15" s="340"/>
      <c r="E15" s="340"/>
      <c r="F15" s="324"/>
      <c r="G15" s="342"/>
      <c r="H15" s="278">
        <v>0</v>
      </c>
      <c r="I15" s="278">
        <v>0</v>
      </c>
      <c r="J15" s="278">
        <v>0</v>
      </c>
      <c r="K15" s="278">
        <v>24252200</v>
      </c>
      <c r="L15" s="278">
        <v>0</v>
      </c>
      <c r="M15" s="278">
        <v>0</v>
      </c>
      <c r="N15" s="29">
        <v>0</v>
      </c>
      <c r="O15" s="29">
        <v>0</v>
      </c>
      <c r="P15" s="29">
        <v>0</v>
      </c>
      <c r="Q15" s="29">
        <v>0</v>
      </c>
      <c r="R15" s="8">
        <f t="shared" si="3"/>
        <v>24252200</v>
      </c>
      <c r="S15" s="329"/>
    </row>
    <row r="16" spans="1:19" s="47" customFormat="1" ht="72" customHeight="1">
      <c r="A16" s="341"/>
      <c r="B16" s="329"/>
      <c r="C16" s="324"/>
      <c r="D16" s="340"/>
      <c r="E16" s="340"/>
      <c r="F16" s="152">
        <v>811</v>
      </c>
      <c r="G16" s="342"/>
      <c r="H16" s="278">
        <v>0</v>
      </c>
      <c r="I16" s="278">
        <v>0</v>
      </c>
      <c r="J16" s="278">
        <v>0</v>
      </c>
      <c r="K16" s="278">
        <v>0</v>
      </c>
      <c r="L16" s="278">
        <v>36353300</v>
      </c>
      <c r="M16" s="278">
        <v>36196697</v>
      </c>
      <c r="N16" s="29">
        <v>57662253.990000002</v>
      </c>
      <c r="O16" s="29">
        <v>61038206.420000002</v>
      </c>
      <c r="P16" s="29">
        <v>30000000</v>
      </c>
      <c r="Q16" s="29">
        <v>30000000</v>
      </c>
      <c r="R16" s="8">
        <f t="shared" si="3"/>
        <v>251250457.41000003</v>
      </c>
      <c r="S16" s="329"/>
    </row>
    <row r="17" spans="1:19" s="47" customFormat="1" ht="72" customHeight="1">
      <c r="A17" s="341"/>
      <c r="B17" s="329"/>
      <c r="C17" s="324"/>
      <c r="D17" s="340"/>
      <c r="E17" s="32" t="s">
        <v>163</v>
      </c>
      <c r="F17" s="152">
        <v>811</v>
      </c>
      <c r="G17" s="342"/>
      <c r="H17" s="278">
        <v>0</v>
      </c>
      <c r="I17" s="278">
        <v>0</v>
      </c>
      <c r="J17" s="278">
        <v>0</v>
      </c>
      <c r="K17" s="278">
        <v>0</v>
      </c>
      <c r="L17" s="278">
        <v>0</v>
      </c>
      <c r="M17" s="278">
        <v>12306</v>
      </c>
      <c r="N17" s="29">
        <v>0</v>
      </c>
      <c r="O17" s="29">
        <v>0</v>
      </c>
      <c r="P17" s="29">
        <v>0</v>
      </c>
      <c r="Q17" s="29">
        <v>0</v>
      </c>
      <c r="R17" s="8">
        <f t="shared" si="3"/>
        <v>12306</v>
      </c>
      <c r="S17" s="329"/>
    </row>
    <row r="18" spans="1:19" s="47" customFormat="1" ht="72" customHeight="1">
      <c r="A18" s="341"/>
      <c r="B18" s="329"/>
      <c r="C18" s="253"/>
      <c r="D18" s="255"/>
      <c r="E18" s="257" t="s">
        <v>162</v>
      </c>
      <c r="F18" s="254">
        <v>811</v>
      </c>
      <c r="G18" s="247" t="s">
        <v>32</v>
      </c>
      <c r="H18" s="278">
        <v>0</v>
      </c>
      <c r="I18" s="278">
        <v>0</v>
      </c>
      <c r="J18" s="278">
        <v>0</v>
      </c>
      <c r="K18" s="278">
        <v>0</v>
      </c>
      <c r="L18" s="278">
        <v>0</v>
      </c>
      <c r="M18" s="278">
        <v>12306000</v>
      </c>
      <c r="N18" s="29">
        <v>0</v>
      </c>
      <c r="O18" s="29">
        <v>0</v>
      </c>
      <c r="P18" s="29">
        <v>0</v>
      </c>
      <c r="Q18" s="29">
        <v>0</v>
      </c>
      <c r="R18" s="8">
        <f t="shared" si="3"/>
        <v>12306000</v>
      </c>
      <c r="S18" s="329"/>
    </row>
    <row r="19" spans="1:19" s="47" customFormat="1" ht="72" customHeight="1">
      <c r="A19" s="326"/>
      <c r="B19" s="317"/>
      <c r="C19" s="147">
        <v>806</v>
      </c>
      <c r="D19" s="149" t="s">
        <v>67</v>
      </c>
      <c r="E19" s="150" t="s">
        <v>162</v>
      </c>
      <c r="F19" s="148">
        <v>811</v>
      </c>
      <c r="G19" s="151" t="s">
        <v>32</v>
      </c>
      <c r="H19" s="278">
        <v>0</v>
      </c>
      <c r="I19" s="278">
        <v>0</v>
      </c>
      <c r="J19" s="278">
        <v>0</v>
      </c>
      <c r="K19" s="278">
        <v>0</v>
      </c>
      <c r="L19" s="278">
        <v>0</v>
      </c>
      <c r="M19" s="278">
        <v>0</v>
      </c>
      <c r="N19" s="29">
        <v>0</v>
      </c>
      <c r="O19" s="29">
        <v>0</v>
      </c>
      <c r="P19" s="29">
        <v>0</v>
      </c>
      <c r="Q19" s="29">
        <v>0</v>
      </c>
      <c r="R19" s="8">
        <f t="shared" si="3"/>
        <v>0</v>
      </c>
      <c r="S19" s="317"/>
    </row>
    <row r="20" spans="1:19" s="47" customFormat="1" ht="228" customHeight="1">
      <c r="A20" s="53" t="s">
        <v>72</v>
      </c>
      <c r="B20" s="3" t="s">
        <v>38</v>
      </c>
      <c r="C20" s="54">
        <v>890</v>
      </c>
      <c r="D20" s="55" t="s">
        <v>67</v>
      </c>
      <c r="E20" s="32" t="s">
        <v>73</v>
      </c>
      <c r="F20" s="23">
        <v>540</v>
      </c>
      <c r="G20" s="18" t="s">
        <v>22</v>
      </c>
      <c r="H20" s="278">
        <v>0</v>
      </c>
      <c r="I20" s="278">
        <v>0</v>
      </c>
      <c r="J20" s="278">
        <v>10353537</v>
      </c>
      <c r="K20" s="278">
        <v>10400000</v>
      </c>
      <c r="L20" s="278">
        <v>0</v>
      </c>
      <c r="M20" s="278">
        <v>0</v>
      </c>
      <c r="N20" s="29">
        <v>0</v>
      </c>
      <c r="O20" s="29">
        <v>0</v>
      </c>
      <c r="P20" s="29">
        <v>0</v>
      </c>
      <c r="Q20" s="29">
        <v>0</v>
      </c>
      <c r="R20" s="8">
        <f t="shared" si="3"/>
        <v>20753537</v>
      </c>
      <c r="S20" s="7" t="s">
        <v>74</v>
      </c>
    </row>
    <row r="21" spans="1:19" s="47" customFormat="1" ht="33" customHeight="1">
      <c r="A21" s="51" t="s">
        <v>75</v>
      </c>
      <c r="B21" s="3"/>
      <c r="C21" s="54"/>
      <c r="D21" s="55"/>
      <c r="E21" s="32"/>
      <c r="F21" s="23"/>
      <c r="G21" s="56"/>
      <c r="H21" s="278"/>
      <c r="I21" s="278"/>
      <c r="J21" s="278"/>
      <c r="K21" s="278"/>
      <c r="L21" s="278"/>
      <c r="M21" s="278"/>
      <c r="N21" s="29"/>
      <c r="O21" s="29"/>
      <c r="P21" s="29"/>
      <c r="Q21" s="29"/>
      <c r="R21" s="8"/>
      <c r="S21" s="52"/>
    </row>
    <row r="22" spans="1:19" s="47" customFormat="1" ht="45" customHeight="1">
      <c r="A22" s="325" t="s">
        <v>76</v>
      </c>
      <c r="B22" s="316" t="s">
        <v>66</v>
      </c>
      <c r="C22" s="330">
        <v>806</v>
      </c>
      <c r="D22" s="327" t="s">
        <v>67</v>
      </c>
      <c r="E22" s="327" t="s">
        <v>77</v>
      </c>
      <c r="F22" s="324">
        <v>810</v>
      </c>
      <c r="G22" s="318" t="s">
        <v>22</v>
      </c>
      <c r="H22" s="278">
        <v>0</v>
      </c>
      <c r="I22" s="278">
        <v>0</v>
      </c>
      <c r="J22" s="278">
        <v>0</v>
      </c>
      <c r="K22" s="278">
        <v>0</v>
      </c>
      <c r="L22" s="278">
        <v>0</v>
      </c>
      <c r="M22" s="278">
        <v>0</v>
      </c>
      <c r="N22" s="29">
        <v>0</v>
      </c>
      <c r="O22" s="29">
        <v>0</v>
      </c>
      <c r="P22" s="29">
        <v>0</v>
      </c>
      <c r="Q22" s="29">
        <v>0</v>
      </c>
      <c r="R22" s="8">
        <f t="shared" ref="R22:R31" si="4">SUM(H22:Q22)</f>
        <v>0</v>
      </c>
      <c r="S22" s="321" t="s">
        <v>182</v>
      </c>
    </row>
    <row r="23" spans="1:19" s="47" customFormat="1" ht="45" customHeight="1">
      <c r="A23" s="326"/>
      <c r="B23" s="329"/>
      <c r="C23" s="331"/>
      <c r="D23" s="333"/>
      <c r="E23" s="328"/>
      <c r="F23" s="324"/>
      <c r="G23" s="319"/>
      <c r="H23" s="278">
        <v>0</v>
      </c>
      <c r="I23" s="278">
        <v>0</v>
      </c>
      <c r="J23" s="278">
        <v>0</v>
      </c>
      <c r="K23" s="278">
        <v>0</v>
      </c>
      <c r="L23" s="278">
        <v>0</v>
      </c>
      <c r="M23" s="278">
        <v>0</v>
      </c>
      <c r="N23" s="29">
        <v>0</v>
      </c>
      <c r="O23" s="29">
        <v>0</v>
      </c>
      <c r="P23" s="29">
        <v>0</v>
      </c>
      <c r="Q23" s="29">
        <v>0</v>
      </c>
      <c r="R23" s="8">
        <f t="shared" si="4"/>
        <v>0</v>
      </c>
      <c r="S23" s="322"/>
    </row>
    <row r="24" spans="1:19" s="47" customFormat="1" ht="45" customHeight="1">
      <c r="A24" s="325" t="s">
        <v>78</v>
      </c>
      <c r="B24" s="329"/>
      <c r="C24" s="331"/>
      <c r="D24" s="333"/>
      <c r="E24" s="327" t="s">
        <v>79</v>
      </c>
      <c r="F24" s="4">
        <v>811</v>
      </c>
      <c r="G24" s="319"/>
      <c r="H24" s="278">
        <v>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9">
        <v>0</v>
      </c>
      <c r="O24" s="29">
        <v>0</v>
      </c>
      <c r="P24" s="29">
        <v>390000</v>
      </c>
      <c r="Q24" s="29">
        <v>390000</v>
      </c>
      <c r="R24" s="8">
        <f t="shared" si="4"/>
        <v>780000</v>
      </c>
      <c r="S24" s="322"/>
    </row>
    <row r="25" spans="1:19" s="47" customFormat="1" ht="96.75" customHeight="1">
      <c r="A25" s="326"/>
      <c r="B25" s="317"/>
      <c r="C25" s="332"/>
      <c r="D25" s="328"/>
      <c r="E25" s="328"/>
      <c r="F25" s="4">
        <v>814</v>
      </c>
      <c r="G25" s="320"/>
      <c r="H25" s="278">
        <v>0</v>
      </c>
      <c r="I25" s="278">
        <v>0</v>
      </c>
      <c r="J25" s="278">
        <v>0</v>
      </c>
      <c r="K25" s="278">
        <v>304800</v>
      </c>
      <c r="L25" s="279">
        <v>0</v>
      </c>
      <c r="M25" s="278">
        <v>0</v>
      </c>
      <c r="N25" s="29">
        <v>0</v>
      </c>
      <c r="O25" s="29">
        <v>0</v>
      </c>
      <c r="P25" s="29">
        <v>0</v>
      </c>
      <c r="Q25" s="29">
        <v>0</v>
      </c>
      <c r="R25" s="8">
        <f t="shared" si="4"/>
        <v>304800</v>
      </c>
      <c r="S25" s="323"/>
    </row>
    <row r="26" spans="1:19" s="47" customFormat="1" ht="198.75" customHeight="1">
      <c r="A26" s="251" t="s">
        <v>177</v>
      </c>
      <c r="B26" s="250"/>
      <c r="C26" s="254">
        <v>806</v>
      </c>
      <c r="D26" s="252" t="s">
        <v>67</v>
      </c>
      <c r="E26" s="252" t="s">
        <v>178</v>
      </c>
      <c r="F26" s="256">
        <v>811</v>
      </c>
      <c r="G26" s="247" t="s">
        <v>32</v>
      </c>
      <c r="H26" s="278">
        <v>0</v>
      </c>
      <c r="I26" s="278">
        <v>0</v>
      </c>
      <c r="J26" s="278">
        <v>0</v>
      </c>
      <c r="K26" s="278">
        <v>0</v>
      </c>
      <c r="L26" s="279">
        <v>0</v>
      </c>
      <c r="M26" s="278">
        <v>0</v>
      </c>
      <c r="N26" s="29">
        <v>1794856.13</v>
      </c>
      <c r="O26" s="29">
        <v>0</v>
      </c>
      <c r="P26" s="29">
        <v>0</v>
      </c>
      <c r="Q26" s="29">
        <v>0</v>
      </c>
      <c r="R26" s="8">
        <f t="shared" si="4"/>
        <v>1794856.13</v>
      </c>
      <c r="S26" s="248"/>
    </row>
    <row r="27" spans="1:19" s="47" customFormat="1" ht="68.25" customHeight="1">
      <c r="A27" s="7" t="s">
        <v>80</v>
      </c>
      <c r="B27" s="4"/>
      <c r="C27" s="4"/>
      <c r="D27" s="12"/>
      <c r="E27" s="23"/>
      <c r="F27" s="4"/>
      <c r="G27" s="4"/>
      <c r="H27" s="277">
        <f>SUM(H28:H28)</f>
        <v>0</v>
      </c>
      <c r="I27" s="277">
        <v>0</v>
      </c>
      <c r="J27" s="277">
        <f>SUM(J28:J28)</f>
        <v>0</v>
      </c>
      <c r="K27" s="277">
        <f>SUM(K28:K28)</f>
        <v>0</v>
      </c>
      <c r="L27" s="277">
        <f>SUM(L28:L28)</f>
        <v>0</v>
      </c>
      <c r="M27" s="277">
        <f>SUM(M28:M29)</f>
        <v>8320000</v>
      </c>
      <c r="N27" s="8">
        <f>SUM(N28:N28)</f>
        <v>0</v>
      </c>
      <c r="O27" s="8">
        <f>SUM(O30)</f>
        <v>2616993.58</v>
      </c>
      <c r="P27" s="8">
        <v>0</v>
      </c>
      <c r="Q27" s="8">
        <v>0</v>
      </c>
      <c r="R27" s="8">
        <f t="shared" si="4"/>
        <v>10936993.58</v>
      </c>
      <c r="S27" s="7"/>
    </row>
    <row r="28" spans="1:19" s="47" customFormat="1" ht="82.5" customHeight="1">
      <c r="A28" s="26" t="s">
        <v>81</v>
      </c>
      <c r="B28" s="4" t="s">
        <v>46</v>
      </c>
      <c r="C28" s="23"/>
      <c r="D28" s="32"/>
      <c r="E28" s="32"/>
      <c r="F28" s="23"/>
      <c r="G28" s="23"/>
      <c r="H28" s="278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9">
        <v>0</v>
      </c>
      <c r="O28" s="29">
        <v>0</v>
      </c>
      <c r="P28" s="29">
        <v>0</v>
      </c>
      <c r="Q28" s="29">
        <v>0</v>
      </c>
      <c r="R28" s="8">
        <f t="shared" si="4"/>
        <v>0</v>
      </c>
      <c r="S28" s="37" t="s">
        <v>82</v>
      </c>
    </row>
    <row r="29" spans="1:19" s="47" customFormat="1" ht="82.5" customHeight="1">
      <c r="A29" s="314" t="s">
        <v>83</v>
      </c>
      <c r="B29" s="316" t="s">
        <v>66</v>
      </c>
      <c r="C29" s="23">
        <v>863</v>
      </c>
      <c r="D29" s="32" t="s">
        <v>67</v>
      </c>
      <c r="E29" s="32" t="s">
        <v>84</v>
      </c>
      <c r="F29" s="23">
        <v>244</v>
      </c>
      <c r="G29" s="4" t="s">
        <v>22</v>
      </c>
      <c r="H29" s="278">
        <v>0</v>
      </c>
      <c r="I29" s="278">
        <v>0</v>
      </c>
      <c r="J29" s="278">
        <v>0</v>
      </c>
      <c r="K29" s="278">
        <v>0</v>
      </c>
      <c r="L29" s="278">
        <v>0</v>
      </c>
      <c r="M29" s="278">
        <v>8320000</v>
      </c>
      <c r="N29" s="29">
        <v>0</v>
      </c>
      <c r="O29" s="29">
        <v>0</v>
      </c>
      <c r="P29" s="29">
        <v>0</v>
      </c>
      <c r="Q29" s="29">
        <v>0</v>
      </c>
      <c r="R29" s="8">
        <f t="shared" si="4"/>
        <v>8320000</v>
      </c>
      <c r="S29" s="37" t="s">
        <v>85</v>
      </c>
    </row>
    <row r="30" spans="1:19" s="47" customFormat="1" ht="82.5" customHeight="1">
      <c r="A30" s="315"/>
      <c r="B30" s="317"/>
      <c r="C30" s="290"/>
      <c r="D30" s="292"/>
      <c r="E30" s="292"/>
      <c r="F30" s="290"/>
      <c r="G30" s="291"/>
      <c r="H30" s="278"/>
      <c r="I30" s="278"/>
      <c r="J30" s="278"/>
      <c r="K30" s="278"/>
      <c r="L30" s="278"/>
      <c r="M30" s="278"/>
      <c r="N30" s="29"/>
      <c r="O30" s="29">
        <v>2616993.58</v>
      </c>
      <c r="P30" s="29"/>
      <c r="Q30" s="29"/>
      <c r="R30" s="8"/>
      <c r="S30" s="37"/>
    </row>
    <row r="31" spans="1:19" s="61" customFormat="1" ht="30" customHeight="1">
      <c r="A31" s="57" t="s">
        <v>86</v>
      </c>
      <c r="B31" s="37"/>
      <c r="C31" s="58"/>
      <c r="D31" s="59"/>
      <c r="E31" s="59"/>
      <c r="F31" s="58"/>
      <c r="G31" s="58"/>
      <c r="H31" s="280">
        <f>SUM(H13:H28)</f>
        <v>22741138.559999999</v>
      </c>
      <c r="I31" s="280">
        <f t="shared" ref="I31:P31" si="5">SUM(I13:I28)</f>
        <v>24610008</v>
      </c>
      <c r="J31" s="280">
        <f t="shared" si="5"/>
        <v>36121067</v>
      </c>
      <c r="K31" s="280">
        <f>SUM(K13:K28)</f>
        <v>34957000</v>
      </c>
      <c r="L31" s="280">
        <f t="shared" ref="L31" si="6">SUM(L13:L28)</f>
        <v>36353300</v>
      </c>
      <c r="M31" s="280">
        <f>SUM(M13:M27)</f>
        <v>56835003</v>
      </c>
      <c r="N31" s="60">
        <f t="shared" si="5"/>
        <v>59457110.120000005</v>
      </c>
      <c r="O31" s="60">
        <f t="shared" si="5"/>
        <v>63655200</v>
      </c>
      <c r="P31" s="60">
        <f t="shared" si="5"/>
        <v>30390000</v>
      </c>
      <c r="Q31" s="60">
        <f t="shared" ref="Q31" si="7">SUM(Q13:Q28)</f>
        <v>30390000</v>
      </c>
      <c r="R31" s="8">
        <f t="shared" si="4"/>
        <v>395509826.68000001</v>
      </c>
      <c r="S31" s="37"/>
    </row>
    <row r="32" spans="1:19" s="47" customFormat="1" ht="18.75">
      <c r="A32" s="62" t="s">
        <v>53</v>
      </c>
      <c r="B32" s="23"/>
      <c r="C32" s="23"/>
      <c r="D32" s="32"/>
      <c r="E32" s="23"/>
      <c r="F32" s="23"/>
      <c r="G32" s="23"/>
      <c r="H32" s="281"/>
      <c r="I32" s="281"/>
      <c r="J32" s="282"/>
      <c r="K32" s="282"/>
      <c r="L32" s="282"/>
      <c r="M32" s="282"/>
      <c r="N32" s="34"/>
      <c r="O32" s="34"/>
      <c r="P32" s="34"/>
      <c r="Q32" s="34"/>
      <c r="R32" s="34"/>
      <c r="S32" s="31"/>
    </row>
    <row r="33" spans="1:19" s="47" customFormat="1" ht="18.75">
      <c r="A33" s="7" t="s">
        <v>54</v>
      </c>
      <c r="B33" s="23"/>
      <c r="C33" s="23"/>
      <c r="D33" s="32"/>
      <c r="E33" s="23"/>
      <c r="F33" s="23"/>
      <c r="G33" s="23"/>
      <c r="H33" s="282">
        <f t="shared" ref="H33:L33" si="8">H10</f>
        <v>22741138.559999999</v>
      </c>
      <c r="I33" s="282">
        <f t="shared" si="8"/>
        <v>24610008</v>
      </c>
      <c r="J33" s="282">
        <f t="shared" si="8"/>
        <v>36121067</v>
      </c>
      <c r="K33" s="282">
        <f>K10</f>
        <v>34957000</v>
      </c>
      <c r="L33" s="282">
        <f t="shared" si="8"/>
        <v>36353300</v>
      </c>
      <c r="M33" s="282">
        <f>M31-M34</f>
        <v>44529003</v>
      </c>
      <c r="N33" s="34">
        <f>N10</f>
        <v>59457110.120000005</v>
      </c>
      <c r="O33" s="34">
        <f t="shared" ref="O33:P33" si="9">O10</f>
        <v>63655200</v>
      </c>
      <c r="P33" s="34">
        <f t="shared" si="9"/>
        <v>30390000</v>
      </c>
      <c r="Q33" s="34">
        <f t="shared" ref="Q33" si="10">Q10</f>
        <v>30390000</v>
      </c>
      <c r="R33" s="8">
        <f>SUM(H33:Q33)</f>
        <v>383203826.68000001</v>
      </c>
      <c r="S33" s="31"/>
    </row>
    <row r="34" spans="1:19" s="47" customFormat="1" ht="18.75">
      <c r="A34" s="37" t="s">
        <v>55</v>
      </c>
      <c r="B34" s="23"/>
      <c r="C34" s="23"/>
      <c r="D34" s="32"/>
      <c r="E34" s="23"/>
      <c r="F34" s="23"/>
      <c r="G34" s="23"/>
      <c r="H34" s="281">
        <f t="shared" ref="H34:L34" si="11">H28</f>
        <v>0</v>
      </c>
      <c r="I34" s="281">
        <f t="shared" si="11"/>
        <v>0</v>
      </c>
      <c r="J34" s="281">
        <f t="shared" si="11"/>
        <v>0</v>
      </c>
      <c r="K34" s="281">
        <f t="shared" si="11"/>
        <v>0</v>
      </c>
      <c r="L34" s="281">
        <f t="shared" si="11"/>
        <v>0</v>
      </c>
      <c r="M34" s="281">
        <f>M18</f>
        <v>12306000</v>
      </c>
      <c r="N34" s="33">
        <f>N26</f>
        <v>1794856.13</v>
      </c>
      <c r="O34" s="33">
        <f>O28</f>
        <v>0</v>
      </c>
      <c r="P34" s="33">
        <f>P28</f>
        <v>0</v>
      </c>
      <c r="Q34" s="33">
        <f>Q28</f>
        <v>0</v>
      </c>
      <c r="R34" s="33">
        <f>H34+K34+M34+N34</f>
        <v>14100856.129999999</v>
      </c>
      <c r="S34" s="31"/>
    </row>
    <row r="35" spans="1:19" ht="18.75">
      <c r="B35" s="39"/>
      <c r="C35" s="39"/>
      <c r="D35" s="40"/>
      <c r="E35" s="39"/>
      <c r="F35" s="39"/>
      <c r="G35" s="39"/>
      <c r="H35" s="283"/>
      <c r="I35" s="283"/>
      <c r="J35" s="283"/>
    </row>
    <row r="36" spans="1:19" ht="18.75">
      <c r="B36" s="39"/>
      <c r="C36" s="39"/>
      <c r="D36" s="40"/>
      <c r="E36" s="39"/>
      <c r="F36" s="39"/>
      <c r="G36" s="39"/>
      <c r="H36" s="283"/>
      <c r="I36" s="283"/>
      <c r="J36" s="283"/>
    </row>
    <row r="37" spans="1:19" ht="18.75">
      <c r="B37" s="39"/>
      <c r="C37" s="39"/>
      <c r="D37" s="39"/>
      <c r="E37" s="39"/>
      <c r="F37" s="39"/>
      <c r="G37" s="39"/>
      <c r="H37" s="283"/>
      <c r="I37" s="283"/>
      <c r="J37" s="283"/>
    </row>
    <row r="38" spans="1:19" ht="18.75">
      <c r="B38" s="39"/>
      <c r="C38" s="39"/>
      <c r="D38" s="39"/>
      <c r="E38" s="39"/>
      <c r="F38" s="39"/>
      <c r="G38" s="39"/>
      <c r="H38" s="283"/>
      <c r="I38" s="283"/>
      <c r="J38" s="283"/>
    </row>
    <row r="39" spans="1:19" ht="18.75">
      <c r="B39" s="39"/>
      <c r="C39" s="39"/>
      <c r="D39" s="39"/>
      <c r="E39" s="39"/>
      <c r="F39" s="39"/>
      <c r="G39" s="39"/>
      <c r="H39" s="283"/>
      <c r="I39" s="283"/>
      <c r="J39" s="283"/>
    </row>
    <row r="40" spans="1:19" ht="18.75">
      <c r="B40" s="39"/>
      <c r="C40" s="39"/>
      <c r="D40" s="39"/>
      <c r="E40" s="39"/>
      <c r="F40" s="39"/>
      <c r="G40" s="39"/>
      <c r="H40" s="283"/>
      <c r="I40" s="283"/>
      <c r="J40" s="283"/>
    </row>
    <row r="41" spans="1:19" ht="18.75">
      <c r="B41" s="39"/>
      <c r="C41" s="39"/>
      <c r="D41" s="39"/>
      <c r="E41" s="39"/>
      <c r="F41" s="39"/>
      <c r="G41" s="39"/>
      <c r="H41" s="283"/>
      <c r="I41" s="283"/>
      <c r="J41" s="283"/>
    </row>
    <row r="42" spans="1:19" ht="18.75">
      <c r="B42" s="39"/>
      <c r="C42" s="39"/>
      <c r="D42" s="39"/>
      <c r="E42" s="39"/>
      <c r="F42" s="39"/>
      <c r="G42" s="39"/>
      <c r="H42" s="283"/>
      <c r="I42" s="283"/>
      <c r="J42" s="283"/>
    </row>
    <row r="43" spans="1:19" ht="18.75">
      <c r="B43" s="39"/>
      <c r="C43" s="39"/>
      <c r="D43" s="39"/>
      <c r="E43" s="39"/>
      <c r="F43" s="39"/>
      <c r="G43" s="39"/>
      <c r="H43" s="283"/>
      <c r="I43" s="283"/>
      <c r="J43" s="283"/>
    </row>
    <row r="44" spans="1:19" ht="18.75">
      <c r="B44" s="39"/>
      <c r="C44" s="39"/>
      <c r="D44" s="39"/>
      <c r="E44" s="39"/>
      <c r="F44" s="39"/>
      <c r="G44" s="39"/>
      <c r="H44" s="283"/>
      <c r="I44" s="283"/>
      <c r="J44" s="283"/>
    </row>
    <row r="45" spans="1:19" ht="18.75">
      <c r="B45" s="39"/>
      <c r="C45" s="39"/>
      <c r="D45" s="39"/>
      <c r="E45" s="39"/>
      <c r="F45" s="39"/>
      <c r="G45" s="39"/>
      <c r="H45" s="283"/>
      <c r="I45" s="283"/>
      <c r="J45" s="283"/>
    </row>
    <row r="46" spans="1:19" ht="18.75">
      <c r="B46" s="39"/>
      <c r="C46" s="39"/>
      <c r="D46" s="39"/>
      <c r="E46" s="39"/>
      <c r="F46" s="39"/>
      <c r="G46" s="39"/>
      <c r="H46" s="283"/>
      <c r="I46" s="283"/>
      <c r="J46" s="283"/>
    </row>
    <row r="47" spans="1:19" ht="18.75">
      <c r="B47" s="39"/>
      <c r="C47" s="39"/>
      <c r="D47" s="39"/>
      <c r="E47" s="39"/>
      <c r="F47" s="39"/>
      <c r="G47" s="39"/>
      <c r="H47" s="283"/>
      <c r="I47" s="283"/>
      <c r="J47" s="283"/>
    </row>
    <row r="48" spans="1:19" ht="18.75">
      <c r="B48" s="39"/>
      <c r="C48" s="39"/>
      <c r="D48" s="39"/>
      <c r="E48" s="39"/>
      <c r="F48" s="39"/>
      <c r="G48" s="39"/>
      <c r="H48" s="283"/>
      <c r="I48" s="283"/>
      <c r="J48" s="283"/>
    </row>
    <row r="49" spans="2:10" ht="18.75">
      <c r="B49" s="39"/>
      <c r="C49" s="39"/>
      <c r="D49" s="39"/>
      <c r="E49" s="39"/>
      <c r="F49" s="39"/>
      <c r="G49" s="39"/>
      <c r="H49" s="283"/>
      <c r="I49" s="283"/>
      <c r="J49" s="283"/>
    </row>
    <row r="50" spans="2:10" ht="18.75">
      <c r="B50" s="39"/>
      <c r="C50" s="39"/>
      <c r="D50" s="39"/>
      <c r="E50" s="39"/>
      <c r="F50" s="39"/>
      <c r="G50" s="39"/>
      <c r="H50" s="283"/>
      <c r="I50" s="283"/>
      <c r="J50" s="283"/>
    </row>
  </sheetData>
  <mergeCells count="31">
    <mergeCell ref="A8:S8"/>
    <mergeCell ref="A9:S9"/>
    <mergeCell ref="A13:A14"/>
    <mergeCell ref="E14:E16"/>
    <mergeCell ref="F14:F15"/>
    <mergeCell ref="B13:B19"/>
    <mergeCell ref="A15:A19"/>
    <mergeCell ref="C13:C17"/>
    <mergeCell ref="D13:D17"/>
    <mergeCell ref="G13:G17"/>
    <mergeCell ref="S13:S19"/>
    <mergeCell ref="R1:S1"/>
    <mergeCell ref="A3:S3"/>
    <mergeCell ref="A5:A6"/>
    <mergeCell ref="B5:B6"/>
    <mergeCell ref="C5:F5"/>
    <mergeCell ref="G5:G6"/>
    <mergeCell ref="H5:R5"/>
    <mergeCell ref="S5:S6"/>
    <mergeCell ref="A29:A30"/>
    <mergeCell ref="B29:B30"/>
    <mergeCell ref="G22:G25"/>
    <mergeCell ref="S22:S25"/>
    <mergeCell ref="F22:F23"/>
    <mergeCell ref="A24:A25"/>
    <mergeCell ref="E24:E25"/>
    <mergeCell ref="E22:E23"/>
    <mergeCell ref="A22:A23"/>
    <mergeCell ref="B22:B25"/>
    <mergeCell ref="C22:C25"/>
    <mergeCell ref="D22:D2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9"/>
  <sheetViews>
    <sheetView zoomScale="60" zoomScaleNormal="60" workbookViewId="0">
      <pane xSplit="7" ySplit="9" topLeftCell="O10" activePane="bottomRight" state="frozen"/>
      <selection pane="topRight" activeCell="H1" sqref="H1"/>
      <selection pane="bottomLeft" activeCell="A10" sqref="A10"/>
      <selection pane="bottomRight" activeCell="O42" sqref="O42"/>
    </sheetView>
  </sheetViews>
  <sheetFormatPr defaultRowHeight="18"/>
  <cols>
    <col min="1" max="1" width="96.5703125" style="1" customWidth="1"/>
    <col min="2" max="2" width="29.140625" style="1" customWidth="1"/>
    <col min="3" max="4" width="9.140625" style="1"/>
    <col min="5" max="5" width="17.28515625" style="1" customWidth="1"/>
    <col min="6" max="6" width="9.140625" style="1" customWidth="1"/>
    <col min="7" max="7" width="14.140625" style="1" customWidth="1"/>
    <col min="8" max="10" width="15.7109375" style="217" customWidth="1"/>
    <col min="11" max="11" width="14.85546875" style="217" customWidth="1"/>
    <col min="12" max="13" width="15.7109375" style="217" customWidth="1"/>
    <col min="14" max="14" width="18.5703125" style="1" customWidth="1"/>
    <col min="15" max="17" width="15.7109375" style="1" customWidth="1"/>
    <col min="18" max="18" width="17.7109375" style="1" customWidth="1"/>
    <col min="19" max="19" width="60.5703125" style="43" customWidth="1"/>
    <col min="20" max="20" width="9.28515625" style="1" customWidth="1"/>
    <col min="21" max="16384" width="9.140625" style="1"/>
  </cols>
  <sheetData>
    <row r="1" spans="1:19" ht="18.75">
      <c r="R1" s="362"/>
      <c r="S1" s="362"/>
    </row>
    <row r="2" spans="1:19" ht="18.75">
      <c r="R2" s="363" t="s">
        <v>0</v>
      </c>
      <c r="S2" s="363"/>
    </row>
    <row r="3" spans="1:19" ht="23.25">
      <c r="A3" s="364" t="s">
        <v>1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</row>
    <row r="4" spans="1:19" ht="23.25">
      <c r="A4" s="2"/>
      <c r="B4" s="2"/>
      <c r="C4" s="2"/>
      <c r="D4" s="2"/>
      <c r="E4" s="2"/>
      <c r="F4" s="2"/>
      <c r="G4" s="2"/>
      <c r="H4" s="218"/>
      <c r="I4" s="218"/>
      <c r="J4" s="218"/>
      <c r="K4" s="218"/>
      <c r="L4" s="218"/>
      <c r="M4" s="218"/>
      <c r="N4" s="2"/>
      <c r="O4" s="2"/>
      <c r="P4" s="2"/>
      <c r="Q4" s="258"/>
      <c r="R4" s="2"/>
      <c r="S4" s="2"/>
    </row>
    <row r="5" spans="1:19" ht="18.75">
      <c r="A5" s="316" t="s">
        <v>2</v>
      </c>
      <c r="B5" s="316" t="s">
        <v>3</v>
      </c>
      <c r="C5" s="365" t="s">
        <v>4</v>
      </c>
      <c r="D5" s="366"/>
      <c r="E5" s="366"/>
      <c r="F5" s="367"/>
      <c r="G5" s="316" t="s">
        <v>5</v>
      </c>
      <c r="H5" s="219"/>
      <c r="I5" s="316" t="s">
        <v>6</v>
      </c>
      <c r="J5" s="316"/>
      <c r="K5" s="316"/>
      <c r="L5" s="316"/>
      <c r="M5" s="316"/>
      <c r="N5" s="316"/>
      <c r="O5" s="316"/>
      <c r="P5" s="316"/>
      <c r="Q5" s="316"/>
      <c r="R5" s="316"/>
      <c r="S5" s="369" t="s">
        <v>7</v>
      </c>
    </row>
    <row r="6" spans="1:19" ht="37.5">
      <c r="A6" s="329"/>
      <c r="B6" s="329"/>
      <c r="C6" s="3" t="s">
        <v>8</v>
      </c>
      <c r="D6" s="3" t="s">
        <v>9</v>
      </c>
      <c r="E6" s="3" t="s">
        <v>10</v>
      </c>
      <c r="F6" s="3" t="s">
        <v>11</v>
      </c>
      <c r="G6" s="368"/>
      <c r="H6" s="220">
        <v>2014</v>
      </c>
      <c r="I6" s="220">
        <v>2015</v>
      </c>
      <c r="J6" s="220">
        <v>2016</v>
      </c>
      <c r="K6" s="220">
        <v>2017</v>
      </c>
      <c r="L6" s="220">
        <v>2018</v>
      </c>
      <c r="M6" s="220">
        <v>2019</v>
      </c>
      <c r="N6" s="3">
        <v>2020</v>
      </c>
      <c r="O6" s="3">
        <v>2021</v>
      </c>
      <c r="P6" s="3">
        <v>2022</v>
      </c>
      <c r="Q6" s="249">
        <v>2023</v>
      </c>
      <c r="R6" s="3" t="s">
        <v>12</v>
      </c>
      <c r="S6" s="370"/>
    </row>
    <row r="7" spans="1:19" ht="18.7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220">
        <v>8</v>
      </c>
      <c r="I7" s="220">
        <v>9</v>
      </c>
      <c r="J7" s="220">
        <v>10</v>
      </c>
      <c r="K7" s="220">
        <v>11</v>
      </c>
      <c r="L7" s="220">
        <v>12</v>
      </c>
      <c r="M7" s="220">
        <v>13</v>
      </c>
      <c r="N7" s="4">
        <v>14</v>
      </c>
      <c r="O7" s="4">
        <v>15</v>
      </c>
      <c r="P7" s="4">
        <v>16</v>
      </c>
      <c r="Q7" s="256">
        <v>17</v>
      </c>
      <c r="R7" s="4">
        <v>18</v>
      </c>
      <c r="S7" s="5">
        <v>19</v>
      </c>
    </row>
    <row r="8" spans="1:19">
      <c r="A8" s="337" t="s">
        <v>13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8"/>
    </row>
    <row r="9" spans="1:19">
      <c r="A9" s="337" t="s">
        <v>14</v>
      </c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S9" s="358"/>
    </row>
    <row r="10" spans="1:19" ht="18.75">
      <c r="A10" s="6" t="s">
        <v>15</v>
      </c>
      <c r="B10" s="7"/>
      <c r="C10" s="7"/>
      <c r="D10" s="7"/>
      <c r="E10" s="7"/>
      <c r="F10" s="7"/>
      <c r="G10" s="7"/>
      <c r="H10" s="221">
        <f t="shared" ref="H10:P10" si="0">H11+H30</f>
        <v>499266</v>
      </c>
      <c r="I10" s="221">
        <f t="shared" si="0"/>
        <v>231786</v>
      </c>
      <c r="J10" s="221">
        <f t="shared" si="0"/>
        <v>301426</v>
      </c>
      <c r="K10" s="221">
        <f t="shared" si="0"/>
        <v>348750</v>
      </c>
      <c r="L10" s="221">
        <f t="shared" si="0"/>
        <v>345340</v>
      </c>
      <c r="M10" s="221">
        <f t="shared" si="0"/>
        <v>345841.7</v>
      </c>
      <c r="N10" s="8">
        <f>N11+N30</f>
        <v>3097870.5</v>
      </c>
      <c r="O10" s="8">
        <f t="shared" si="0"/>
        <v>603300</v>
      </c>
      <c r="P10" s="8">
        <f t="shared" si="0"/>
        <v>438900</v>
      </c>
      <c r="Q10" s="8">
        <f t="shared" ref="Q10" si="1">Q11+Q30</f>
        <v>438900</v>
      </c>
      <c r="R10" s="9">
        <f>SUM(H10:Q10)</f>
        <v>6651380.2000000002</v>
      </c>
      <c r="S10" s="10"/>
    </row>
    <row r="11" spans="1:19" ht="18.75">
      <c r="A11" s="11" t="s">
        <v>16</v>
      </c>
      <c r="B11" s="7"/>
      <c r="C11" s="7"/>
      <c r="D11" s="7"/>
      <c r="E11" s="7"/>
      <c r="F11" s="7"/>
      <c r="G11" s="7"/>
      <c r="H11" s="221">
        <f>H12</f>
        <v>236786</v>
      </c>
      <c r="I11" s="221">
        <f t="shared" ref="I11" si="2">I12</f>
        <v>231786</v>
      </c>
      <c r="J11" s="221">
        <f>J12+J24+J27+J28</f>
        <v>68626</v>
      </c>
      <c r="K11" s="221">
        <f>K12+K24+K28+K27</f>
        <v>69950</v>
      </c>
      <c r="L11" s="221">
        <f>L12+L24+L28+L27</f>
        <v>66540</v>
      </c>
      <c r="M11" s="221">
        <f>M12+M25+M26</f>
        <v>67041.7</v>
      </c>
      <c r="N11" s="8">
        <f>N12+N25+N26+N29</f>
        <v>66988</v>
      </c>
      <c r="O11" s="8">
        <f t="shared" ref="O11:P11" si="3">O12+O25+O26</f>
        <v>92000</v>
      </c>
      <c r="P11" s="8">
        <f t="shared" si="3"/>
        <v>80000</v>
      </c>
      <c r="Q11" s="8">
        <f t="shared" ref="Q11" si="4">Q12+Q25+Q26</f>
        <v>80000</v>
      </c>
      <c r="R11" s="9">
        <f>SUM(H11:Q11)</f>
        <v>1059717.7</v>
      </c>
      <c r="S11" s="10"/>
    </row>
    <row r="12" spans="1:19" ht="37.5">
      <c r="A12" s="11" t="s">
        <v>17</v>
      </c>
      <c r="B12" s="4"/>
      <c r="C12" s="4"/>
      <c r="D12" s="12"/>
      <c r="E12" s="12"/>
      <c r="F12" s="4"/>
      <c r="G12" s="4"/>
      <c r="H12" s="221">
        <f>SUM(H13:H23)</f>
        <v>236786</v>
      </c>
      <c r="I12" s="221">
        <f t="shared" ref="I12:M12" si="5">SUM(I13:I23)</f>
        <v>231786</v>
      </c>
      <c r="J12" s="221">
        <f>SUM(J13:J23)</f>
        <v>53010</v>
      </c>
      <c r="K12" s="221">
        <f>SUM(K13:K23)</f>
        <v>53010</v>
      </c>
      <c r="L12" s="221">
        <f>SUM(L13:L23)</f>
        <v>53010</v>
      </c>
      <c r="M12" s="221">
        <f t="shared" si="5"/>
        <v>54303.7</v>
      </c>
      <c r="N12" s="8">
        <f>SUM(N13:N23)</f>
        <v>0</v>
      </c>
      <c r="O12" s="8">
        <f t="shared" ref="O12:Q12" si="6">SUM(O13:O23)</f>
        <v>78666</v>
      </c>
      <c r="P12" s="8">
        <f t="shared" si="6"/>
        <v>80000</v>
      </c>
      <c r="Q12" s="8">
        <f t="shared" si="6"/>
        <v>80000</v>
      </c>
      <c r="R12" s="9">
        <f t="shared" ref="R12:R38" si="7">SUM(H12:Q12)</f>
        <v>920571.7</v>
      </c>
      <c r="S12" s="10"/>
    </row>
    <row r="13" spans="1:19" ht="18.75" customHeight="1">
      <c r="A13" s="359" t="s">
        <v>18</v>
      </c>
      <c r="B13" s="316" t="s">
        <v>19</v>
      </c>
      <c r="C13" s="316">
        <v>875</v>
      </c>
      <c r="D13" s="347" t="s">
        <v>20</v>
      </c>
      <c r="E13" s="13" t="s">
        <v>21</v>
      </c>
      <c r="F13" s="3">
        <v>112</v>
      </c>
      <c r="G13" s="318" t="s">
        <v>22</v>
      </c>
      <c r="H13" s="222">
        <v>7949</v>
      </c>
      <c r="I13" s="222">
        <v>8365</v>
      </c>
      <c r="J13" s="222">
        <v>0</v>
      </c>
      <c r="K13" s="222">
        <v>0</v>
      </c>
      <c r="L13" s="222">
        <v>0</v>
      </c>
      <c r="M13" s="223">
        <v>0</v>
      </c>
      <c r="N13" s="15">
        <v>0</v>
      </c>
      <c r="O13" s="15">
        <v>0</v>
      </c>
      <c r="P13" s="15">
        <v>0</v>
      </c>
      <c r="Q13" s="15">
        <v>0</v>
      </c>
      <c r="R13" s="9">
        <f t="shared" si="7"/>
        <v>16314</v>
      </c>
      <c r="S13" s="316" t="s">
        <v>175</v>
      </c>
    </row>
    <row r="14" spans="1:19" ht="18.75">
      <c r="A14" s="360"/>
      <c r="B14" s="329"/>
      <c r="C14" s="329"/>
      <c r="D14" s="354"/>
      <c r="E14" s="347" t="s">
        <v>23</v>
      </c>
      <c r="F14" s="3">
        <v>112</v>
      </c>
      <c r="G14" s="319"/>
      <c r="H14" s="222">
        <v>0</v>
      </c>
      <c r="I14" s="222">
        <v>0</v>
      </c>
      <c r="J14" s="222">
        <v>0</v>
      </c>
      <c r="K14" s="222">
        <v>6019.8</v>
      </c>
      <c r="L14" s="222">
        <v>0</v>
      </c>
      <c r="M14" s="224">
        <v>0</v>
      </c>
      <c r="N14" s="16">
        <v>0</v>
      </c>
      <c r="O14" s="16">
        <v>0</v>
      </c>
      <c r="P14" s="16">
        <v>0</v>
      </c>
      <c r="Q14" s="16">
        <v>0</v>
      </c>
      <c r="R14" s="9">
        <f t="shared" si="7"/>
        <v>6019.8</v>
      </c>
      <c r="S14" s="329"/>
    </row>
    <row r="15" spans="1:19" ht="18.75">
      <c r="A15" s="360"/>
      <c r="B15" s="329"/>
      <c r="C15" s="329"/>
      <c r="D15" s="348"/>
      <c r="E15" s="348"/>
      <c r="F15" s="3">
        <v>113</v>
      </c>
      <c r="G15" s="319"/>
      <c r="H15" s="222">
        <v>0</v>
      </c>
      <c r="I15" s="222">
        <v>0</v>
      </c>
      <c r="J15" s="222">
        <v>6780</v>
      </c>
      <c r="K15" s="222">
        <v>5980.2</v>
      </c>
      <c r="L15" s="222">
        <v>0</v>
      </c>
      <c r="M15" s="224">
        <v>0</v>
      </c>
      <c r="N15" s="16">
        <v>0</v>
      </c>
      <c r="O15" s="16">
        <v>0</v>
      </c>
      <c r="P15" s="16">
        <v>0</v>
      </c>
      <c r="Q15" s="16">
        <v>0</v>
      </c>
      <c r="R15" s="9">
        <f t="shared" si="7"/>
        <v>12760.2</v>
      </c>
      <c r="S15" s="329"/>
    </row>
    <row r="16" spans="1:19" ht="18.75">
      <c r="A16" s="360"/>
      <c r="B16" s="329"/>
      <c r="C16" s="329"/>
      <c r="D16" s="347" t="s">
        <v>24</v>
      </c>
      <c r="E16" s="12" t="s">
        <v>23</v>
      </c>
      <c r="F16" s="3">
        <v>112</v>
      </c>
      <c r="G16" s="319"/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14">
        <v>0</v>
      </c>
      <c r="O16" s="14">
        <v>0</v>
      </c>
      <c r="P16" s="14">
        <v>0</v>
      </c>
      <c r="Q16" s="14">
        <v>0</v>
      </c>
      <c r="R16" s="9">
        <f t="shared" si="7"/>
        <v>0</v>
      </c>
      <c r="S16" s="329"/>
    </row>
    <row r="17" spans="1:19" ht="18.75">
      <c r="A17" s="360"/>
      <c r="B17" s="329"/>
      <c r="C17" s="317"/>
      <c r="D17" s="348"/>
      <c r="E17" s="17" t="s">
        <v>23</v>
      </c>
      <c r="F17" s="3">
        <v>113</v>
      </c>
      <c r="G17" s="320"/>
      <c r="H17" s="222">
        <v>0</v>
      </c>
      <c r="I17" s="222">
        <v>0</v>
      </c>
      <c r="J17" s="222">
        <v>0</v>
      </c>
      <c r="K17" s="222">
        <v>0</v>
      </c>
      <c r="L17" s="222">
        <v>0</v>
      </c>
      <c r="M17" s="222">
        <v>0</v>
      </c>
      <c r="N17" s="14">
        <v>0</v>
      </c>
      <c r="O17" s="14">
        <v>0</v>
      </c>
      <c r="P17" s="14">
        <v>0</v>
      </c>
      <c r="Q17" s="14">
        <v>0</v>
      </c>
      <c r="R17" s="9">
        <f t="shared" si="7"/>
        <v>0</v>
      </c>
      <c r="S17" s="329"/>
    </row>
    <row r="18" spans="1:19" ht="37.5">
      <c r="A18" s="360"/>
      <c r="B18" s="329"/>
      <c r="C18" s="3">
        <v>875</v>
      </c>
      <c r="D18" s="13" t="s">
        <v>25</v>
      </c>
      <c r="E18" s="13" t="s">
        <v>21</v>
      </c>
      <c r="F18" s="3">
        <v>244</v>
      </c>
      <c r="G18" s="18" t="s">
        <v>22</v>
      </c>
      <c r="H18" s="222">
        <v>8500</v>
      </c>
      <c r="I18" s="222">
        <v>0</v>
      </c>
      <c r="J18" s="222">
        <v>0</v>
      </c>
      <c r="K18" s="222">
        <v>0</v>
      </c>
      <c r="L18" s="222">
        <v>0</v>
      </c>
      <c r="M18" s="222">
        <v>0</v>
      </c>
      <c r="N18" s="14">
        <v>0</v>
      </c>
      <c r="O18" s="14">
        <v>0</v>
      </c>
      <c r="P18" s="14">
        <v>0</v>
      </c>
      <c r="Q18" s="14">
        <v>0</v>
      </c>
      <c r="R18" s="9">
        <f t="shared" si="7"/>
        <v>8500</v>
      </c>
      <c r="S18" s="19" t="s">
        <v>26</v>
      </c>
    </row>
    <row r="19" spans="1:19" ht="18.75" customHeight="1">
      <c r="A19" s="360"/>
      <c r="B19" s="329"/>
      <c r="C19" s="316">
        <v>875</v>
      </c>
      <c r="D19" s="347" t="s">
        <v>20</v>
      </c>
      <c r="E19" s="13" t="s">
        <v>21</v>
      </c>
      <c r="F19" s="3">
        <v>244</v>
      </c>
      <c r="G19" s="318" t="s">
        <v>22</v>
      </c>
      <c r="H19" s="222">
        <v>215337</v>
      </c>
      <c r="I19" s="222">
        <v>223421</v>
      </c>
      <c r="J19" s="222">
        <v>0</v>
      </c>
      <c r="K19" s="222">
        <v>0</v>
      </c>
      <c r="L19" s="222">
        <v>0</v>
      </c>
      <c r="M19" s="222">
        <v>0</v>
      </c>
      <c r="N19" s="14">
        <v>0</v>
      </c>
      <c r="O19" s="14">
        <v>0</v>
      </c>
      <c r="P19" s="14">
        <v>0</v>
      </c>
      <c r="Q19" s="14">
        <v>0</v>
      </c>
      <c r="R19" s="9">
        <f t="shared" si="7"/>
        <v>438758</v>
      </c>
      <c r="S19" s="329" t="s">
        <v>27</v>
      </c>
    </row>
    <row r="20" spans="1:19" ht="18.75">
      <c r="A20" s="360"/>
      <c r="B20" s="329"/>
      <c r="C20" s="329"/>
      <c r="D20" s="348"/>
      <c r="E20" s="13" t="s">
        <v>23</v>
      </c>
      <c r="F20" s="3">
        <v>244</v>
      </c>
      <c r="G20" s="319"/>
      <c r="H20" s="222">
        <v>0</v>
      </c>
      <c r="I20" s="222">
        <v>0</v>
      </c>
      <c r="J20" s="222">
        <v>46230</v>
      </c>
      <c r="K20" s="222">
        <v>41010</v>
      </c>
      <c r="L20" s="222">
        <v>0</v>
      </c>
      <c r="M20" s="222">
        <v>0</v>
      </c>
      <c r="N20" s="14">
        <v>0</v>
      </c>
      <c r="O20" s="14">
        <v>0</v>
      </c>
      <c r="P20" s="14">
        <v>0</v>
      </c>
      <c r="Q20" s="14">
        <v>0</v>
      </c>
      <c r="R20" s="9">
        <f t="shared" si="7"/>
        <v>87240</v>
      </c>
      <c r="S20" s="329"/>
    </row>
    <row r="21" spans="1:19" ht="18.75">
      <c r="A21" s="360"/>
      <c r="B21" s="329"/>
      <c r="C21" s="329"/>
      <c r="D21" s="20" t="s">
        <v>24</v>
      </c>
      <c r="E21" s="13" t="s">
        <v>23</v>
      </c>
      <c r="F21" s="3">
        <v>244</v>
      </c>
      <c r="G21" s="319"/>
      <c r="H21" s="222">
        <v>0</v>
      </c>
      <c r="I21" s="222">
        <v>0</v>
      </c>
      <c r="J21" s="222">
        <v>0</v>
      </c>
      <c r="K21" s="222">
        <v>0</v>
      </c>
      <c r="L21" s="222">
        <v>53010</v>
      </c>
      <c r="M21" s="222">
        <v>54303.7</v>
      </c>
      <c r="N21" s="14">
        <v>0</v>
      </c>
      <c r="O21" s="14">
        <v>0</v>
      </c>
      <c r="P21" s="14">
        <v>0</v>
      </c>
      <c r="Q21" s="14">
        <v>0</v>
      </c>
      <c r="R21" s="9">
        <f t="shared" si="7"/>
        <v>107313.7</v>
      </c>
      <c r="S21" s="317"/>
    </row>
    <row r="22" spans="1:19" ht="18.75">
      <c r="A22" s="360"/>
      <c r="B22" s="329"/>
      <c r="C22" s="317"/>
      <c r="D22" s="272" t="s">
        <v>24</v>
      </c>
      <c r="E22" s="271" t="s">
        <v>181</v>
      </c>
      <c r="F22" s="269">
        <v>244</v>
      </c>
      <c r="G22" s="320"/>
      <c r="H22" s="222"/>
      <c r="I22" s="222"/>
      <c r="J22" s="222"/>
      <c r="K22" s="222"/>
      <c r="L22" s="222"/>
      <c r="M22" s="222"/>
      <c r="N22" s="14"/>
      <c r="O22" s="14">
        <v>78666</v>
      </c>
      <c r="P22" s="14">
        <v>80000</v>
      </c>
      <c r="Q22" s="14">
        <v>80000</v>
      </c>
      <c r="R22" s="9">
        <f t="shared" si="7"/>
        <v>238666</v>
      </c>
      <c r="S22" s="270"/>
    </row>
    <row r="23" spans="1:19" ht="56.25">
      <c r="A23" s="361"/>
      <c r="B23" s="329"/>
      <c r="C23" s="4">
        <v>875</v>
      </c>
      <c r="D23" s="12" t="s">
        <v>28</v>
      </c>
      <c r="E23" s="12" t="s">
        <v>21</v>
      </c>
      <c r="F23" s="4">
        <v>612</v>
      </c>
      <c r="G23" s="18" t="s">
        <v>22</v>
      </c>
      <c r="H23" s="223">
        <v>5000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  <c r="N23" s="15">
        <v>0</v>
      </c>
      <c r="O23" s="15">
        <v>0</v>
      </c>
      <c r="P23" s="15">
        <v>0</v>
      </c>
      <c r="Q23" s="15">
        <v>0</v>
      </c>
      <c r="R23" s="9">
        <f t="shared" si="7"/>
        <v>5000</v>
      </c>
      <c r="S23" s="21" t="s">
        <v>29</v>
      </c>
    </row>
    <row r="24" spans="1:19" ht="37.5">
      <c r="A24" s="345" t="s">
        <v>30</v>
      </c>
      <c r="B24" s="329"/>
      <c r="C24" s="4">
        <v>875</v>
      </c>
      <c r="D24" s="347" t="s">
        <v>20</v>
      </c>
      <c r="E24" s="13" t="s">
        <v>31</v>
      </c>
      <c r="F24" s="4">
        <v>244</v>
      </c>
      <c r="G24" s="4" t="s">
        <v>32</v>
      </c>
      <c r="H24" s="223">
        <v>0</v>
      </c>
      <c r="I24" s="223">
        <v>0</v>
      </c>
      <c r="J24" s="225">
        <v>11840</v>
      </c>
      <c r="K24" s="223">
        <v>11940</v>
      </c>
      <c r="L24" s="223">
        <v>12300</v>
      </c>
      <c r="M24" s="223">
        <v>0</v>
      </c>
      <c r="N24" s="15">
        <v>0</v>
      </c>
      <c r="O24" s="15">
        <v>0</v>
      </c>
      <c r="P24" s="15">
        <v>0</v>
      </c>
      <c r="Q24" s="15">
        <v>0</v>
      </c>
      <c r="R24" s="9">
        <f t="shared" si="7"/>
        <v>36080</v>
      </c>
      <c r="S24" s="349" t="s">
        <v>33</v>
      </c>
    </row>
    <row r="25" spans="1:19" ht="37.5">
      <c r="A25" s="353"/>
      <c r="B25" s="329"/>
      <c r="C25" s="4">
        <v>875</v>
      </c>
      <c r="D25" s="354"/>
      <c r="E25" s="13" t="s">
        <v>34</v>
      </c>
      <c r="F25" s="4">
        <v>244</v>
      </c>
      <c r="G25" s="4" t="s">
        <v>32</v>
      </c>
      <c r="H25" s="223">
        <v>0</v>
      </c>
      <c r="I25" s="223">
        <v>0</v>
      </c>
      <c r="J25" s="223">
        <v>0</v>
      </c>
      <c r="K25" s="223">
        <v>0</v>
      </c>
      <c r="L25" s="223">
        <v>0</v>
      </c>
      <c r="M25" s="223">
        <v>11580</v>
      </c>
      <c r="N25" s="15">
        <v>12580</v>
      </c>
      <c r="O25" s="15">
        <v>12000</v>
      </c>
      <c r="P25" s="15">
        <v>0</v>
      </c>
      <c r="Q25" s="15">
        <v>0</v>
      </c>
      <c r="R25" s="9">
        <f t="shared" si="7"/>
        <v>36160</v>
      </c>
      <c r="S25" s="355"/>
    </row>
    <row r="26" spans="1:19" ht="37.5">
      <c r="A26" s="353"/>
      <c r="B26" s="329"/>
      <c r="C26" s="4">
        <v>875</v>
      </c>
      <c r="D26" s="354"/>
      <c r="E26" s="13" t="s">
        <v>34</v>
      </c>
      <c r="F26" s="4">
        <v>244</v>
      </c>
      <c r="G26" s="3" t="s">
        <v>22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1158</v>
      </c>
      <c r="N26" s="15">
        <f>1258+140</f>
        <v>1398</v>
      </c>
      <c r="O26" s="15">
        <v>1334</v>
      </c>
      <c r="P26" s="15">
        <v>0</v>
      </c>
      <c r="Q26" s="15">
        <v>0</v>
      </c>
      <c r="R26" s="9">
        <f t="shared" si="7"/>
        <v>3890</v>
      </c>
      <c r="S26" s="355"/>
    </row>
    <row r="27" spans="1:19" ht="18.75">
      <c r="A27" s="353"/>
      <c r="B27" s="329"/>
      <c r="C27" s="4">
        <v>875</v>
      </c>
      <c r="D27" s="354"/>
      <c r="E27" s="13" t="s">
        <v>35</v>
      </c>
      <c r="F27" s="4">
        <v>244</v>
      </c>
      <c r="G27" s="318" t="s">
        <v>22</v>
      </c>
      <c r="H27" s="223">
        <v>0</v>
      </c>
      <c r="I27" s="223">
        <v>0</v>
      </c>
      <c r="J27" s="225">
        <v>2752</v>
      </c>
      <c r="K27" s="223">
        <v>5000</v>
      </c>
      <c r="L27" s="223">
        <v>1230</v>
      </c>
      <c r="M27" s="223">
        <v>0</v>
      </c>
      <c r="N27" s="15">
        <v>0</v>
      </c>
      <c r="O27" s="15">
        <v>0</v>
      </c>
      <c r="P27" s="15">
        <v>0</v>
      </c>
      <c r="Q27" s="15">
        <v>0</v>
      </c>
      <c r="R27" s="9">
        <f t="shared" si="7"/>
        <v>8982</v>
      </c>
      <c r="S27" s="355"/>
    </row>
    <row r="28" spans="1:19" ht="18.75">
      <c r="A28" s="346"/>
      <c r="B28" s="329"/>
      <c r="C28" s="4">
        <v>875</v>
      </c>
      <c r="D28" s="348"/>
      <c r="E28" s="13" t="s">
        <v>35</v>
      </c>
      <c r="F28" s="4">
        <v>612</v>
      </c>
      <c r="G28" s="320"/>
      <c r="H28" s="223">
        <v>0</v>
      </c>
      <c r="I28" s="223">
        <v>0</v>
      </c>
      <c r="J28" s="225">
        <v>1024</v>
      </c>
      <c r="K28" s="223">
        <v>0</v>
      </c>
      <c r="L28" s="223">
        <v>0</v>
      </c>
      <c r="M28" s="223">
        <v>0</v>
      </c>
      <c r="N28" s="15">
        <v>0</v>
      </c>
      <c r="O28" s="15">
        <v>0</v>
      </c>
      <c r="P28" s="15">
        <v>0</v>
      </c>
      <c r="Q28" s="15">
        <v>0</v>
      </c>
      <c r="R28" s="9">
        <f t="shared" si="7"/>
        <v>1024</v>
      </c>
      <c r="S28" s="356"/>
    </row>
    <row r="29" spans="1:19" ht="37.5">
      <c r="A29" s="242" t="s">
        <v>173</v>
      </c>
      <c r="B29" s="317"/>
      <c r="C29" s="240">
        <v>875</v>
      </c>
      <c r="D29" s="12" t="s">
        <v>24</v>
      </c>
      <c r="E29" s="12" t="s">
        <v>174</v>
      </c>
      <c r="F29" s="240"/>
      <c r="G29" s="241" t="s">
        <v>22</v>
      </c>
      <c r="H29" s="223">
        <v>0</v>
      </c>
      <c r="I29" s="223">
        <v>0</v>
      </c>
      <c r="J29" s="225">
        <v>0</v>
      </c>
      <c r="K29" s="223">
        <v>0</v>
      </c>
      <c r="L29" s="223">
        <v>0</v>
      </c>
      <c r="M29" s="223">
        <v>0</v>
      </c>
      <c r="N29" s="15">
        <v>53010</v>
      </c>
      <c r="O29" s="15">
        <v>0</v>
      </c>
      <c r="P29" s="15">
        <v>0</v>
      </c>
      <c r="Q29" s="15">
        <v>0</v>
      </c>
      <c r="R29" s="9">
        <f t="shared" si="7"/>
        <v>53010</v>
      </c>
      <c r="S29" s="243" t="s">
        <v>176</v>
      </c>
    </row>
    <row r="30" spans="1:19" ht="37.5">
      <c r="A30" s="22" t="s">
        <v>36</v>
      </c>
      <c r="B30" s="4"/>
      <c r="C30" s="4"/>
      <c r="D30" s="12"/>
      <c r="E30" s="23"/>
      <c r="F30" s="4"/>
      <c r="G30" s="4"/>
      <c r="H30" s="225">
        <f>SUM(H31:H34)</f>
        <v>262480</v>
      </c>
      <c r="I30" s="225">
        <f t="shared" ref="I30:L30" si="8">SUM(I31:I34)</f>
        <v>0</v>
      </c>
      <c r="J30" s="225">
        <f t="shared" si="8"/>
        <v>232800</v>
      </c>
      <c r="K30" s="225">
        <f t="shared" si="8"/>
        <v>278800</v>
      </c>
      <c r="L30" s="225">
        <f t="shared" si="8"/>
        <v>278800</v>
      </c>
      <c r="M30" s="225">
        <f>SUM(M31:M34)</f>
        <v>278800</v>
      </c>
      <c r="N30" s="9">
        <f>SUM(N31:N38)</f>
        <v>3030882.5</v>
      </c>
      <c r="O30" s="9">
        <f t="shared" ref="O30:Q30" si="9">SUM(O31:O38)</f>
        <v>511300</v>
      </c>
      <c r="P30" s="9">
        <f t="shared" si="9"/>
        <v>358900</v>
      </c>
      <c r="Q30" s="9">
        <f t="shared" si="9"/>
        <v>358900</v>
      </c>
      <c r="R30" s="9">
        <f t="shared" si="7"/>
        <v>5591662.5</v>
      </c>
      <c r="S30" s="7"/>
    </row>
    <row r="31" spans="1:19" ht="75">
      <c r="A31" s="351" t="s">
        <v>37</v>
      </c>
      <c r="B31" s="4" t="s">
        <v>38</v>
      </c>
      <c r="C31" s="23">
        <v>890</v>
      </c>
      <c r="D31" s="12" t="s">
        <v>39</v>
      </c>
      <c r="E31" s="12" t="s">
        <v>40</v>
      </c>
      <c r="F31" s="23">
        <v>540</v>
      </c>
      <c r="G31" s="4" t="s">
        <v>32</v>
      </c>
      <c r="H31" s="223">
        <v>23400</v>
      </c>
      <c r="I31" s="223">
        <v>0</v>
      </c>
      <c r="J31" s="226">
        <v>0</v>
      </c>
      <c r="K31" s="226">
        <v>0</v>
      </c>
      <c r="L31" s="226">
        <v>0</v>
      </c>
      <c r="M31" s="226">
        <v>0</v>
      </c>
      <c r="N31" s="24">
        <v>0</v>
      </c>
      <c r="O31" s="24">
        <v>0</v>
      </c>
      <c r="P31" s="24">
        <v>0</v>
      </c>
      <c r="Q31" s="24">
        <v>0</v>
      </c>
      <c r="R31" s="9">
        <f t="shared" si="7"/>
        <v>23400</v>
      </c>
      <c r="S31" s="349" t="s">
        <v>41</v>
      </c>
    </row>
    <row r="32" spans="1:19" ht="56.25">
      <c r="A32" s="352"/>
      <c r="B32" s="3" t="s">
        <v>42</v>
      </c>
      <c r="C32" s="23">
        <v>904</v>
      </c>
      <c r="D32" s="12" t="s">
        <v>39</v>
      </c>
      <c r="E32" s="12" t="s">
        <v>43</v>
      </c>
      <c r="F32" s="23">
        <v>244</v>
      </c>
      <c r="G32" s="4" t="s">
        <v>44</v>
      </c>
      <c r="H32" s="223">
        <v>4680</v>
      </c>
      <c r="I32" s="223">
        <v>0</v>
      </c>
      <c r="J32" s="226">
        <v>0</v>
      </c>
      <c r="K32" s="226">
        <v>0</v>
      </c>
      <c r="L32" s="226">
        <v>0</v>
      </c>
      <c r="M32" s="226">
        <v>0</v>
      </c>
      <c r="N32" s="24">
        <v>0</v>
      </c>
      <c r="O32" s="24">
        <v>0</v>
      </c>
      <c r="P32" s="24">
        <v>0</v>
      </c>
      <c r="Q32" s="24">
        <v>0</v>
      </c>
      <c r="R32" s="9">
        <f t="shared" si="7"/>
        <v>4680</v>
      </c>
      <c r="S32" s="350"/>
    </row>
    <row r="33" spans="1:19" ht="93.75">
      <c r="A33" s="25" t="s">
        <v>45</v>
      </c>
      <c r="B33" s="4" t="s">
        <v>46</v>
      </c>
      <c r="C33" s="23">
        <v>863</v>
      </c>
      <c r="D33" s="12" t="s">
        <v>47</v>
      </c>
      <c r="E33" s="12" t="s">
        <v>21</v>
      </c>
      <c r="F33" s="23">
        <v>244</v>
      </c>
      <c r="G33" s="4" t="s">
        <v>22</v>
      </c>
      <c r="H33" s="223">
        <v>234400</v>
      </c>
      <c r="I33" s="223">
        <v>0</v>
      </c>
      <c r="J33" s="226">
        <v>0</v>
      </c>
      <c r="K33" s="226">
        <v>0</v>
      </c>
      <c r="L33" s="226">
        <v>0</v>
      </c>
      <c r="M33" s="226">
        <v>0</v>
      </c>
      <c r="N33" s="24">
        <v>0</v>
      </c>
      <c r="O33" s="24">
        <v>0</v>
      </c>
      <c r="P33" s="24">
        <v>0</v>
      </c>
      <c r="Q33" s="24">
        <v>0</v>
      </c>
      <c r="R33" s="9">
        <f t="shared" si="7"/>
        <v>234400</v>
      </c>
      <c r="S33" s="26" t="s">
        <v>48</v>
      </c>
    </row>
    <row r="34" spans="1:19" s="27" customFormat="1" ht="75">
      <c r="A34" s="345" t="s">
        <v>49</v>
      </c>
      <c r="B34" s="316" t="s">
        <v>38</v>
      </c>
      <c r="C34" s="330">
        <v>890</v>
      </c>
      <c r="D34" s="347" t="s">
        <v>39</v>
      </c>
      <c r="E34" s="12" t="s">
        <v>50</v>
      </c>
      <c r="F34" s="23">
        <v>540</v>
      </c>
      <c r="G34" s="4" t="s">
        <v>32</v>
      </c>
      <c r="H34" s="223">
        <v>0</v>
      </c>
      <c r="I34" s="223">
        <v>0</v>
      </c>
      <c r="J34" s="226">
        <v>232800</v>
      </c>
      <c r="K34" s="226">
        <v>278800</v>
      </c>
      <c r="L34" s="226">
        <v>278800</v>
      </c>
      <c r="M34" s="226">
        <v>278800</v>
      </c>
      <c r="N34" s="24">
        <v>0</v>
      </c>
      <c r="O34" s="24">
        <v>0</v>
      </c>
      <c r="P34" s="24">
        <v>0</v>
      </c>
      <c r="Q34" s="24">
        <v>0</v>
      </c>
      <c r="R34" s="9">
        <f t="shared" si="7"/>
        <v>1069200</v>
      </c>
      <c r="S34" s="26" t="s">
        <v>51</v>
      </c>
    </row>
    <row r="35" spans="1:19" s="27" customFormat="1" ht="37.5">
      <c r="A35" s="346"/>
      <c r="B35" s="317"/>
      <c r="C35" s="332"/>
      <c r="D35" s="348"/>
      <c r="E35" s="12" t="s">
        <v>164</v>
      </c>
      <c r="F35" s="210"/>
      <c r="G35" s="211" t="s">
        <v>32</v>
      </c>
      <c r="H35" s="223"/>
      <c r="I35" s="223"/>
      <c r="J35" s="226"/>
      <c r="K35" s="226"/>
      <c r="L35" s="226"/>
      <c r="M35" s="226"/>
      <c r="N35" s="24">
        <v>2247232.5</v>
      </c>
      <c r="O35" s="24">
        <v>358900</v>
      </c>
      <c r="P35" s="24">
        <v>358900</v>
      </c>
      <c r="Q35" s="24">
        <v>358900</v>
      </c>
      <c r="R35" s="9">
        <f t="shared" si="7"/>
        <v>3323932.5</v>
      </c>
      <c r="S35" s="26"/>
    </row>
    <row r="36" spans="1:19" s="27" customFormat="1" ht="56.25" customHeight="1">
      <c r="A36" s="345" t="s">
        <v>167</v>
      </c>
      <c r="B36" s="316" t="s">
        <v>66</v>
      </c>
      <c r="C36" s="330">
        <v>806</v>
      </c>
      <c r="D36" s="347" t="s">
        <v>39</v>
      </c>
      <c r="E36" s="347" t="s">
        <v>168</v>
      </c>
      <c r="F36" s="330">
        <v>244</v>
      </c>
      <c r="G36" s="215" t="s">
        <v>32</v>
      </c>
      <c r="H36" s="223"/>
      <c r="I36" s="223"/>
      <c r="J36" s="226"/>
      <c r="K36" s="226"/>
      <c r="L36" s="226"/>
      <c r="M36" s="226"/>
      <c r="N36" s="24">
        <v>166567.5</v>
      </c>
      <c r="O36" s="24">
        <v>0</v>
      </c>
      <c r="P36" s="24">
        <v>0</v>
      </c>
      <c r="Q36" s="24">
        <v>0</v>
      </c>
      <c r="R36" s="9">
        <f t="shared" si="7"/>
        <v>166567.5</v>
      </c>
      <c r="S36" s="343" t="s">
        <v>169</v>
      </c>
    </row>
    <row r="37" spans="1:19" s="27" customFormat="1" ht="37.5">
      <c r="A37" s="346"/>
      <c r="B37" s="317"/>
      <c r="C37" s="332"/>
      <c r="D37" s="348"/>
      <c r="E37" s="348"/>
      <c r="F37" s="332"/>
      <c r="G37" s="215" t="s">
        <v>22</v>
      </c>
      <c r="H37" s="223"/>
      <c r="I37" s="223"/>
      <c r="J37" s="226"/>
      <c r="K37" s="226"/>
      <c r="L37" s="226"/>
      <c r="M37" s="226"/>
      <c r="N37" s="24">
        <v>1682.5</v>
      </c>
      <c r="O37" s="24">
        <v>0</v>
      </c>
      <c r="P37" s="24">
        <v>0</v>
      </c>
      <c r="Q37" s="24">
        <v>0</v>
      </c>
      <c r="R37" s="9">
        <f t="shared" si="7"/>
        <v>1682.5</v>
      </c>
      <c r="S37" s="344"/>
    </row>
    <row r="38" spans="1:19" s="27" customFormat="1" ht="75">
      <c r="A38" s="238" t="s">
        <v>172</v>
      </c>
      <c r="B38" s="234" t="s">
        <v>38</v>
      </c>
      <c r="C38" s="235">
        <v>890</v>
      </c>
      <c r="D38" s="239" t="s">
        <v>39</v>
      </c>
      <c r="E38" s="12" t="s">
        <v>170</v>
      </c>
      <c r="F38" s="235"/>
      <c r="G38" s="236" t="s">
        <v>32</v>
      </c>
      <c r="H38" s="223"/>
      <c r="I38" s="223"/>
      <c r="J38" s="226"/>
      <c r="K38" s="226"/>
      <c r="L38" s="226"/>
      <c r="M38" s="226"/>
      <c r="N38" s="24">
        <v>615400</v>
      </c>
      <c r="O38" s="24">
        <v>152400</v>
      </c>
      <c r="P38" s="24">
        <v>0</v>
      </c>
      <c r="Q38" s="24">
        <v>0</v>
      </c>
      <c r="R38" s="9">
        <f t="shared" si="7"/>
        <v>767800</v>
      </c>
      <c r="S38" s="237" t="s">
        <v>171</v>
      </c>
    </row>
    <row r="39" spans="1:19" ht="18.75">
      <c r="A39" s="28" t="s">
        <v>52</v>
      </c>
      <c r="B39" s="4"/>
      <c r="C39" s="23"/>
      <c r="D39" s="12"/>
      <c r="E39" s="12"/>
      <c r="F39" s="23"/>
      <c r="G39" s="23"/>
      <c r="H39" s="227">
        <f>SUM(H41:H43)</f>
        <v>499266</v>
      </c>
      <c r="I39" s="227">
        <f t="shared" ref="I39:K39" si="10">SUM(I41:I43)</f>
        <v>231786</v>
      </c>
      <c r="J39" s="228">
        <f t="shared" si="10"/>
        <v>301426</v>
      </c>
      <c r="K39" s="228">
        <f t="shared" si="10"/>
        <v>348750</v>
      </c>
      <c r="L39" s="228">
        <f>SUM(L41:L43)</f>
        <v>345340</v>
      </c>
      <c r="M39" s="228">
        <f>SUM(M41:M43)</f>
        <v>345841.7</v>
      </c>
      <c r="N39" s="30">
        <f>SUM(N41:N43)</f>
        <v>3097870.5</v>
      </c>
      <c r="O39" s="30">
        <f t="shared" ref="O39:Q39" si="11">SUM(O41:O43)</f>
        <v>603300</v>
      </c>
      <c r="P39" s="30">
        <f t="shared" si="11"/>
        <v>358900</v>
      </c>
      <c r="Q39" s="30">
        <f t="shared" si="11"/>
        <v>358900</v>
      </c>
      <c r="R39" s="9">
        <f>SUM(H39:Q39)</f>
        <v>6491380.2000000002</v>
      </c>
      <c r="S39" s="5"/>
    </row>
    <row r="40" spans="1:19" ht="18.75">
      <c r="A40" s="31" t="s">
        <v>53</v>
      </c>
      <c r="B40" s="23"/>
      <c r="C40" s="23"/>
      <c r="D40" s="32"/>
      <c r="E40" s="23"/>
      <c r="F40" s="23"/>
      <c r="G40" s="23"/>
      <c r="H40" s="229"/>
      <c r="I40" s="229"/>
      <c r="J40" s="230"/>
      <c r="K40" s="230"/>
      <c r="L40" s="230"/>
      <c r="M40" s="230"/>
      <c r="N40" s="31"/>
      <c r="O40" s="31"/>
      <c r="P40" s="31"/>
      <c r="Q40" s="31"/>
      <c r="R40" s="34"/>
      <c r="S40" s="35"/>
    </row>
    <row r="41" spans="1:19" ht="18.75">
      <c r="A41" s="36" t="s">
        <v>54</v>
      </c>
      <c r="B41" s="23"/>
      <c r="C41" s="23"/>
      <c r="D41" s="32"/>
      <c r="E41" s="23"/>
      <c r="F41" s="23"/>
      <c r="G41" s="23"/>
      <c r="H41" s="231">
        <f>H13+H18+H19+H23+H33</f>
        <v>471186</v>
      </c>
      <c r="I41" s="231">
        <f>I13+I19</f>
        <v>231786</v>
      </c>
      <c r="J41" s="231">
        <f>SUM(J13:J23)+J33+J27+J28</f>
        <v>56786</v>
      </c>
      <c r="K41" s="231">
        <f>SUM(K13:K23)+K33+K28+K27</f>
        <v>58010</v>
      </c>
      <c r="L41" s="231">
        <f>SUM(L13:L23)+L33+L27</f>
        <v>54240</v>
      </c>
      <c r="M41" s="231">
        <f>M21+M26</f>
        <v>55461.7</v>
      </c>
      <c r="N41" s="34">
        <f>N21+N26+N37+N29</f>
        <v>56090.5</v>
      </c>
      <c r="O41" s="34">
        <f>O21+O26+O37+O29+O22</f>
        <v>80000</v>
      </c>
      <c r="P41" s="34">
        <f t="shared" ref="P41:Q41" si="12">P21+P26+P37+P29</f>
        <v>0</v>
      </c>
      <c r="Q41" s="34">
        <f t="shared" si="12"/>
        <v>0</v>
      </c>
      <c r="R41" s="34">
        <f>SUM(H41:Q41)</f>
        <v>1063560.2</v>
      </c>
      <c r="S41" s="35"/>
    </row>
    <row r="42" spans="1:19" ht="18.75">
      <c r="A42" s="37" t="s">
        <v>55</v>
      </c>
      <c r="B42" s="23"/>
      <c r="C42" s="23"/>
      <c r="D42" s="32"/>
      <c r="E42" s="23"/>
      <c r="F42" s="23"/>
      <c r="G42" s="23"/>
      <c r="H42" s="232">
        <f>H31</f>
        <v>23400</v>
      </c>
      <c r="I42" s="232">
        <v>0</v>
      </c>
      <c r="J42" s="232">
        <f>J34+J24</f>
        <v>244640</v>
      </c>
      <c r="K42" s="232">
        <f>K34+K24</f>
        <v>290740</v>
      </c>
      <c r="L42" s="232">
        <f>L34+L24</f>
        <v>291100</v>
      </c>
      <c r="M42" s="232">
        <f>M34+M25</f>
        <v>290380</v>
      </c>
      <c r="N42" s="38">
        <f>N34+N25+N35+N36+N38</f>
        <v>3041780</v>
      </c>
      <c r="O42" s="38">
        <f t="shared" ref="O42:Q42" si="13">O34+O25+O35+O36+O38</f>
        <v>523300</v>
      </c>
      <c r="P42" s="38">
        <f t="shared" si="13"/>
        <v>358900</v>
      </c>
      <c r="Q42" s="38">
        <f t="shared" si="13"/>
        <v>358900</v>
      </c>
      <c r="R42" s="34">
        <f>SUM(H42:Q42)</f>
        <v>5423140</v>
      </c>
      <c r="S42" s="35"/>
    </row>
    <row r="43" spans="1:19" ht="18.75">
      <c r="A43" s="37" t="s">
        <v>56</v>
      </c>
      <c r="B43" s="23"/>
      <c r="C43" s="23"/>
      <c r="D43" s="32"/>
      <c r="E43" s="23"/>
      <c r="F43" s="23"/>
      <c r="G43" s="23"/>
      <c r="H43" s="232">
        <f>H32</f>
        <v>4680</v>
      </c>
      <c r="I43" s="232">
        <f t="shared" ref="I43:N43" si="14">I32</f>
        <v>0</v>
      </c>
      <c r="J43" s="232">
        <f t="shared" si="14"/>
        <v>0</v>
      </c>
      <c r="K43" s="232">
        <f t="shared" si="14"/>
        <v>0</v>
      </c>
      <c r="L43" s="232">
        <f t="shared" si="14"/>
        <v>0</v>
      </c>
      <c r="M43" s="232">
        <f t="shared" si="14"/>
        <v>0</v>
      </c>
      <c r="N43" s="38">
        <f t="shared" si="14"/>
        <v>0</v>
      </c>
      <c r="O43" s="38">
        <f t="shared" ref="O43:Q43" si="15">O32</f>
        <v>0</v>
      </c>
      <c r="P43" s="38">
        <f t="shared" si="15"/>
        <v>0</v>
      </c>
      <c r="Q43" s="38">
        <f t="shared" si="15"/>
        <v>0</v>
      </c>
      <c r="R43" s="34">
        <f>SUM(H43:Q43)</f>
        <v>4680</v>
      </c>
      <c r="S43" s="35"/>
    </row>
    <row r="44" spans="1:19" ht="18.75">
      <c r="A44" s="27"/>
      <c r="B44" s="39"/>
      <c r="C44" s="39"/>
      <c r="D44" s="40"/>
      <c r="E44" s="39"/>
      <c r="F44" s="39"/>
      <c r="G44" s="39"/>
      <c r="H44" s="233"/>
      <c r="I44" s="233"/>
      <c r="J44" s="233"/>
      <c r="N44" s="27"/>
      <c r="O44" s="27"/>
      <c r="P44" s="27"/>
      <c r="Q44" s="27"/>
      <c r="R44" s="27"/>
      <c r="S44" s="41"/>
    </row>
    <row r="45" spans="1:19" ht="18.75">
      <c r="A45" s="27"/>
      <c r="B45" s="39"/>
      <c r="C45" s="39"/>
      <c r="D45" s="39"/>
      <c r="E45" s="39"/>
      <c r="F45" s="39"/>
      <c r="G45" s="39"/>
      <c r="H45" s="233"/>
      <c r="I45" s="233"/>
      <c r="J45" s="233"/>
      <c r="N45" s="27"/>
      <c r="O45" s="27"/>
      <c r="P45" s="27"/>
      <c r="Q45" s="27"/>
      <c r="R45" s="27"/>
      <c r="S45" s="41"/>
    </row>
    <row r="46" spans="1:19" ht="18.75">
      <c r="A46" s="27"/>
      <c r="B46" s="39"/>
      <c r="C46" s="39"/>
      <c r="D46" s="39"/>
      <c r="E46" s="39"/>
      <c r="F46" s="39"/>
      <c r="G46" s="39"/>
      <c r="H46" s="233"/>
      <c r="I46" s="233"/>
      <c r="J46" s="233"/>
      <c r="N46" s="27"/>
      <c r="O46" s="27"/>
      <c r="P46" s="27"/>
      <c r="Q46" s="27"/>
      <c r="R46" s="27"/>
      <c r="S46" s="41"/>
    </row>
    <row r="47" spans="1:19" ht="18.75">
      <c r="A47" s="27"/>
      <c r="B47" s="39"/>
      <c r="C47" s="39"/>
      <c r="D47" s="39"/>
      <c r="E47" s="39"/>
      <c r="F47" s="39"/>
      <c r="G47" s="39"/>
      <c r="H47" s="233"/>
      <c r="I47" s="233"/>
      <c r="J47" s="233"/>
      <c r="N47" s="27"/>
      <c r="O47" s="27"/>
      <c r="P47" s="27"/>
      <c r="Q47" s="27"/>
      <c r="R47" s="27"/>
      <c r="S47" s="41"/>
    </row>
    <row r="48" spans="1:19" ht="18.75">
      <c r="A48" s="27"/>
      <c r="B48" s="39"/>
      <c r="C48" s="39"/>
      <c r="D48" s="39"/>
      <c r="E48" s="39"/>
      <c r="F48" s="39"/>
      <c r="G48" s="39"/>
      <c r="H48" s="233"/>
      <c r="I48" s="233"/>
      <c r="J48" s="233"/>
      <c r="N48" s="27"/>
      <c r="O48" s="27"/>
      <c r="P48" s="27"/>
      <c r="Q48" s="27"/>
      <c r="R48" s="27"/>
      <c r="S48" s="41"/>
    </row>
    <row r="49" spans="1:19" ht="18.75">
      <c r="A49" s="27"/>
      <c r="B49" s="39"/>
      <c r="C49" s="39"/>
      <c r="D49" s="39"/>
      <c r="E49" s="39"/>
      <c r="F49" s="39"/>
      <c r="G49" s="39"/>
      <c r="H49" s="233"/>
      <c r="I49" s="233"/>
      <c r="J49" s="233"/>
      <c r="N49" s="27"/>
      <c r="O49" s="27"/>
      <c r="P49" s="27"/>
      <c r="Q49" s="27"/>
      <c r="R49" s="27"/>
      <c r="S49" s="41"/>
    </row>
    <row r="50" spans="1:19" ht="18.75">
      <c r="B50" s="42"/>
      <c r="C50" s="42"/>
      <c r="D50" s="42"/>
      <c r="E50" s="42"/>
      <c r="F50" s="42"/>
      <c r="G50" s="42"/>
      <c r="H50" s="233"/>
      <c r="I50" s="233"/>
      <c r="J50" s="233"/>
    </row>
    <row r="51" spans="1:19" ht="18.75">
      <c r="B51" s="42"/>
      <c r="C51" s="42"/>
      <c r="D51" s="42"/>
      <c r="E51" s="42"/>
      <c r="F51" s="42"/>
      <c r="G51" s="42"/>
      <c r="H51" s="233"/>
      <c r="I51" s="233"/>
      <c r="J51" s="233"/>
      <c r="S51" s="43" t="s">
        <v>57</v>
      </c>
    </row>
    <row r="52" spans="1:19" ht="18.75">
      <c r="B52" s="42"/>
      <c r="C52" s="42"/>
      <c r="D52" s="42"/>
      <c r="E52" s="42"/>
      <c r="F52" s="42"/>
      <c r="G52" s="42"/>
      <c r="H52" s="233"/>
      <c r="I52" s="233"/>
      <c r="J52" s="233"/>
    </row>
    <row r="53" spans="1:19" ht="18.75">
      <c r="B53" s="42"/>
      <c r="C53" s="42"/>
      <c r="D53" s="42"/>
      <c r="E53" s="42"/>
      <c r="F53" s="42"/>
      <c r="G53" s="42"/>
      <c r="H53" s="233"/>
      <c r="I53" s="233"/>
      <c r="J53" s="233"/>
    </row>
    <row r="54" spans="1:19" ht="18.75">
      <c r="B54" s="42"/>
      <c r="C54" s="42"/>
      <c r="D54" s="42"/>
      <c r="E54" s="42"/>
      <c r="F54" s="42"/>
      <c r="G54" s="42"/>
      <c r="H54" s="233"/>
      <c r="I54" s="233"/>
      <c r="J54" s="233"/>
    </row>
    <row r="55" spans="1:19" ht="18.75">
      <c r="B55" s="42"/>
      <c r="C55" s="42"/>
      <c r="D55" s="42"/>
      <c r="E55" s="42"/>
      <c r="F55" s="42"/>
      <c r="G55" s="42"/>
      <c r="H55" s="233"/>
      <c r="I55" s="233"/>
      <c r="J55" s="233"/>
    </row>
    <row r="56" spans="1:19" ht="18.75">
      <c r="B56" s="42"/>
      <c r="C56" s="42"/>
      <c r="D56" s="42"/>
      <c r="E56" s="42"/>
      <c r="F56" s="42"/>
      <c r="G56" s="42"/>
      <c r="H56" s="233"/>
      <c r="I56" s="233"/>
      <c r="J56" s="233"/>
    </row>
    <row r="57" spans="1:19" ht="18.75">
      <c r="B57" s="42"/>
      <c r="C57" s="42"/>
      <c r="D57" s="42"/>
      <c r="E57" s="42"/>
      <c r="F57" s="42"/>
      <c r="G57" s="42"/>
      <c r="H57" s="233"/>
      <c r="I57" s="233"/>
      <c r="J57" s="233"/>
    </row>
    <row r="58" spans="1:19" ht="18.75">
      <c r="B58" s="42"/>
      <c r="C58" s="42"/>
      <c r="D58" s="42"/>
      <c r="E58" s="42"/>
      <c r="F58" s="42"/>
      <c r="G58" s="42"/>
      <c r="H58" s="233"/>
      <c r="I58" s="233"/>
      <c r="J58" s="233"/>
    </row>
    <row r="59" spans="1:19">
      <c r="S59" s="44">
        <f>R39-R10</f>
        <v>-160000</v>
      </c>
    </row>
  </sheetData>
  <mergeCells count="40">
    <mergeCell ref="R1:S1"/>
    <mergeCell ref="R2:S2"/>
    <mergeCell ref="A3:S3"/>
    <mergeCell ref="A5:A6"/>
    <mergeCell ref="B5:B6"/>
    <mergeCell ref="C5:F5"/>
    <mergeCell ref="G5:G6"/>
    <mergeCell ref="I5:R5"/>
    <mergeCell ref="S5:S6"/>
    <mergeCell ref="A8:S8"/>
    <mergeCell ref="A9:S9"/>
    <mergeCell ref="A13:A23"/>
    <mergeCell ref="C13:C17"/>
    <mergeCell ref="D13:D15"/>
    <mergeCell ref="G13:G17"/>
    <mergeCell ref="S13:S17"/>
    <mergeCell ref="E14:E15"/>
    <mergeCell ref="D16:D17"/>
    <mergeCell ref="B13:B29"/>
    <mergeCell ref="C19:C22"/>
    <mergeCell ref="G19:G22"/>
    <mergeCell ref="S31:S32"/>
    <mergeCell ref="D19:D20"/>
    <mergeCell ref="S19:S21"/>
    <mergeCell ref="A34:A35"/>
    <mergeCell ref="B34:B35"/>
    <mergeCell ref="C34:C35"/>
    <mergeCell ref="D34:D35"/>
    <mergeCell ref="A31:A32"/>
    <mergeCell ref="A24:A28"/>
    <mergeCell ref="D24:D28"/>
    <mergeCell ref="S24:S28"/>
    <mergeCell ref="G27:G28"/>
    <mergeCell ref="F36:F37"/>
    <mergeCell ref="S36:S37"/>
    <mergeCell ref="A36:A37"/>
    <mergeCell ref="B36:B37"/>
    <mergeCell ref="C36:C37"/>
    <mergeCell ref="D36:D37"/>
    <mergeCell ref="E36:E37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0"/>
  <sheetViews>
    <sheetView topLeftCell="A4" zoomScale="60" zoomScaleNormal="60" workbookViewId="0">
      <pane xSplit="7" ySplit="5" topLeftCell="O9" activePane="bottomRight" state="frozen"/>
      <selection activeCell="A4" sqref="A4"/>
      <selection pane="topRight" activeCell="H4" sqref="H4"/>
      <selection pane="bottomLeft" activeCell="A9" sqref="A9"/>
      <selection pane="bottomRight" activeCell="O15" sqref="O15"/>
    </sheetView>
  </sheetViews>
  <sheetFormatPr defaultRowHeight="15"/>
  <cols>
    <col min="1" max="1" width="22.28515625" style="105" customWidth="1"/>
    <col min="2" max="2" width="34.5703125" style="105" customWidth="1"/>
    <col min="3" max="3" width="51.140625" style="105" customWidth="1"/>
    <col min="4" max="4" width="8.42578125" style="105" customWidth="1"/>
    <col min="5" max="5" width="8.7109375" style="105" customWidth="1"/>
    <col min="6" max="6" width="12.85546875" style="105" customWidth="1"/>
    <col min="7" max="7" width="7.140625" style="105" customWidth="1"/>
    <col min="8" max="9" width="18.42578125" style="167" customWidth="1"/>
    <col min="10" max="11" width="18.7109375" style="167" customWidth="1"/>
    <col min="12" max="12" width="18.7109375" style="184" customWidth="1"/>
    <col min="13" max="13" width="18.7109375" style="167" customWidth="1"/>
    <col min="14" max="14" width="18.7109375" style="105" customWidth="1"/>
    <col min="15" max="15" width="21.140625" style="105" customWidth="1"/>
    <col min="16" max="17" width="18.7109375" style="105" customWidth="1"/>
    <col min="18" max="18" width="21.7109375" style="128" customWidth="1"/>
    <col min="19" max="16384" width="9.140625" style="105"/>
  </cols>
  <sheetData>
    <row r="1" spans="1:19" ht="20.25" customHeight="1">
      <c r="H1" s="166"/>
      <c r="I1" s="166"/>
      <c r="J1" s="166"/>
      <c r="K1" s="166"/>
      <c r="L1" s="371"/>
      <c r="M1" s="371"/>
      <c r="N1" s="371"/>
      <c r="O1" s="371"/>
      <c r="P1" s="371"/>
      <c r="Q1" s="371"/>
      <c r="R1" s="371"/>
    </row>
    <row r="2" spans="1:19" ht="61.5" customHeight="1">
      <c r="I2" s="168"/>
      <c r="K2" s="168"/>
      <c r="L2" s="371" t="s">
        <v>117</v>
      </c>
      <c r="M2" s="371"/>
      <c r="N2" s="371"/>
      <c r="O2" s="371"/>
      <c r="P2" s="371"/>
      <c r="Q2" s="371"/>
      <c r="R2" s="371"/>
      <c r="S2" s="106"/>
    </row>
    <row r="3" spans="1:19" ht="18.75">
      <c r="H3" s="169"/>
      <c r="I3" s="169"/>
      <c r="J3" s="169"/>
      <c r="K3" s="169"/>
      <c r="L3" s="170"/>
      <c r="M3" s="169"/>
      <c r="N3" s="106"/>
      <c r="O3" s="106"/>
      <c r="P3" s="106"/>
      <c r="Q3" s="259"/>
      <c r="R3" s="45"/>
      <c r="S3" s="106"/>
    </row>
    <row r="4" spans="1:19" ht="55.5" customHeight="1">
      <c r="A4" s="372" t="s">
        <v>118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</row>
    <row r="5" spans="1:19" ht="9" customHeight="1">
      <c r="A5" s="107"/>
      <c r="B5" s="107"/>
      <c r="C5" s="107"/>
      <c r="D5" s="107"/>
      <c r="E5" s="107"/>
      <c r="F5" s="107"/>
      <c r="G5" s="107"/>
      <c r="H5" s="171"/>
      <c r="I5" s="171"/>
      <c r="J5" s="171"/>
      <c r="K5" s="171"/>
      <c r="L5" s="172"/>
      <c r="M5" s="171"/>
      <c r="N5" s="107"/>
      <c r="O5" s="107"/>
      <c r="P5" s="107"/>
      <c r="Q5" s="260"/>
      <c r="R5" s="108"/>
    </row>
    <row r="6" spans="1:19" s="109" customFormat="1" ht="34.5" customHeight="1">
      <c r="A6" s="373" t="s">
        <v>119</v>
      </c>
      <c r="B6" s="373" t="s">
        <v>2</v>
      </c>
      <c r="C6" s="373" t="s">
        <v>120</v>
      </c>
      <c r="D6" s="373" t="s">
        <v>121</v>
      </c>
      <c r="E6" s="373"/>
      <c r="F6" s="373"/>
      <c r="G6" s="373"/>
      <c r="H6" s="374" t="s">
        <v>6</v>
      </c>
      <c r="I6" s="374"/>
      <c r="J6" s="374"/>
      <c r="K6" s="375"/>
      <c r="L6" s="375"/>
      <c r="M6" s="375"/>
      <c r="N6" s="375"/>
      <c r="O6" s="375"/>
      <c r="P6" s="375"/>
      <c r="Q6" s="375"/>
      <c r="R6" s="375"/>
    </row>
    <row r="7" spans="1:19" s="109" customFormat="1" ht="42" customHeight="1">
      <c r="A7" s="373"/>
      <c r="B7" s="373"/>
      <c r="C7" s="373"/>
      <c r="D7" s="110" t="s">
        <v>8</v>
      </c>
      <c r="E7" s="110" t="s">
        <v>122</v>
      </c>
      <c r="F7" s="110" t="s">
        <v>10</v>
      </c>
      <c r="G7" s="110" t="s">
        <v>11</v>
      </c>
      <c r="H7" s="173">
        <v>2014</v>
      </c>
      <c r="I7" s="173">
        <v>2015</v>
      </c>
      <c r="J7" s="173">
        <v>2016</v>
      </c>
      <c r="K7" s="173">
        <v>2017</v>
      </c>
      <c r="L7" s="174">
        <v>2018</v>
      </c>
      <c r="M7" s="173">
        <v>2019</v>
      </c>
      <c r="N7" s="111">
        <v>2020</v>
      </c>
      <c r="O7" s="111">
        <v>2021</v>
      </c>
      <c r="P7" s="111">
        <v>2022</v>
      </c>
      <c r="Q7" s="111">
        <v>2023</v>
      </c>
      <c r="R7" s="52" t="s">
        <v>12</v>
      </c>
    </row>
    <row r="8" spans="1:19" s="109" customFormat="1" ht="18" customHeight="1">
      <c r="A8" s="110">
        <v>1</v>
      </c>
      <c r="B8" s="110">
        <v>2</v>
      </c>
      <c r="C8" s="110">
        <v>3</v>
      </c>
      <c r="D8" s="110">
        <v>4</v>
      </c>
      <c r="E8" s="110">
        <v>5</v>
      </c>
      <c r="F8" s="110">
        <v>6</v>
      </c>
      <c r="G8" s="110">
        <v>7</v>
      </c>
      <c r="H8" s="173">
        <v>8</v>
      </c>
      <c r="I8" s="173">
        <v>9</v>
      </c>
      <c r="J8" s="173">
        <v>10</v>
      </c>
      <c r="K8" s="173">
        <v>11</v>
      </c>
      <c r="L8" s="174">
        <v>12</v>
      </c>
      <c r="M8" s="173">
        <v>13</v>
      </c>
      <c r="N8" s="110">
        <v>14</v>
      </c>
      <c r="O8" s="110">
        <v>15</v>
      </c>
      <c r="P8" s="110">
        <v>16</v>
      </c>
      <c r="Q8" s="261">
        <v>17</v>
      </c>
      <c r="R8" s="50">
        <v>18</v>
      </c>
    </row>
    <row r="9" spans="1:19" s="109" customFormat="1" ht="36.75" customHeight="1">
      <c r="A9" s="380" t="s">
        <v>123</v>
      </c>
      <c r="B9" s="380" t="s">
        <v>124</v>
      </c>
      <c r="C9" s="112" t="s">
        <v>125</v>
      </c>
      <c r="D9" s="113" t="s">
        <v>126</v>
      </c>
      <c r="E9" s="113" t="s">
        <v>126</v>
      </c>
      <c r="F9" s="113" t="s">
        <v>126</v>
      </c>
      <c r="G9" s="113" t="s">
        <v>126</v>
      </c>
      <c r="H9" s="175">
        <f>SUM(H11:H16)</f>
        <v>27355404.559999999</v>
      </c>
      <c r="I9" s="175">
        <f t="shared" ref="I9:J9" si="0">SUM(I11:I16)</f>
        <v>49107804</v>
      </c>
      <c r="J9" s="176">
        <f t="shared" si="0"/>
        <v>67248293</v>
      </c>
      <c r="K9" s="176">
        <f>SUM(K11:K16)</f>
        <v>70319280</v>
      </c>
      <c r="L9" s="176">
        <f t="shared" ref="L9" si="1">SUM(L11:L16)</f>
        <v>70522240</v>
      </c>
      <c r="M9" s="176">
        <f>SUM(M11:M16)</f>
        <v>86589624.700000003</v>
      </c>
      <c r="N9" s="114">
        <f>SUM(N11:N16)</f>
        <v>95599714.620000005</v>
      </c>
      <c r="O9" s="114">
        <f>SUM(O11:O16)</f>
        <v>149453600.00000003</v>
      </c>
      <c r="P9" s="114">
        <f>SUM(P11:P16)</f>
        <v>65980800</v>
      </c>
      <c r="Q9" s="114">
        <f>SUM(Q11:Q16)</f>
        <v>66338400</v>
      </c>
      <c r="R9" s="114">
        <f>SUM(H9:Q9)</f>
        <v>748515160.88</v>
      </c>
    </row>
    <row r="10" spans="1:19" s="109" customFormat="1" ht="18.75">
      <c r="A10" s="380"/>
      <c r="B10" s="380"/>
      <c r="C10" s="112" t="s">
        <v>127</v>
      </c>
      <c r="D10" s="115"/>
      <c r="E10" s="115"/>
      <c r="F10" s="115"/>
      <c r="G10" s="115"/>
      <c r="H10" s="175"/>
      <c r="I10" s="175"/>
      <c r="J10" s="176"/>
      <c r="K10" s="176"/>
      <c r="L10" s="176"/>
      <c r="M10" s="176"/>
      <c r="N10" s="114"/>
      <c r="O10" s="114"/>
      <c r="P10" s="114"/>
      <c r="Q10" s="114"/>
      <c r="R10" s="114"/>
    </row>
    <row r="11" spans="1:19" s="109" customFormat="1" ht="34.5" customHeight="1">
      <c r="A11" s="380"/>
      <c r="B11" s="380"/>
      <c r="C11" s="112" t="s">
        <v>38</v>
      </c>
      <c r="D11" s="113" t="s">
        <v>128</v>
      </c>
      <c r="E11" s="113" t="s">
        <v>126</v>
      </c>
      <c r="F11" s="116" t="s">
        <v>126</v>
      </c>
      <c r="G11" s="116" t="s">
        <v>126</v>
      </c>
      <c r="H11" s="177">
        <f>H21+H30</f>
        <v>4112700</v>
      </c>
      <c r="I11" s="177">
        <f>I21+I30</f>
        <v>24220810</v>
      </c>
      <c r="J11" s="178">
        <f>J24+J21+J30</f>
        <v>41328037</v>
      </c>
      <c r="K11" s="178">
        <f>K24+K21+K30</f>
        <v>45659630</v>
      </c>
      <c r="L11" s="178">
        <f>L24+L30+L21</f>
        <v>33676700</v>
      </c>
      <c r="M11" s="178">
        <f>M24+M21+M30</f>
        <v>29393700</v>
      </c>
      <c r="N11" s="118">
        <f>N24+N21+N30</f>
        <v>35697252.5</v>
      </c>
      <c r="O11" s="118">
        <f>O24+O21+O30</f>
        <v>85168980</v>
      </c>
      <c r="P11" s="118">
        <f>P24+P21+P30</f>
        <v>35354600</v>
      </c>
      <c r="Q11" s="118">
        <f>Q24+Q21+Q30</f>
        <v>35712100</v>
      </c>
      <c r="R11" s="146">
        <f>SUM(H11:Q11)</f>
        <v>370324509.5</v>
      </c>
    </row>
    <row r="12" spans="1:19" s="109" customFormat="1" ht="21" customHeight="1">
      <c r="A12" s="381"/>
      <c r="B12" s="381"/>
      <c r="C12" s="112" t="s">
        <v>66</v>
      </c>
      <c r="D12" s="113" t="s">
        <v>129</v>
      </c>
      <c r="E12" s="113" t="s">
        <v>126</v>
      </c>
      <c r="F12" s="116" t="s">
        <v>126</v>
      </c>
      <c r="G12" s="116" t="s">
        <v>126</v>
      </c>
      <c r="H12" s="177">
        <f>H19+H26</f>
        <v>22766838.559999999</v>
      </c>
      <c r="I12" s="177">
        <f>I19+I26</f>
        <v>24655208</v>
      </c>
      <c r="J12" s="178">
        <f t="shared" ref="J12:P12" si="2">J19+J26</f>
        <v>25851630</v>
      </c>
      <c r="K12" s="178">
        <f t="shared" si="2"/>
        <v>24589700</v>
      </c>
      <c r="L12" s="178">
        <f t="shared" si="2"/>
        <v>36779000</v>
      </c>
      <c r="M12" s="178">
        <f t="shared" si="2"/>
        <v>57008883</v>
      </c>
      <c r="N12" s="118">
        <f>N19+N26+N31</f>
        <v>59835474.120000005</v>
      </c>
      <c r="O12" s="118">
        <f>O19+O26</f>
        <v>61575626.420000002</v>
      </c>
      <c r="P12" s="118">
        <f t="shared" si="2"/>
        <v>30546200</v>
      </c>
      <c r="Q12" s="118">
        <f t="shared" ref="Q12" si="3">Q19+Q26</f>
        <v>30546300</v>
      </c>
      <c r="R12" s="146">
        <f>SUM(H12:Q12)</f>
        <v>374154860.10000002</v>
      </c>
    </row>
    <row r="13" spans="1:19" s="109" customFormat="1" ht="21" customHeight="1">
      <c r="A13" s="381"/>
      <c r="B13" s="381"/>
      <c r="C13" s="112" t="s">
        <v>130</v>
      </c>
      <c r="D13" s="119">
        <v>904</v>
      </c>
      <c r="E13" s="113" t="s">
        <v>126</v>
      </c>
      <c r="F13" s="113" t="s">
        <v>126</v>
      </c>
      <c r="G13" s="116" t="s">
        <v>126</v>
      </c>
      <c r="H13" s="177">
        <f>H32</f>
        <v>4680</v>
      </c>
      <c r="I13" s="177">
        <f t="shared" ref="I13:P14" si="4">I32</f>
        <v>0</v>
      </c>
      <c r="J13" s="178">
        <f t="shared" si="4"/>
        <v>0</v>
      </c>
      <c r="K13" s="178">
        <f t="shared" si="4"/>
        <v>0</v>
      </c>
      <c r="L13" s="178">
        <f t="shared" si="4"/>
        <v>0</v>
      </c>
      <c r="M13" s="178">
        <f t="shared" si="4"/>
        <v>0</v>
      </c>
      <c r="N13" s="118">
        <f t="shared" si="4"/>
        <v>0</v>
      </c>
      <c r="O13" s="118">
        <f t="shared" si="4"/>
        <v>0</v>
      </c>
      <c r="P13" s="118">
        <f t="shared" si="4"/>
        <v>0</v>
      </c>
      <c r="Q13" s="118">
        <f t="shared" ref="Q13" si="5">Q32</f>
        <v>0</v>
      </c>
      <c r="R13" s="146">
        <f>SUM(H13:Q13)</f>
        <v>4680</v>
      </c>
    </row>
    <row r="14" spans="1:19" s="109" customFormat="1" ht="19.5" customHeight="1">
      <c r="A14" s="381"/>
      <c r="B14" s="381"/>
      <c r="C14" s="112" t="s">
        <v>46</v>
      </c>
      <c r="D14" s="113" t="s">
        <v>131</v>
      </c>
      <c r="E14" s="113" t="s">
        <v>126</v>
      </c>
      <c r="F14" s="116" t="s">
        <v>126</v>
      </c>
      <c r="G14" s="116" t="s">
        <v>126</v>
      </c>
      <c r="H14" s="177">
        <f>H33</f>
        <v>234400</v>
      </c>
      <c r="I14" s="177">
        <f>I33</f>
        <v>0</v>
      </c>
      <c r="J14" s="178">
        <f>J33</f>
        <v>0</v>
      </c>
      <c r="K14" s="178">
        <f t="shared" si="4"/>
        <v>0</v>
      </c>
      <c r="L14" s="178">
        <f t="shared" si="4"/>
        <v>0</v>
      </c>
      <c r="M14" s="178">
        <f>M33+M25</f>
        <v>0</v>
      </c>
      <c r="N14" s="118">
        <f t="shared" si="4"/>
        <v>0</v>
      </c>
      <c r="O14" s="118">
        <f>O33+O25</f>
        <v>2616993.58</v>
      </c>
      <c r="P14" s="118">
        <f t="shared" si="4"/>
        <v>0</v>
      </c>
      <c r="Q14" s="118">
        <f t="shared" ref="Q14" si="6">Q33</f>
        <v>0</v>
      </c>
      <c r="R14" s="146">
        <f t="shared" ref="R14:R15" si="7">SUM(H14:Q14)</f>
        <v>2851393.58</v>
      </c>
    </row>
    <row r="15" spans="1:19" s="109" customFormat="1" ht="19.5" customHeight="1">
      <c r="A15" s="381"/>
      <c r="B15" s="381"/>
      <c r="C15" s="112" t="s">
        <v>132</v>
      </c>
      <c r="D15" s="113" t="s">
        <v>133</v>
      </c>
      <c r="E15" s="113" t="s">
        <v>126</v>
      </c>
      <c r="F15" s="116" t="s">
        <v>126</v>
      </c>
      <c r="G15" s="116" t="s">
        <v>126</v>
      </c>
      <c r="H15" s="177">
        <v>0</v>
      </c>
      <c r="I15" s="177">
        <v>0</v>
      </c>
      <c r="J15" s="178">
        <v>0</v>
      </c>
      <c r="K15" s="178">
        <v>0</v>
      </c>
      <c r="L15" s="178">
        <v>0</v>
      </c>
      <c r="M15" s="178">
        <f>M20</f>
        <v>120000</v>
      </c>
      <c r="N15" s="118">
        <v>0</v>
      </c>
      <c r="O15" s="118">
        <f>O20</f>
        <v>0</v>
      </c>
      <c r="P15" s="118">
        <v>0</v>
      </c>
      <c r="Q15" s="118">
        <v>0</v>
      </c>
      <c r="R15" s="146">
        <f t="shared" si="7"/>
        <v>120000</v>
      </c>
    </row>
    <row r="16" spans="1:19" s="109" customFormat="1" ht="36" customHeight="1">
      <c r="A16" s="381"/>
      <c r="B16" s="381"/>
      <c r="C16" s="112" t="s">
        <v>19</v>
      </c>
      <c r="D16" s="113" t="s">
        <v>134</v>
      </c>
      <c r="E16" s="113" t="s">
        <v>126</v>
      </c>
      <c r="F16" s="116" t="s">
        <v>126</v>
      </c>
      <c r="G16" s="116" t="s">
        <v>126</v>
      </c>
      <c r="H16" s="177">
        <f>SUM(H29:H29)</f>
        <v>236786</v>
      </c>
      <c r="I16" s="177">
        <f>SUM(I29:I29)</f>
        <v>231786</v>
      </c>
      <c r="J16" s="178">
        <f>SUM(J29:J29)</f>
        <v>68626</v>
      </c>
      <c r="K16" s="178">
        <f t="shared" ref="K16:P16" si="8">K29</f>
        <v>69950</v>
      </c>
      <c r="L16" s="178">
        <f t="shared" si="8"/>
        <v>66540</v>
      </c>
      <c r="M16" s="178">
        <f t="shared" si="8"/>
        <v>67041.7</v>
      </c>
      <c r="N16" s="118">
        <f t="shared" si="8"/>
        <v>66988</v>
      </c>
      <c r="O16" s="118">
        <f t="shared" si="8"/>
        <v>92000</v>
      </c>
      <c r="P16" s="118">
        <f t="shared" si="8"/>
        <v>80000</v>
      </c>
      <c r="Q16" s="118">
        <f t="shared" ref="Q16" si="9">Q29</f>
        <v>80000</v>
      </c>
      <c r="R16" s="146">
        <f>SUM(H16:Q16)</f>
        <v>1059717.7</v>
      </c>
    </row>
    <row r="17" spans="1:18" s="109" customFormat="1" ht="37.5">
      <c r="A17" s="380" t="s">
        <v>135</v>
      </c>
      <c r="B17" s="380" t="s">
        <v>136</v>
      </c>
      <c r="C17" s="112" t="s">
        <v>137</v>
      </c>
      <c r="D17" s="116" t="s">
        <v>126</v>
      </c>
      <c r="E17" s="113" t="s">
        <v>126</v>
      </c>
      <c r="F17" s="116" t="s">
        <v>126</v>
      </c>
      <c r="G17" s="116" t="s">
        <v>126</v>
      </c>
      <c r="H17" s="175">
        <f>SUM(H18:H21)</f>
        <v>4115000</v>
      </c>
      <c r="I17" s="175">
        <f>SUM(I18:I21)</f>
        <v>24266010</v>
      </c>
      <c r="J17" s="176">
        <f>SUM(J18:J21)</f>
        <v>30825800</v>
      </c>
      <c r="K17" s="176">
        <f>SUM(K18:K21)</f>
        <v>35013530</v>
      </c>
      <c r="L17" s="176">
        <f t="shared" ref="L17:Q17" si="10">SUM(L18:L21)</f>
        <v>33823600</v>
      </c>
      <c r="M17" s="176">
        <f t="shared" si="10"/>
        <v>29408780</v>
      </c>
      <c r="N17" s="185">
        <f t="shared" si="10"/>
        <v>33044734</v>
      </c>
      <c r="O17" s="185">
        <f t="shared" si="10"/>
        <v>85195100</v>
      </c>
      <c r="P17" s="185">
        <f t="shared" si="10"/>
        <v>35151900</v>
      </c>
      <c r="Q17" s="185">
        <f t="shared" si="10"/>
        <v>35509500</v>
      </c>
      <c r="R17" s="114">
        <f>SUM(H17:Q17)</f>
        <v>346353954</v>
      </c>
    </row>
    <row r="18" spans="1:18" s="109" customFormat="1" ht="18.75">
      <c r="A18" s="380"/>
      <c r="B18" s="380"/>
      <c r="C18" s="112" t="s">
        <v>127</v>
      </c>
      <c r="D18" s="116"/>
      <c r="E18" s="113"/>
      <c r="F18" s="116"/>
      <c r="G18" s="116"/>
      <c r="H18" s="175"/>
      <c r="I18" s="175"/>
      <c r="J18" s="176"/>
      <c r="K18" s="176"/>
      <c r="L18" s="176"/>
      <c r="M18" s="176"/>
      <c r="N18" s="185"/>
      <c r="O18" s="185"/>
      <c r="P18" s="185"/>
      <c r="Q18" s="185"/>
      <c r="R18" s="114"/>
    </row>
    <row r="19" spans="1:18" s="109" customFormat="1" ht="18.75">
      <c r="A19" s="380"/>
      <c r="B19" s="380"/>
      <c r="C19" s="112" t="s">
        <v>66</v>
      </c>
      <c r="D19" s="116">
        <v>806</v>
      </c>
      <c r="E19" s="113" t="s">
        <v>126</v>
      </c>
      <c r="F19" s="116" t="s">
        <v>126</v>
      </c>
      <c r="G19" s="116" t="s">
        <v>126</v>
      </c>
      <c r="H19" s="177">
        <v>25700</v>
      </c>
      <c r="I19" s="177">
        <v>45200</v>
      </c>
      <c r="J19" s="178">
        <v>84100</v>
      </c>
      <c r="K19" s="178">
        <v>32700</v>
      </c>
      <c r="L19" s="178">
        <f>284300+140000+1400</f>
        <v>425700</v>
      </c>
      <c r="M19" s="178">
        <v>173880</v>
      </c>
      <c r="N19" s="186">
        <f>40454+167980+1680</f>
        <v>210114</v>
      </c>
      <c r="O19" s="186">
        <f>113020+37400+387000</f>
        <v>537420</v>
      </c>
      <c r="P19" s="186">
        <f>38700+117500</f>
        <v>156200</v>
      </c>
      <c r="Q19" s="186">
        <f>40100+116200</f>
        <v>156300</v>
      </c>
      <c r="R19" s="118">
        <f>SUM(H19:Q19)</f>
        <v>1847314</v>
      </c>
    </row>
    <row r="20" spans="1:18" s="109" customFormat="1" ht="18.75">
      <c r="A20" s="380"/>
      <c r="B20" s="380"/>
      <c r="C20" s="112" t="s">
        <v>132</v>
      </c>
      <c r="D20" s="116">
        <v>830</v>
      </c>
      <c r="E20" s="113" t="s">
        <v>126</v>
      </c>
      <c r="F20" s="116" t="s">
        <v>126</v>
      </c>
      <c r="G20" s="116" t="s">
        <v>126</v>
      </c>
      <c r="H20" s="177">
        <v>0</v>
      </c>
      <c r="I20" s="177">
        <v>0</v>
      </c>
      <c r="J20" s="178">
        <v>0</v>
      </c>
      <c r="K20" s="178">
        <v>0</v>
      </c>
      <c r="L20" s="178">
        <v>0</v>
      </c>
      <c r="M20" s="178">
        <v>120000</v>
      </c>
      <c r="N20" s="186">
        <v>0</v>
      </c>
      <c r="O20" s="186">
        <v>0</v>
      </c>
      <c r="P20" s="186">
        <v>0</v>
      </c>
      <c r="Q20" s="186">
        <v>0</v>
      </c>
      <c r="R20" s="118">
        <f t="shared" ref="R20:R21" si="11">SUM(H20:Q20)</f>
        <v>120000</v>
      </c>
    </row>
    <row r="21" spans="1:18" s="109" customFormat="1" ht="37.5">
      <c r="A21" s="380"/>
      <c r="B21" s="380"/>
      <c r="C21" s="112" t="s">
        <v>38</v>
      </c>
      <c r="D21" s="113" t="s">
        <v>128</v>
      </c>
      <c r="E21" s="113" t="s">
        <v>126</v>
      </c>
      <c r="F21" s="116" t="s">
        <v>126</v>
      </c>
      <c r="G21" s="116" t="s">
        <v>126</v>
      </c>
      <c r="H21" s="177">
        <v>4089300</v>
      </c>
      <c r="I21" s="177">
        <v>24220810</v>
      </c>
      <c r="J21" s="178">
        <v>30741700</v>
      </c>
      <c r="K21" s="178">
        <v>34980830</v>
      </c>
      <c r="L21" s="178">
        <f>7008400+26389500</f>
        <v>33397900</v>
      </c>
      <c r="M21" s="178">
        <f>7783900+21331000</f>
        <v>29114900</v>
      </c>
      <c r="N21" s="186">
        <f>8064920+24769700</f>
        <v>32834620</v>
      </c>
      <c r="O21" s="186">
        <f>26207500+8450180+50000000</f>
        <v>84657680</v>
      </c>
      <c r="P21" s="186">
        <f>26207500+8788200</f>
        <v>34995700</v>
      </c>
      <c r="Q21" s="186">
        <f>9145700+26207500</f>
        <v>35353200</v>
      </c>
      <c r="R21" s="118">
        <f t="shared" si="11"/>
        <v>344386640</v>
      </c>
    </row>
    <row r="22" spans="1:18" s="109" customFormat="1" ht="37.5">
      <c r="A22" s="380" t="s">
        <v>138</v>
      </c>
      <c r="B22" s="380" t="s">
        <v>139</v>
      </c>
      <c r="C22" s="112" t="s">
        <v>125</v>
      </c>
      <c r="D22" s="116" t="s">
        <v>126</v>
      </c>
      <c r="E22" s="113" t="s">
        <v>126</v>
      </c>
      <c r="F22" s="116" t="s">
        <v>126</v>
      </c>
      <c r="G22" s="116" t="s">
        <v>126</v>
      </c>
      <c r="H22" s="175">
        <f>H26</f>
        <v>22741138.559999999</v>
      </c>
      <c r="I22" s="175">
        <f>I26</f>
        <v>24610008</v>
      </c>
      <c r="J22" s="176">
        <f>SUM(J24:J26)</f>
        <v>36121067</v>
      </c>
      <c r="K22" s="176">
        <f t="shared" ref="K22:Q22" si="12">SUM(K24:K26)</f>
        <v>34957000</v>
      </c>
      <c r="L22" s="176">
        <f t="shared" si="12"/>
        <v>36353300</v>
      </c>
      <c r="M22" s="176">
        <f t="shared" si="12"/>
        <v>56835003</v>
      </c>
      <c r="N22" s="201">
        <f t="shared" si="12"/>
        <v>59457110.120000005</v>
      </c>
      <c r="O22" s="201">
        <f t="shared" si="12"/>
        <v>63655200</v>
      </c>
      <c r="P22" s="201">
        <f t="shared" si="12"/>
        <v>30390000</v>
      </c>
      <c r="Q22" s="201">
        <f t="shared" si="12"/>
        <v>30390000</v>
      </c>
      <c r="R22" s="114">
        <f>SUM(H22:Q22)</f>
        <v>395509826.68000001</v>
      </c>
    </row>
    <row r="23" spans="1:18" s="109" customFormat="1" ht="18.75">
      <c r="A23" s="380"/>
      <c r="B23" s="380"/>
      <c r="C23" s="112" t="s">
        <v>127</v>
      </c>
      <c r="D23" s="116"/>
      <c r="E23" s="113"/>
      <c r="F23" s="116"/>
      <c r="G23" s="116"/>
      <c r="H23" s="175"/>
      <c r="I23" s="175"/>
      <c r="J23" s="176"/>
      <c r="K23" s="176"/>
      <c r="L23" s="176"/>
      <c r="M23" s="176"/>
      <c r="N23" s="201"/>
      <c r="O23" s="201"/>
      <c r="P23" s="201"/>
      <c r="Q23" s="201"/>
      <c r="R23" s="114"/>
    </row>
    <row r="24" spans="1:18" s="109" customFormat="1" ht="37.5">
      <c r="A24" s="380"/>
      <c r="B24" s="380"/>
      <c r="C24" s="112" t="s">
        <v>38</v>
      </c>
      <c r="D24" s="113" t="s">
        <v>128</v>
      </c>
      <c r="E24" s="113" t="s">
        <v>126</v>
      </c>
      <c r="F24" s="116" t="s">
        <v>126</v>
      </c>
      <c r="G24" s="116" t="s">
        <v>126</v>
      </c>
      <c r="H24" s="177">
        <v>0</v>
      </c>
      <c r="I24" s="177">
        <v>0</v>
      </c>
      <c r="J24" s="178">
        <v>10353537</v>
      </c>
      <c r="K24" s="178">
        <v>10400000</v>
      </c>
      <c r="L24" s="178">
        <v>0</v>
      </c>
      <c r="M24" s="178">
        <v>0</v>
      </c>
      <c r="N24" s="202">
        <v>0</v>
      </c>
      <c r="O24" s="202">
        <v>0</v>
      </c>
      <c r="P24" s="202">
        <v>0</v>
      </c>
      <c r="Q24" s="202">
        <v>0</v>
      </c>
      <c r="R24" s="118">
        <f>SUM(H24:Q24)</f>
        <v>20753537</v>
      </c>
    </row>
    <row r="25" spans="1:18" s="109" customFormat="1" ht="18.75">
      <c r="A25" s="380"/>
      <c r="B25" s="380"/>
      <c r="C25" s="120" t="s">
        <v>46</v>
      </c>
      <c r="D25" s="119">
        <v>863</v>
      </c>
      <c r="E25" s="113" t="s">
        <v>126</v>
      </c>
      <c r="F25" s="116" t="s">
        <v>126</v>
      </c>
      <c r="G25" s="116" t="s">
        <v>126</v>
      </c>
      <c r="H25" s="179">
        <v>0</v>
      </c>
      <c r="I25" s="179">
        <v>0</v>
      </c>
      <c r="J25" s="180">
        <v>0</v>
      </c>
      <c r="K25" s="180">
        <v>0</v>
      </c>
      <c r="L25" s="180">
        <v>0</v>
      </c>
      <c r="M25" s="212">
        <v>0</v>
      </c>
      <c r="N25" s="203">
        <v>0</v>
      </c>
      <c r="O25" s="203">
        <v>2616993.58</v>
      </c>
      <c r="P25" s="203">
        <v>0</v>
      </c>
      <c r="Q25" s="203">
        <v>0</v>
      </c>
      <c r="R25" s="118">
        <f t="shared" ref="R25:R26" si="13">SUM(H25:Q25)</f>
        <v>2616993.58</v>
      </c>
    </row>
    <row r="26" spans="1:18" s="109" customFormat="1" ht="18.75">
      <c r="A26" s="380"/>
      <c r="B26" s="380"/>
      <c r="C26" s="122" t="s">
        <v>66</v>
      </c>
      <c r="D26" s="266">
        <v>806</v>
      </c>
      <c r="E26" s="124" t="s">
        <v>126</v>
      </c>
      <c r="F26" s="123" t="s">
        <v>126</v>
      </c>
      <c r="G26" s="123" t="s">
        <v>126</v>
      </c>
      <c r="H26" s="181">
        <v>22741138.559999999</v>
      </c>
      <c r="I26" s="179">
        <v>24610008</v>
      </c>
      <c r="J26" s="180">
        <v>25767530</v>
      </c>
      <c r="K26" s="180">
        <v>24557000</v>
      </c>
      <c r="L26" s="180">
        <v>36353300</v>
      </c>
      <c r="M26" s="212">
        <v>56835003</v>
      </c>
      <c r="N26" s="203">
        <f>57662253.99+1794856.13</f>
        <v>59457110.120000005</v>
      </c>
      <c r="O26" s="203">
        <f>63655200-O25</f>
        <v>61038206.420000002</v>
      </c>
      <c r="P26" s="203">
        <v>30390000</v>
      </c>
      <c r="Q26" s="203">
        <v>30390000</v>
      </c>
      <c r="R26" s="118">
        <f t="shared" si="13"/>
        <v>372139296.10000002</v>
      </c>
    </row>
    <row r="27" spans="1:18" s="109" customFormat="1" ht="37.5">
      <c r="A27" s="376" t="s">
        <v>140</v>
      </c>
      <c r="B27" s="376" t="s">
        <v>141</v>
      </c>
      <c r="C27" s="112" t="s">
        <v>125</v>
      </c>
      <c r="D27" s="116" t="s">
        <v>126</v>
      </c>
      <c r="E27" s="113" t="s">
        <v>126</v>
      </c>
      <c r="F27" s="116" t="s">
        <v>126</v>
      </c>
      <c r="G27" s="116" t="s">
        <v>126</v>
      </c>
      <c r="H27" s="175">
        <f>SUM(H29:H33)</f>
        <v>499266</v>
      </c>
      <c r="I27" s="175">
        <f>SUM(I29:I33)</f>
        <v>231786</v>
      </c>
      <c r="J27" s="178">
        <f>SUM(J29:J33)</f>
        <v>301426</v>
      </c>
      <c r="K27" s="176">
        <f>SUM(K29:K30)</f>
        <v>348750</v>
      </c>
      <c r="L27" s="176">
        <f>SUM(L29:L30)</f>
        <v>345340</v>
      </c>
      <c r="M27" s="176">
        <f>SUM(M29:M30)</f>
        <v>345841.7</v>
      </c>
      <c r="N27" s="114">
        <f>SUM(N29:N33)</f>
        <v>3097870.5</v>
      </c>
      <c r="O27" s="114">
        <f>SUM(O29:O30)</f>
        <v>603300</v>
      </c>
      <c r="P27" s="114">
        <f>SUM(P29:P30)</f>
        <v>438900</v>
      </c>
      <c r="Q27" s="114">
        <f>SUM(Q29:Q30)</f>
        <v>438900</v>
      </c>
      <c r="R27" s="118">
        <f>SUM(R29:R33)</f>
        <v>6651380.2000000002</v>
      </c>
    </row>
    <row r="28" spans="1:18" s="109" customFormat="1" ht="18.75">
      <c r="A28" s="377"/>
      <c r="B28" s="377"/>
      <c r="C28" s="112" t="s">
        <v>127</v>
      </c>
      <c r="D28" s="116"/>
      <c r="E28" s="113"/>
      <c r="F28" s="116"/>
      <c r="G28" s="116"/>
      <c r="H28" s="175"/>
      <c r="I28" s="175"/>
      <c r="J28" s="176"/>
      <c r="K28" s="176"/>
      <c r="L28" s="176"/>
      <c r="M28" s="176"/>
      <c r="N28" s="114"/>
      <c r="O28" s="114"/>
      <c r="P28" s="114"/>
      <c r="Q28" s="114"/>
      <c r="R28" s="114"/>
    </row>
    <row r="29" spans="1:18" s="109" customFormat="1" ht="18.75" customHeight="1">
      <c r="A29" s="377"/>
      <c r="B29" s="377"/>
      <c r="C29" s="262" t="s">
        <v>19</v>
      </c>
      <c r="D29" s="263" t="s">
        <v>134</v>
      </c>
      <c r="E29" s="263" t="s">
        <v>126</v>
      </c>
      <c r="F29" s="266" t="s">
        <v>126</v>
      </c>
      <c r="G29" s="266" t="s">
        <v>126</v>
      </c>
      <c r="H29" s="267">
        <v>236786</v>
      </c>
      <c r="I29" s="267">
        <v>231786</v>
      </c>
      <c r="J29" s="264">
        <v>68626</v>
      </c>
      <c r="K29" s="264">
        <v>69950</v>
      </c>
      <c r="L29" s="264">
        <v>66540</v>
      </c>
      <c r="M29" s="264">
        <v>67041.7</v>
      </c>
      <c r="N29" s="121">
        <f>53010+12580+1258+140</f>
        <v>66988</v>
      </c>
      <c r="O29" s="121">
        <f>12000+1334+78666</f>
        <v>92000</v>
      </c>
      <c r="P29" s="121">
        <v>80000</v>
      </c>
      <c r="Q29" s="265">
        <v>80000</v>
      </c>
      <c r="R29" s="265">
        <f>SUM(H29:Q29)</f>
        <v>1059717.7</v>
      </c>
    </row>
    <row r="30" spans="1:18" s="109" customFormat="1" ht="37.5">
      <c r="A30" s="377"/>
      <c r="B30" s="377"/>
      <c r="C30" s="112" t="s">
        <v>38</v>
      </c>
      <c r="D30" s="113" t="s">
        <v>128</v>
      </c>
      <c r="E30" s="113" t="s">
        <v>126</v>
      </c>
      <c r="F30" s="116" t="s">
        <v>126</v>
      </c>
      <c r="G30" s="116" t="s">
        <v>126</v>
      </c>
      <c r="H30" s="177">
        <v>23400</v>
      </c>
      <c r="I30" s="177">
        <v>0</v>
      </c>
      <c r="J30" s="178">
        <v>232800</v>
      </c>
      <c r="K30" s="178">
        <v>278800</v>
      </c>
      <c r="L30" s="178">
        <v>278800</v>
      </c>
      <c r="M30" s="178">
        <v>278800</v>
      </c>
      <c r="N30" s="118">
        <f>2247232.5+615400</f>
        <v>2862632.5</v>
      </c>
      <c r="O30" s="118">
        <f>358900+152400</f>
        <v>511300</v>
      </c>
      <c r="P30" s="118">
        <v>358900</v>
      </c>
      <c r="Q30" s="118">
        <v>358900</v>
      </c>
      <c r="R30" s="118">
        <f>SUM(H30:Q30)</f>
        <v>5184332.5</v>
      </c>
    </row>
    <row r="31" spans="1:18" s="109" customFormat="1" ht="18.75">
      <c r="A31" s="377"/>
      <c r="B31" s="377"/>
      <c r="C31" s="216" t="s">
        <v>66</v>
      </c>
      <c r="D31" s="116">
        <v>806</v>
      </c>
      <c r="E31" s="113" t="s">
        <v>126</v>
      </c>
      <c r="F31" s="116" t="s">
        <v>126</v>
      </c>
      <c r="G31" s="116" t="s">
        <v>126</v>
      </c>
      <c r="H31" s="177">
        <v>0</v>
      </c>
      <c r="I31" s="177">
        <v>0</v>
      </c>
      <c r="J31" s="178">
        <v>0</v>
      </c>
      <c r="K31" s="178">
        <v>0</v>
      </c>
      <c r="L31" s="178">
        <v>0</v>
      </c>
      <c r="M31" s="178">
        <v>0</v>
      </c>
      <c r="N31" s="118">
        <f>166567.5+1682.5</f>
        <v>168250</v>
      </c>
      <c r="O31" s="118">
        <v>0</v>
      </c>
      <c r="P31" s="118">
        <v>0</v>
      </c>
      <c r="Q31" s="118">
        <v>0</v>
      </c>
      <c r="R31" s="118">
        <f t="shared" ref="R31:R33" si="14">SUM(H31:Q31)</f>
        <v>168250</v>
      </c>
    </row>
    <row r="32" spans="1:18" ht="18.75">
      <c r="A32" s="378"/>
      <c r="B32" s="378"/>
      <c r="C32" s="125" t="s">
        <v>42</v>
      </c>
      <c r="D32" s="119">
        <v>904</v>
      </c>
      <c r="E32" s="113" t="s">
        <v>126</v>
      </c>
      <c r="F32" s="116" t="s">
        <v>126</v>
      </c>
      <c r="G32" s="116" t="s">
        <v>126</v>
      </c>
      <c r="H32" s="177">
        <v>4680</v>
      </c>
      <c r="I32" s="177">
        <v>0</v>
      </c>
      <c r="J32" s="177">
        <v>0</v>
      </c>
      <c r="K32" s="177">
        <v>0</v>
      </c>
      <c r="L32" s="178">
        <v>0</v>
      </c>
      <c r="M32" s="177">
        <v>0</v>
      </c>
      <c r="N32" s="117">
        <v>0</v>
      </c>
      <c r="O32" s="117">
        <v>0</v>
      </c>
      <c r="P32" s="117">
        <v>0</v>
      </c>
      <c r="Q32" s="117">
        <v>0</v>
      </c>
      <c r="R32" s="118">
        <f t="shared" si="14"/>
        <v>4680</v>
      </c>
    </row>
    <row r="33" spans="1:18" ht="18.75">
      <c r="A33" s="379"/>
      <c r="B33" s="379"/>
      <c r="C33" s="120" t="s">
        <v>46</v>
      </c>
      <c r="D33" s="119">
        <v>863</v>
      </c>
      <c r="E33" s="113" t="s">
        <v>126</v>
      </c>
      <c r="F33" s="116" t="s">
        <v>126</v>
      </c>
      <c r="G33" s="116" t="s">
        <v>126</v>
      </c>
      <c r="H33" s="177">
        <v>234400</v>
      </c>
      <c r="I33" s="177">
        <v>0</v>
      </c>
      <c r="J33" s="177">
        <v>0</v>
      </c>
      <c r="K33" s="177">
        <v>0</v>
      </c>
      <c r="L33" s="178">
        <v>0</v>
      </c>
      <c r="M33" s="177">
        <v>0</v>
      </c>
      <c r="N33" s="117">
        <v>0</v>
      </c>
      <c r="O33" s="117">
        <v>0</v>
      </c>
      <c r="P33" s="117">
        <v>0</v>
      </c>
      <c r="Q33" s="117">
        <v>0</v>
      </c>
      <c r="R33" s="118">
        <f t="shared" si="14"/>
        <v>234400</v>
      </c>
    </row>
    <row r="39" spans="1:18">
      <c r="H39" s="182">
        <f t="shared" ref="H39:R39" si="15">H17+H22+H27</f>
        <v>27355404.559999999</v>
      </c>
      <c r="I39" s="182">
        <f t="shared" si="15"/>
        <v>49107804</v>
      </c>
      <c r="J39" s="182">
        <f t="shared" si="15"/>
        <v>67248293</v>
      </c>
      <c r="K39" s="182">
        <f t="shared" si="15"/>
        <v>70319280</v>
      </c>
      <c r="L39" s="183">
        <f t="shared" si="15"/>
        <v>70522240</v>
      </c>
      <c r="M39" s="182">
        <f t="shared" si="15"/>
        <v>86589624.700000003</v>
      </c>
      <c r="N39" s="126">
        <f>N17+N22+N27</f>
        <v>95599714.620000005</v>
      </c>
      <c r="O39" s="126">
        <f t="shared" si="15"/>
        <v>149453600</v>
      </c>
      <c r="P39" s="126">
        <f t="shared" si="15"/>
        <v>65980800</v>
      </c>
      <c r="Q39" s="126"/>
      <c r="R39" s="127">
        <f t="shared" si="15"/>
        <v>748515160.88000011</v>
      </c>
    </row>
    <row r="40" spans="1:18">
      <c r="C40" s="105">
        <v>0</v>
      </c>
    </row>
  </sheetData>
  <mergeCells count="16">
    <mergeCell ref="A27:A33"/>
    <mergeCell ref="B27:B33"/>
    <mergeCell ref="A9:A16"/>
    <mergeCell ref="B9:B16"/>
    <mergeCell ref="A17:A21"/>
    <mergeCell ref="B17:B21"/>
    <mergeCell ref="A22:A26"/>
    <mergeCell ref="B22:B26"/>
    <mergeCell ref="L1:R1"/>
    <mergeCell ref="L2:R2"/>
    <mergeCell ref="A4:R4"/>
    <mergeCell ref="A6:A7"/>
    <mergeCell ref="B6:B7"/>
    <mergeCell ref="C6:C7"/>
    <mergeCell ref="D6:G6"/>
    <mergeCell ref="H6:R6"/>
  </mergeCells>
  <pageMargins left="0.17" right="0.17" top="0.74803149606299213" bottom="0.7480314960629921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"/>
  <sheetViews>
    <sheetView tabSelected="1" zoomScale="70" zoomScaleNormal="70" workbookViewId="0">
      <pane xSplit="5" ySplit="8" topLeftCell="M9" activePane="bottomRight" state="frozen"/>
      <selection pane="topRight" activeCell="F1" sqref="F1"/>
      <selection pane="bottomLeft" activeCell="A9" sqref="A9"/>
      <selection pane="bottomRight" activeCell="Q13" sqref="Q13"/>
    </sheetView>
  </sheetViews>
  <sheetFormatPr defaultRowHeight="18"/>
  <cols>
    <col min="1" max="1" width="5.7109375" style="129" customWidth="1"/>
    <col min="2" max="2" width="1" style="129" customWidth="1"/>
    <col min="3" max="3" width="21" style="129" customWidth="1"/>
    <col min="4" max="4" width="19.140625" style="129" customWidth="1"/>
    <col min="5" max="5" width="64.5703125" style="129" customWidth="1"/>
    <col min="6" max="12" width="18.140625" style="189" customWidth="1"/>
    <col min="13" max="16" width="18.140625" style="129" customWidth="1"/>
    <col min="17" max="17" width="21" style="129" customWidth="1"/>
    <col min="18" max="16384" width="9.140625" style="129"/>
  </cols>
  <sheetData>
    <row r="1" spans="1:17" ht="49.5" customHeight="1">
      <c r="J1" s="190"/>
      <c r="K1" s="382" t="s">
        <v>142</v>
      </c>
      <c r="L1" s="382"/>
      <c r="M1" s="382"/>
      <c r="N1" s="382"/>
      <c r="O1" s="382"/>
      <c r="P1" s="382"/>
      <c r="Q1" s="382"/>
    </row>
    <row r="2" spans="1:17" ht="13.5" customHeight="1"/>
    <row r="3" spans="1:17" s="130" customFormat="1" ht="34.5" customHeight="1">
      <c r="A3" s="372" t="s">
        <v>143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</row>
    <row r="4" spans="1:17" ht="11.25" customHeight="1"/>
    <row r="5" spans="1:17" s="131" customFormat="1" ht="24.75" customHeight="1">
      <c r="A5" s="129"/>
      <c r="B5" s="129"/>
      <c r="C5" s="383" t="s">
        <v>144</v>
      </c>
      <c r="D5" s="383" t="s">
        <v>145</v>
      </c>
      <c r="E5" s="383" t="s">
        <v>146</v>
      </c>
      <c r="F5" s="384" t="s">
        <v>147</v>
      </c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6"/>
    </row>
    <row r="6" spans="1:17" s="131" customFormat="1" ht="24.75" customHeight="1">
      <c r="A6" s="129"/>
      <c r="B6" s="129"/>
      <c r="C6" s="383"/>
      <c r="D6" s="383"/>
      <c r="E6" s="383"/>
      <c r="F6" s="191">
        <v>2014</v>
      </c>
      <c r="G6" s="191">
        <v>2015</v>
      </c>
      <c r="H6" s="191">
        <v>2016</v>
      </c>
      <c r="I6" s="191">
        <v>2017</v>
      </c>
      <c r="J6" s="191">
        <v>2018</v>
      </c>
      <c r="K6" s="191">
        <v>2019</v>
      </c>
      <c r="L6" s="293">
        <v>2020</v>
      </c>
      <c r="M6" s="132">
        <v>2021</v>
      </c>
      <c r="N6" s="132">
        <v>2022</v>
      </c>
      <c r="O6" s="268">
        <v>2023</v>
      </c>
      <c r="P6" s="295">
        <v>2024</v>
      </c>
      <c r="Q6" s="387" t="s">
        <v>148</v>
      </c>
    </row>
    <row r="7" spans="1:17" s="131" customFormat="1" ht="63.75" hidden="1" customHeight="1">
      <c r="A7" s="129"/>
      <c r="B7" s="129"/>
      <c r="C7" s="383"/>
      <c r="D7" s="383"/>
      <c r="E7" s="383"/>
      <c r="F7" s="192"/>
      <c r="G7" s="192"/>
      <c r="H7" s="192"/>
      <c r="I7" s="192"/>
      <c r="J7" s="192"/>
      <c r="K7" s="192"/>
      <c r="L7" s="294"/>
      <c r="M7" s="133"/>
      <c r="N7" s="133"/>
      <c r="O7" s="133"/>
      <c r="P7" s="133"/>
      <c r="Q7" s="388"/>
    </row>
    <row r="8" spans="1:17" s="131" customFormat="1" ht="15.75" customHeight="1">
      <c r="A8" s="129"/>
      <c r="B8" s="129"/>
      <c r="C8" s="134">
        <v>1</v>
      </c>
      <c r="D8" s="134">
        <v>2</v>
      </c>
      <c r="E8" s="134">
        <v>3</v>
      </c>
      <c r="F8" s="193">
        <v>4</v>
      </c>
      <c r="G8" s="193">
        <v>5</v>
      </c>
      <c r="H8" s="193">
        <v>6</v>
      </c>
      <c r="I8" s="193">
        <v>7</v>
      </c>
      <c r="J8" s="193">
        <v>8</v>
      </c>
      <c r="K8" s="193">
        <v>9</v>
      </c>
      <c r="L8" s="193">
        <v>10</v>
      </c>
      <c r="M8" s="134">
        <v>11</v>
      </c>
      <c r="N8" s="134">
        <v>12</v>
      </c>
      <c r="O8" s="134">
        <v>13</v>
      </c>
      <c r="P8" s="134"/>
      <c r="Q8" s="134">
        <v>14</v>
      </c>
    </row>
    <row r="9" spans="1:17" s="131" customFormat="1" ht="20.25" customHeight="1">
      <c r="A9" s="129"/>
      <c r="B9" s="129"/>
      <c r="C9" s="391" t="s">
        <v>123</v>
      </c>
      <c r="D9" s="391" t="s">
        <v>149</v>
      </c>
      <c r="E9" s="135" t="s">
        <v>150</v>
      </c>
      <c r="F9" s="194">
        <f>SUM(F11:F16)</f>
        <v>27355404.559999999</v>
      </c>
      <c r="G9" s="194">
        <f t="shared" ref="G9:N9" si="0">SUM(G11:G16)</f>
        <v>49107804</v>
      </c>
      <c r="H9" s="195">
        <f t="shared" si="0"/>
        <v>67248293</v>
      </c>
      <c r="I9" s="195">
        <f>SUM(I11:I16)</f>
        <v>70319280</v>
      </c>
      <c r="J9" s="195">
        <f t="shared" si="0"/>
        <v>70522240</v>
      </c>
      <c r="K9" s="194">
        <f t="shared" si="0"/>
        <v>86589624.700000003</v>
      </c>
      <c r="L9" s="194">
        <f t="shared" si="0"/>
        <v>95599714.620000005</v>
      </c>
      <c r="M9" s="136">
        <f t="shared" si="0"/>
        <v>99453600</v>
      </c>
      <c r="N9" s="136">
        <f t="shared" si="0"/>
        <v>111232250</v>
      </c>
      <c r="O9" s="136">
        <f t="shared" ref="O9:P9" si="1">SUM(O11:O16)</f>
        <v>91129550</v>
      </c>
      <c r="P9" s="136">
        <f t="shared" si="1"/>
        <v>99131650</v>
      </c>
      <c r="Q9" s="137">
        <f>SUM(F9:P9)</f>
        <v>867689410.88</v>
      </c>
    </row>
    <row r="10" spans="1:17" s="131" customFormat="1" ht="20.25" customHeight="1">
      <c r="A10" s="129"/>
      <c r="B10" s="129"/>
      <c r="C10" s="392"/>
      <c r="D10" s="392"/>
      <c r="E10" s="138" t="s">
        <v>151</v>
      </c>
      <c r="F10" s="194"/>
      <c r="G10" s="194"/>
      <c r="H10" s="195"/>
      <c r="I10" s="195"/>
      <c r="J10" s="195"/>
      <c r="K10" s="194"/>
      <c r="L10" s="194"/>
      <c r="M10" s="136"/>
      <c r="N10" s="136"/>
      <c r="O10" s="136"/>
      <c r="P10" s="136"/>
      <c r="Q10" s="137"/>
    </row>
    <row r="11" spans="1:17" s="131" customFormat="1" ht="20.25" customHeight="1">
      <c r="A11" s="129"/>
      <c r="B11" s="129"/>
      <c r="C11" s="392"/>
      <c r="D11" s="392"/>
      <c r="E11" s="138" t="s">
        <v>152</v>
      </c>
      <c r="F11" s="196">
        <f t="shared" ref="F11:N16" si="2">F20+F38+F29+F47</f>
        <v>0</v>
      </c>
      <c r="G11" s="196">
        <f t="shared" si="2"/>
        <v>0</v>
      </c>
      <c r="H11" s="197">
        <f t="shared" si="2"/>
        <v>0</v>
      </c>
      <c r="I11" s="197">
        <f t="shared" si="2"/>
        <v>0</v>
      </c>
      <c r="J11" s="197">
        <f t="shared" si="2"/>
        <v>0</v>
      </c>
      <c r="K11" s="196">
        <f t="shared" si="2"/>
        <v>0</v>
      </c>
      <c r="L11" s="196">
        <f t="shared" si="2"/>
        <v>0</v>
      </c>
      <c r="M11" s="139">
        <f t="shared" si="2"/>
        <v>0</v>
      </c>
      <c r="N11" s="139">
        <f t="shared" si="2"/>
        <v>0</v>
      </c>
      <c r="O11" s="139">
        <f t="shared" ref="O11:P11" si="3">O20+O38+O29+O47</f>
        <v>0</v>
      </c>
      <c r="P11" s="139">
        <f t="shared" si="3"/>
        <v>0</v>
      </c>
      <c r="Q11" s="140">
        <f>SUM(F11:O11)</f>
        <v>0</v>
      </c>
    </row>
    <row r="12" spans="1:17" s="131" customFormat="1" ht="20.25" customHeight="1">
      <c r="A12" s="129"/>
      <c r="B12" s="129"/>
      <c r="C12" s="392"/>
      <c r="D12" s="392"/>
      <c r="E12" s="138" t="s">
        <v>153</v>
      </c>
      <c r="F12" s="196">
        <f t="shared" si="2"/>
        <v>4112700</v>
      </c>
      <c r="G12" s="196">
        <f t="shared" si="2"/>
        <v>24220810</v>
      </c>
      <c r="H12" s="197">
        <f t="shared" si="2"/>
        <v>30986340</v>
      </c>
      <c r="I12" s="197">
        <f t="shared" si="2"/>
        <v>35271570</v>
      </c>
      <c r="J12" s="197">
        <f t="shared" si="2"/>
        <v>33829000</v>
      </c>
      <c r="K12" s="196">
        <f t="shared" si="2"/>
        <v>41851280</v>
      </c>
      <c r="L12" s="196">
        <f t="shared" si="2"/>
        <v>37839236.130000003</v>
      </c>
      <c r="M12" s="139">
        <f t="shared" si="2"/>
        <v>35293000</v>
      </c>
      <c r="N12" s="139">
        <f t="shared" si="2"/>
        <v>26589100</v>
      </c>
      <c r="O12" s="139">
        <f t="shared" ref="O12:P12" si="4">O21+O39+O30+O48</f>
        <v>26589100</v>
      </c>
      <c r="P12" s="139">
        <f t="shared" si="4"/>
        <v>26589100</v>
      </c>
      <c r="Q12" s="140">
        <f>SUM(F12:P12)</f>
        <v>323171236.13</v>
      </c>
    </row>
    <row r="13" spans="1:17" s="131" customFormat="1" ht="20.25" customHeight="1">
      <c r="A13" s="129"/>
      <c r="B13" s="129"/>
      <c r="C13" s="392"/>
      <c r="D13" s="392"/>
      <c r="E13" s="138" t="s">
        <v>22</v>
      </c>
      <c r="F13" s="196">
        <f>F22+F40+F31+F49</f>
        <v>23238024.559999999</v>
      </c>
      <c r="G13" s="196">
        <f t="shared" si="2"/>
        <v>24886994</v>
      </c>
      <c r="H13" s="197">
        <f t="shared" si="2"/>
        <v>36261953</v>
      </c>
      <c r="I13" s="197">
        <f>I22+I40+I31+I49</f>
        <v>35047710</v>
      </c>
      <c r="J13" s="197">
        <f t="shared" si="2"/>
        <v>36693240</v>
      </c>
      <c r="K13" s="196">
        <f t="shared" si="2"/>
        <v>44738344.700000003</v>
      </c>
      <c r="L13" s="196">
        <f t="shared" si="2"/>
        <v>57760478.490000002</v>
      </c>
      <c r="M13" s="139">
        <f t="shared" si="2"/>
        <v>64160600</v>
      </c>
      <c r="N13" s="139">
        <f t="shared" si="2"/>
        <v>84643150</v>
      </c>
      <c r="O13" s="139">
        <f t="shared" ref="O13:P13" si="5">O22+O40+O31+O49</f>
        <v>64540450</v>
      </c>
      <c r="P13" s="139">
        <f t="shared" si="5"/>
        <v>72542550</v>
      </c>
      <c r="Q13" s="140">
        <f>SUM(F13:P13)</f>
        <v>544513494.75</v>
      </c>
    </row>
    <row r="14" spans="1:17" s="131" customFormat="1" ht="20.25" customHeight="1">
      <c r="A14" s="129"/>
      <c r="B14" s="129"/>
      <c r="C14" s="392"/>
      <c r="D14" s="392"/>
      <c r="E14" s="138" t="s">
        <v>186</v>
      </c>
      <c r="F14" s="196">
        <f t="shared" ref="F14:F16" si="6">F23+F41+F32+F50</f>
        <v>0</v>
      </c>
      <c r="G14" s="196">
        <f t="shared" si="2"/>
        <v>0</v>
      </c>
      <c r="H14" s="197">
        <f t="shared" si="2"/>
        <v>0</v>
      </c>
      <c r="I14" s="197">
        <f t="shared" si="2"/>
        <v>0</v>
      </c>
      <c r="J14" s="197">
        <f t="shared" si="2"/>
        <v>0</v>
      </c>
      <c r="K14" s="196">
        <f t="shared" si="2"/>
        <v>0</v>
      </c>
      <c r="L14" s="196">
        <f t="shared" si="2"/>
        <v>0</v>
      </c>
      <c r="M14" s="139">
        <f t="shared" si="2"/>
        <v>0</v>
      </c>
      <c r="N14" s="139">
        <f t="shared" si="2"/>
        <v>0</v>
      </c>
      <c r="O14" s="139">
        <f t="shared" ref="O14:P14" si="7">O23+O41+O32+O50</f>
        <v>0</v>
      </c>
      <c r="P14" s="139">
        <f t="shared" si="7"/>
        <v>0</v>
      </c>
      <c r="Q14" s="140">
        <f t="shared" ref="Q14:Q16" si="8">SUM(F14:O14)</f>
        <v>0</v>
      </c>
    </row>
    <row r="15" spans="1:17" s="131" customFormat="1" ht="20.25" customHeight="1">
      <c r="A15" s="129"/>
      <c r="B15" s="129"/>
      <c r="C15" s="392"/>
      <c r="D15" s="392"/>
      <c r="E15" s="138" t="s">
        <v>185</v>
      </c>
      <c r="F15" s="196">
        <f t="shared" si="6"/>
        <v>4680</v>
      </c>
      <c r="G15" s="196">
        <f t="shared" si="2"/>
        <v>0</v>
      </c>
      <c r="H15" s="197">
        <f t="shared" si="2"/>
        <v>0</v>
      </c>
      <c r="I15" s="197">
        <f t="shared" si="2"/>
        <v>0</v>
      </c>
      <c r="J15" s="197">
        <f t="shared" si="2"/>
        <v>0</v>
      </c>
      <c r="K15" s="196">
        <f t="shared" si="2"/>
        <v>0</v>
      </c>
      <c r="L15" s="196">
        <f t="shared" si="2"/>
        <v>0</v>
      </c>
      <c r="M15" s="139">
        <f t="shared" si="2"/>
        <v>0</v>
      </c>
      <c r="N15" s="139">
        <f t="shared" si="2"/>
        <v>0</v>
      </c>
      <c r="O15" s="139">
        <f t="shared" ref="O15:P15" si="9">O24+O42+O33+O51</f>
        <v>0</v>
      </c>
      <c r="P15" s="139">
        <f t="shared" si="9"/>
        <v>0</v>
      </c>
      <c r="Q15" s="140">
        <f t="shared" si="8"/>
        <v>4680</v>
      </c>
    </row>
    <row r="16" spans="1:17" s="131" customFormat="1" ht="20.25" customHeight="1">
      <c r="A16" s="129"/>
      <c r="B16" s="129"/>
      <c r="C16" s="393"/>
      <c r="D16" s="393"/>
      <c r="E16" s="138" t="s">
        <v>154</v>
      </c>
      <c r="F16" s="196">
        <f t="shared" si="6"/>
        <v>0</v>
      </c>
      <c r="G16" s="196">
        <f t="shared" si="2"/>
        <v>0</v>
      </c>
      <c r="H16" s="197">
        <f t="shared" si="2"/>
        <v>0</v>
      </c>
      <c r="I16" s="197">
        <f t="shared" si="2"/>
        <v>0</v>
      </c>
      <c r="J16" s="197">
        <f t="shared" si="2"/>
        <v>0</v>
      </c>
      <c r="K16" s="196">
        <f t="shared" si="2"/>
        <v>0</v>
      </c>
      <c r="L16" s="196">
        <f t="shared" si="2"/>
        <v>0</v>
      </c>
      <c r="M16" s="139">
        <f t="shared" si="2"/>
        <v>0</v>
      </c>
      <c r="N16" s="139">
        <f t="shared" si="2"/>
        <v>0</v>
      </c>
      <c r="O16" s="139">
        <f t="shared" ref="O16:P16" si="10">O25+O43+O34+O52</f>
        <v>0</v>
      </c>
      <c r="P16" s="139">
        <f t="shared" si="10"/>
        <v>0</v>
      </c>
      <c r="Q16" s="140">
        <f t="shared" si="8"/>
        <v>0</v>
      </c>
    </row>
    <row r="17" spans="1:17" s="131" customFormat="1" ht="35.25" customHeight="1">
      <c r="A17" s="129"/>
      <c r="B17" s="129"/>
      <c r="C17" s="389" t="s">
        <v>135</v>
      </c>
      <c r="D17" s="389" t="s">
        <v>155</v>
      </c>
      <c r="E17" s="141" t="s">
        <v>156</v>
      </c>
      <c r="F17" s="194"/>
      <c r="G17" s="194"/>
      <c r="H17" s="195"/>
      <c r="I17" s="195"/>
      <c r="J17" s="195"/>
      <c r="K17" s="194"/>
      <c r="L17" s="194"/>
      <c r="M17" s="136"/>
      <c r="N17" s="136"/>
      <c r="O17" s="136"/>
      <c r="P17" s="136"/>
      <c r="Q17" s="137"/>
    </row>
    <row r="18" spans="1:17" s="131" customFormat="1" ht="20.25" customHeight="1">
      <c r="A18" s="129"/>
      <c r="B18" s="129"/>
      <c r="C18" s="389"/>
      <c r="D18" s="389"/>
      <c r="E18" s="138" t="s">
        <v>150</v>
      </c>
      <c r="F18" s="194">
        <f t="shared" ref="F18:M18" si="11">SUM(F20:F25)</f>
        <v>4115000</v>
      </c>
      <c r="G18" s="194">
        <f t="shared" si="11"/>
        <v>24266010</v>
      </c>
      <c r="H18" s="195">
        <f t="shared" si="11"/>
        <v>30825800</v>
      </c>
      <c r="I18" s="195">
        <f t="shared" si="11"/>
        <v>35013530</v>
      </c>
      <c r="J18" s="195">
        <f t="shared" si="11"/>
        <v>33823600</v>
      </c>
      <c r="K18" s="194">
        <f t="shared" si="11"/>
        <v>29408780</v>
      </c>
      <c r="L18" s="194">
        <f t="shared" si="11"/>
        <v>33044734</v>
      </c>
      <c r="M18" s="187">
        <f t="shared" si="11"/>
        <v>35195100</v>
      </c>
      <c r="N18" s="187">
        <f t="shared" ref="N18:P18" si="12">SUM(N20:N25)</f>
        <v>31282350</v>
      </c>
      <c r="O18" s="187">
        <f t="shared" si="12"/>
        <v>31284250</v>
      </c>
      <c r="P18" s="187">
        <f t="shared" si="12"/>
        <v>31286350</v>
      </c>
      <c r="Q18" s="137">
        <f>SUM(F18:P18)</f>
        <v>319545504</v>
      </c>
    </row>
    <row r="19" spans="1:17" s="131" customFormat="1" ht="20.25" customHeight="1">
      <c r="A19" s="129"/>
      <c r="B19" s="129"/>
      <c r="C19" s="389"/>
      <c r="D19" s="389"/>
      <c r="E19" s="138" t="s">
        <v>151</v>
      </c>
      <c r="F19" s="194"/>
      <c r="G19" s="194"/>
      <c r="H19" s="195"/>
      <c r="I19" s="195"/>
      <c r="J19" s="195"/>
      <c r="K19" s="194"/>
      <c r="L19" s="194"/>
      <c r="M19" s="187"/>
      <c r="N19" s="187"/>
      <c r="O19" s="187"/>
      <c r="P19" s="187"/>
      <c r="Q19" s="137"/>
    </row>
    <row r="20" spans="1:17" s="131" customFormat="1" ht="20.25" customHeight="1">
      <c r="A20" s="129"/>
      <c r="B20" s="129"/>
      <c r="C20" s="389"/>
      <c r="D20" s="389"/>
      <c r="E20" s="138" t="s">
        <v>157</v>
      </c>
      <c r="F20" s="196">
        <v>0</v>
      </c>
      <c r="G20" s="196">
        <v>0</v>
      </c>
      <c r="H20" s="197">
        <v>0</v>
      </c>
      <c r="I20" s="197">
        <v>0</v>
      </c>
      <c r="J20" s="197">
        <v>0</v>
      </c>
      <c r="K20" s="196">
        <v>0</v>
      </c>
      <c r="L20" s="196">
        <v>0</v>
      </c>
      <c r="M20" s="188">
        <v>0</v>
      </c>
      <c r="N20" s="188">
        <v>0</v>
      </c>
      <c r="O20" s="188">
        <v>0</v>
      </c>
      <c r="P20" s="188">
        <v>0</v>
      </c>
      <c r="Q20" s="140">
        <f t="shared" ref="Q20:Q25" si="13">SUM(F20:P20)</f>
        <v>0</v>
      </c>
    </row>
    <row r="21" spans="1:17" s="131" customFormat="1" ht="20.25" customHeight="1">
      <c r="A21" s="129"/>
      <c r="B21" s="129"/>
      <c r="C21" s="389"/>
      <c r="D21" s="389"/>
      <c r="E21" s="138" t="s">
        <v>153</v>
      </c>
      <c r="F21" s="196">
        <v>4089300</v>
      </c>
      <c r="G21" s="196">
        <v>24220810</v>
      </c>
      <c r="H21" s="197">
        <v>30741700</v>
      </c>
      <c r="I21" s="197">
        <v>34980830</v>
      </c>
      <c r="J21" s="197">
        <f>140000+7008400+26389500</f>
        <v>33537900</v>
      </c>
      <c r="K21" s="196">
        <f>140000+7783900+21331000</f>
        <v>29254900</v>
      </c>
      <c r="L21" s="196">
        <f>24769700+8232900</f>
        <v>33002600</v>
      </c>
      <c r="M21" s="188">
        <f>112020+8450180+26207500</f>
        <v>34769700</v>
      </c>
      <c r="N21" s="188">
        <v>26230200</v>
      </c>
      <c r="O21" s="188">
        <v>26230200</v>
      </c>
      <c r="P21" s="188">
        <v>26230200</v>
      </c>
      <c r="Q21" s="140">
        <f t="shared" si="13"/>
        <v>303288340</v>
      </c>
    </row>
    <row r="22" spans="1:17" s="131" customFormat="1" ht="20.25" customHeight="1">
      <c r="A22" s="129"/>
      <c r="B22" s="129"/>
      <c r="C22" s="389"/>
      <c r="D22" s="389"/>
      <c r="E22" s="138" t="s">
        <v>22</v>
      </c>
      <c r="F22" s="196">
        <v>25700</v>
      </c>
      <c r="G22" s="196">
        <v>45200</v>
      </c>
      <c r="H22" s="197">
        <v>84100</v>
      </c>
      <c r="I22" s="197">
        <v>32700</v>
      </c>
      <c r="J22" s="197">
        <v>285700</v>
      </c>
      <c r="K22" s="196">
        <f>33880+120000</f>
        <v>153880</v>
      </c>
      <c r="L22" s="196">
        <f>40454+1680</f>
        <v>42134</v>
      </c>
      <c r="M22" s="188">
        <f>37400+1000+387000</f>
        <v>425400</v>
      </c>
      <c r="N22" s="188">
        <v>5052150</v>
      </c>
      <c r="O22" s="188">
        <v>5054050</v>
      </c>
      <c r="P22" s="188">
        <v>5056150</v>
      </c>
      <c r="Q22" s="140">
        <f t="shared" si="13"/>
        <v>16257164</v>
      </c>
    </row>
    <row r="23" spans="1:17" s="131" customFormat="1" ht="20.25" customHeight="1">
      <c r="A23" s="129"/>
      <c r="B23" s="129"/>
      <c r="C23" s="389"/>
      <c r="D23" s="389"/>
      <c r="E23" s="138" t="s">
        <v>186</v>
      </c>
      <c r="F23" s="196">
        <v>0</v>
      </c>
      <c r="G23" s="196">
        <v>0</v>
      </c>
      <c r="H23" s="197">
        <v>0</v>
      </c>
      <c r="I23" s="197">
        <v>0</v>
      </c>
      <c r="J23" s="197">
        <v>0</v>
      </c>
      <c r="K23" s="196">
        <v>0</v>
      </c>
      <c r="L23" s="196">
        <v>0</v>
      </c>
      <c r="M23" s="188">
        <v>0</v>
      </c>
      <c r="N23" s="188">
        <v>0</v>
      </c>
      <c r="O23" s="188">
        <v>0</v>
      </c>
      <c r="P23" s="188">
        <v>0</v>
      </c>
      <c r="Q23" s="140">
        <f t="shared" si="13"/>
        <v>0</v>
      </c>
    </row>
    <row r="24" spans="1:17" s="131" customFormat="1" ht="20.25" customHeight="1">
      <c r="A24" s="129"/>
      <c r="B24" s="129"/>
      <c r="C24" s="389"/>
      <c r="D24" s="389"/>
      <c r="E24" s="138" t="s">
        <v>185</v>
      </c>
      <c r="F24" s="196">
        <v>0</v>
      </c>
      <c r="G24" s="196">
        <v>0</v>
      </c>
      <c r="H24" s="197">
        <v>0</v>
      </c>
      <c r="I24" s="197">
        <v>0</v>
      </c>
      <c r="J24" s="197">
        <v>0</v>
      </c>
      <c r="K24" s="196">
        <v>0</v>
      </c>
      <c r="L24" s="196">
        <v>0</v>
      </c>
      <c r="M24" s="188">
        <v>0</v>
      </c>
      <c r="N24" s="188">
        <v>0</v>
      </c>
      <c r="O24" s="188">
        <v>0</v>
      </c>
      <c r="P24" s="188">
        <v>0</v>
      </c>
      <c r="Q24" s="140">
        <f t="shared" si="13"/>
        <v>0</v>
      </c>
    </row>
    <row r="25" spans="1:17" s="131" customFormat="1" ht="20.25" customHeight="1">
      <c r="A25" s="129"/>
      <c r="B25" s="129"/>
      <c r="C25" s="389"/>
      <c r="D25" s="389"/>
      <c r="E25" s="138" t="s">
        <v>154</v>
      </c>
      <c r="F25" s="196">
        <v>0</v>
      </c>
      <c r="G25" s="196">
        <v>0</v>
      </c>
      <c r="H25" s="197">
        <v>0</v>
      </c>
      <c r="I25" s="197">
        <v>0</v>
      </c>
      <c r="J25" s="197">
        <v>0</v>
      </c>
      <c r="K25" s="196">
        <v>0</v>
      </c>
      <c r="L25" s="196">
        <v>0</v>
      </c>
      <c r="M25" s="188">
        <v>0</v>
      </c>
      <c r="N25" s="188">
        <v>0</v>
      </c>
      <c r="O25" s="188">
        <v>0</v>
      </c>
      <c r="P25" s="188">
        <v>0</v>
      </c>
      <c r="Q25" s="140">
        <f t="shared" si="13"/>
        <v>0</v>
      </c>
    </row>
    <row r="26" spans="1:17" s="131" customFormat="1" ht="36.75" customHeight="1">
      <c r="A26" s="129"/>
      <c r="B26" s="129"/>
      <c r="C26" s="394" t="s">
        <v>138</v>
      </c>
      <c r="D26" s="394" t="s">
        <v>158</v>
      </c>
      <c r="E26" s="142" t="s">
        <v>159</v>
      </c>
      <c r="F26" s="194"/>
      <c r="G26" s="194"/>
      <c r="H26" s="195"/>
      <c r="I26" s="195"/>
      <c r="J26" s="195"/>
      <c r="K26" s="194"/>
      <c r="L26" s="194"/>
      <c r="M26" s="136"/>
      <c r="N26" s="136"/>
      <c r="O26" s="136"/>
      <c r="P26" s="136"/>
      <c r="Q26" s="137"/>
    </row>
    <row r="27" spans="1:17" s="131" customFormat="1" ht="20.25" customHeight="1">
      <c r="A27" s="129"/>
      <c r="B27" s="129"/>
      <c r="C27" s="395"/>
      <c r="D27" s="395"/>
      <c r="E27" s="138" t="s">
        <v>150</v>
      </c>
      <c r="F27" s="194">
        <f>SUM(F29:F35)</f>
        <v>22741138.559999999</v>
      </c>
      <c r="G27" s="194">
        <f>SUM(G29:G35)</f>
        <v>24610008</v>
      </c>
      <c r="H27" s="195">
        <f>SUM(H29:H35)</f>
        <v>36121067</v>
      </c>
      <c r="I27" s="195">
        <f t="shared" ref="I27:P27" si="14">SUM(I29:I35)</f>
        <v>34957000</v>
      </c>
      <c r="J27" s="195">
        <f t="shared" si="14"/>
        <v>36353300</v>
      </c>
      <c r="K27" s="194">
        <f t="shared" si="14"/>
        <v>56835003</v>
      </c>
      <c r="L27" s="194">
        <f t="shared" si="14"/>
        <v>59457110.120000005</v>
      </c>
      <c r="M27" s="136">
        <f t="shared" si="14"/>
        <v>63655200</v>
      </c>
      <c r="N27" s="136">
        <f t="shared" si="14"/>
        <v>79511000</v>
      </c>
      <c r="O27" s="136">
        <f t="shared" si="14"/>
        <v>59406400</v>
      </c>
      <c r="P27" s="136">
        <f t="shared" si="14"/>
        <v>67406400</v>
      </c>
      <c r="Q27" s="137">
        <f>SUM(Q29:Q34)</f>
        <v>541053626.68000007</v>
      </c>
    </row>
    <row r="28" spans="1:17" s="131" customFormat="1" ht="20.25" customHeight="1">
      <c r="A28" s="129"/>
      <c r="B28" s="129"/>
      <c r="C28" s="395"/>
      <c r="D28" s="395"/>
      <c r="E28" s="138" t="s">
        <v>151</v>
      </c>
      <c r="F28" s="194"/>
      <c r="G28" s="194"/>
      <c r="H28" s="195"/>
      <c r="I28" s="195"/>
      <c r="J28" s="195"/>
      <c r="K28" s="194"/>
      <c r="L28" s="194"/>
      <c r="M28" s="136"/>
      <c r="N28" s="136"/>
      <c r="O28" s="136"/>
      <c r="P28" s="136"/>
      <c r="Q28" s="137"/>
    </row>
    <row r="29" spans="1:17" s="131" customFormat="1" ht="20.25" customHeight="1">
      <c r="A29" s="129"/>
      <c r="B29" s="129"/>
      <c r="C29" s="395"/>
      <c r="D29" s="395"/>
      <c r="E29" s="138" t="s">
        <v>160</v>
      </c>
      <c r="F29" s="196">
        <v>0</v>
      </c>
      <c r="G29" s="196">
        <v>0</v>
      </c>
      <c r="H29" s="197">
        <v>0</v>
      </c>
      <c r="I29" s="197">
        <v>0</v>
      </c>
      <c r="J29" s="197">
        <v>0</v>
      </c>
      <c r="K29" s="196">
        <v>0</v>
      </c>
      <c r="L29" s="196">
        <v>0</v>
      </c>
      <c r="M29" s="139">
        <v>0</v>
      </c>
      <c r="N29" s="139">
        <v>0</v>
      </c>
      <c r="O29" s="139">
        <v>0</v>
      </c>
      <c r="P29" s="139">
        <v>0</v>
      </c>
      <c r="Q29" s="140">
        <f t="shared" ref="Q29:Q34" si="15">SUM(F29:P29)</f>
        <v>0</v>
      </c>
    </row>
    <row r="30" spans="1:17" s="131" customFormat="1" ht="20.25" customHeight="1">
      <c r="A30" s="129"/>
      <c r="B30" s="129"/>
      <c r="C30" s="395"/>
      <c r="D30" s="395"/>
      <c r="E30" s="138" t="s">
        <v>153</v>
      </c>
      <c r="F30" s="196">
        <v>0</v>
      </c>
      <c r="G30" s="196">
        <v>0</v>
      </c>
      <c r="H30" s="197">
        <v>0</v>
      </c>
      <c r="I30" s="197">
        <v>0</v>
      </c>
      <c r="J30" s="197">
        <v>0</v>
      </c>
      <c r="K30" s="196">
        <v>12306000</v>
      </c>
      <c r="L30" s="196">
        <v>1794856.13</v>
      </c>
      <c r="M30" s="139">
        <v>0</v>
      </c>
      <c r="N30" s="139">
        <v>0</v>
      </c>
      <c r="O30" s="139">
        <v>0</v>
      </c>
      <c r="P30" s="139">
        <v>0</v>
      </c>
      <c r="Q30" s="140">
        <f t="shared" si="15"/>
        <v>14100856.129999999</v>
      </c>
    </row>
    <row r="31" spans="1:17" s="131" customFormat="1" ht="20.25" customHeight="1">
      <c r="A31" s="129"/>
      <c r="B31" s="129"/>
      <c r="C31" s="395"/>
      <c r="D31" s="395"/>
      <c r="E31" s="138" t="s">
        <v>22</v>
      </c>
      <c r="F31" s="196">
        <v>22741138.559999999</v>
      </c>
      <c r="G31" s="196">
        <v>24610008</v>
      </c>
      <c r="H31" s="197">
        <v>36121067</v>
      </c>
      <c r="I31" s="197">
        <v>34957000</v>
      </c>
      <c r="J31" s="197">
        <v>36353300</v>
      </c>
      <c r="K31" s="196">
        <f>8320000+12306+36196697</f>
        <v>44529003</v>
      </c>
      <c r="L31" s="196">
        <v>57662253.990000002</v>
      </c>
      <c r="M31" s="139">
        <v>63655200</v>
      </c>
      <c r="N31" s="139">
        <v>79511000</v>
      </c>
      <c r="O31" s="139">
        <v>59406400</v>
      </c>
      <c r="P31" s="139">
        <v>67406400</v>
      </c>
      <c r="Q31" s="140">
        <f t="shared" si="15"/>
        <v>526952770.55000001</v>
      </c>
    </row>
    <row r="32" spans="1:17" s="131" customFormat="1" ht="20.25" customHeight="1">
      <c r="A32" s="129"/>
      <c r="B32" s="129"/>
      <c r="C32" s="395"/>
      <c r="D32" s="395"/>
      <c r="E32" s="138" t="s">
        <v>186</v>
      </c>
      <c r="F32" s="196">
        <v>0</v>
      </c>
      <c r="G32" s="196">
        <v>0</v>
      </c>
      <c r="H32" s="197">
        <v>0</v>
      </c>
      <c r="I32" s="197">
        <v>0</v>
      </c>
      <c r="J32" s="197">
        <v>0</v>
      </c>
      <c r="K32" s="196">
        <v>0</v>
      </c>
      <c r="L32" s="196">
        <v>0</v>
      </c>
      <c r="M32" s="139">
        <v>0</v>
      </c>
      <c r="N32" s="139">
        <v>0</v>
      </c>
      <c r="O32" s="139">
        <v>0</v>
      </c>
      <c r="P32" s="139">
        <v>0</v>
      </c>
      <c r="Q32" s="140">
        <f t="shared" si="15"/>
        <v>0</v>
      </c>
    </row>
    <row r="33" spans="1:17" s="131" customFormat="1" ht="20.25" customHeight="1">
      <c r="A33" s="129"/>
      <c r="B33" s="129"/>
      <c r="C33" s="395"/>
      <c r="D33" s="395"/>
      <c r="E33" s="138" t="s">
        <v>185</v>
      </c>
      <c r="F33" s="196">
        <v>0</v>
      </c>
      <c r="G33" s="196">
        <v>0</v>
      </c>
      <c r="H33" s="196">
        <v>0</v>
      </c>
      <c r="I33" s="197">
        <v>0</v>
      </c>
      <c r="J33" s="197">
        <v>0</v>
      </c>
      <c r="K33" s="196">
        <v>0</v>
      </c>
      <c r="L33" s="196">
        <v>0</v>
      </c>
      <c r="M33" s="139">
        <v>0</v>
      </c>
      <c r="N33" s="139">
        <v>0</v>
      </c>
      <c r="O33" s="139">
        <v>0</v>
      </c>
      <c r="P33" s="139">
        <v>0</v>
      </c>
      <c r="Q33" s="140">
        <f t="shared" si="15"/>
        <v>0</v>
      </c>
    </row>
    <row r="34" spans="1:17" s="131" customFormat="1" ht="20.25" customHeight="1">
      <c r="A34" s="129"/>
      <c r="B34" s="129"/>
      <c r="C34" s="396"/>
      <c r="D34" s="396"/>
      <c r="E34" s="138" t="s">
        <v>154</v>
      </c>
      <c r="F34" s="196">
        <v>0</v>
      </c>
      <c r="G34" s="196">
        <v>0</v>
      </c>
      <c r="H34" s="196">
        <v>0</v>
      </c>
      <c r="I34" s="197">
        <v>0</v>
      </c>
      <c r="J34" s="197">
        <v>0</v>
      </c>
      <c r="K34" s="196">
        <v>0</v>
      </c>
      <c r="L34" s="196">
        <v>0</v>
      </c>
      <c r="M34" s="139">
        <v>0</v>
      </c>
      <c r="N34" s="139">
        <v>0</v>
      </c>
      <c r="O34" s="139">
        <v>0</v>
      </c>
      <c r="P34" s="139">
        <v>0</v>
      </c>
      <c r="Q34" s="140">
        <f t="shared" si="15"/>
        <v>0</v>
      </c>
    </row>
    <row r="35" spans="1:17" s="131" customFormat="1" ht="70.5" customHeight="1">
      <c r="A35" s="129"/>
      <c r="B35" s="129"/>
      <c r="C35" s="389" t="s">
        <v>140</v>
      </c>
      <c r="D35" s="389" t="s">
        <v>141</v>
      </c>
      <c r="E35" s="142" t="s">
        <v>161</v>
      </c>
      <c r="F35" s="194"/>
      <c r="G35" s="194"/>
      <c r="H35" s="194"/>
      <c r="I35" s="195"/>
      <c r="J35" s="195"/>
      <c r="K35" s="194"/>
      <c r="L35" s="194"/>
      <c r="M35" s="136"/>
      <c r="N35" s="136"/>
      <c r="O35" s="136"/>
      <c r="P35" s="136"/>
      <c r="Q35" s="137"/>
    </row>
    <row r="36" spans="1:17" s="131" customFormat="1" ht="19.5" customHeight="1">
      <c r="A36" s="129"/>
      <c r="B36" s="129"/>
      <c r="C36" s="389"/>
      <c r="D36" s="389"/>
      <c r="E36" s="138" t="s">
        <v>150</v>
      </c>
      <c r="F36" s="194">
        <f t="shared" ref="F36:P36" si="16">SUM(F38:F43)</f>
        <v>499266</v>
      </c>
      <c r="G36" s="194">
        <f t="shared" si="16"/>
        <v>231786</v>
      </c>
      <c r="H36" s="194">
        <f t="shared" si="16"/>
        <v>301426</v>
      </c>
      <c r="I36" s="195">
        <f t="shared" si="16"/>
        <v>348750</v>
      </c>
      <c r="J36" s="195">
        <f t="shared" si="16"/>
        <v>345340</v>
      </c>
      <c r="K36" s="195">
        <f t="shared" si="16"/>
        <v>345841.7</v>
      </c>
      <c r="L36" s="195">
        <f t="shared" si="16"/>
        <v>3097870.5</v>
      </c>
      <c r="M36" s="137">
        <f t="shared" si="16"/>
        <v>603300</v>
      </c>
      <c r="N36" s="137">
        <f t="shared" si="16"/>
        <v>438900</v>
      </c>
      <c r="O36" s="137">
        <f t="shared" si="16"/>
        <v>438900</v>
      </c>
      <c r="P36" s="137">
        <f t="shared" si="16"/>
        <v>438900</v>
      </c>
      <c r="Q36" s="137">
        <f>SUM(F36:P36)</f>
        <v>7090280.2000000002</v>
      </c>
    </row>
    <row r="37" spans="1:17" s="131" customFormat="1" ht="19.5" customHeight="1">
      <c r="A37" s="129"/>
      <c r="B37" s="129"/>
      <c r="C37" s="389"/>
      <c r="D37" s="389"/>
      <c r="E37" s="138" t="s">
        <v>151</v>
      </c>
      <c r="F37" s="194"/>
      <c r="G37" s="194"/>
      <c r="H37" s="194"/>
      <c r="I37" s="195"/>
      <c r="J37" s="195"/>
      <c r="K37" s="194"/>
      <c r="L37" s="194"/>
      <c r="M37" s="136"/>
      <c r="N37" s="136"/>
      <c r="O37" s="136"/>
      <c r="P37" s="136"/>
      <c r="Q37" s="137"/>
    </row>
    <row r="38" spans="1:17" s="131" customFormat="1" ht="19.5" customHeight="1">
      <c r="A38" s="129"/>
      <c r="B38" s="129"/>
      <c r="C38" s="389"/>
      <c r="D38" s="389"/>
      <c r="E38" s="138" t="s">
        <v>160</v>
      </c>
      <c r="F38" s="196">
        <v>0</v>
      </c>
      <c r="G38" s="196">
        <v>0</v>
      </c>
      <c r="H38" s="196">
        <v>0</v>
      </c>
      <c r="I38" s="197">
        <v>0</v>
      </c>
      <c r="J38" s="197">
        <v>0</v>
      </c>
      <c r="K38" s="196">
        <v>0</v>
      </c>
      <c r="L38" s="196">
        <v>0</v>
      </c>
      <c r="M38" s="139">
        <v>0</v>
      </c>
      <c r="N38" s="139">
        <v>0</v>
      </c>
      <c r="O38" s="139">
        <v>0</v>
      </c>
      <c r="P38" s="139">
        <v>0</v>
      </c>
      <c r="Q38" s="140">
        <f t="shared" ref="Q38:Q43" si="17">SUM(F38:P38)</f>
        <v>0</v>
      </c>
    </row>
    <row r="39" spans="1:17" s="131" customFormat="1" ht="19.5" customHeight="1">
      <c r="A39" s="129"/>
      <c r="B39" s="129"/>
      <c r="C39" s="389"/>
      <c r="D39" s="389"/>
      <c r="E39" s="138" t="s">
        <v>153</v>
      </c>
      <c r="F39" s="196">
        <v>23400</v>
      </c>
      <c r="G39" s="196">
        <v>0</v>
      </c>
      <c r="H39" s="196">
        <v>244640</v>
      </c>
      <c r="I39" s="197">
        <v>290740</v>
      </c>
      <c r="J39" s="197">
        <v>291100</v>
      </c>
      <c r="K39" s="196">
        <v>290380</v>
      </c>
      <c r="L39" s="196">
        <v>3041780</v>
      </c>
      <c r="M39" s="139">
        <f>358900+12000+152400</f>
        <v>523300</v>
      </c>
      <c r="N39" s="139">
        <v>358900</v>
      </c>
      <c r="O39" s="139">
        <v>358900</v>
      </c>
      <c r="P39" s="139">
        <v>358900</v>
      </c>
      <c r="Q39" s="140">
        <f t="shared" si="17"/>
        <v>5782040</v>
      </c>
    </row>
    <row r="40" spans="1:17" s="131" customFormat="1" ht="19.5" customHeight="1">
      <c r="A40" s="129"/>
      <c r="B40" s="129"/>
      <c r="C40" s="389"/>
      <c r="D40" s="389"/>
      <c r="E40" s="138" t="s">
        <v>22</v>
      </c>
      <c r="F40" s="196">
        <v>471186</v>
      </c>
      <c r="G40" s="196">
        <v>231786</v>
      </c>
      <c r="H40" s="196">
        <v>56786</v>
      </c>
      <c r="I40" s="197">
        <v>58010</v>
      </c>
      <c r="J40" s="197">
        <v>54240</v>
      </c>
      <c r="K40" s="196">
        <v>55461.7</v>
      </c>
      <c r="L40" s="196">
        <v>56090.5</v>
      </c>
      <c r="M40" s="139">
        <f>1334+78666</f>
        <v>80000</v>
      </c>
      <c r="N40" s="139">
        <v>80000</v>
      </c>
      <c r="O40" s="139">
        <v>80000</v>
      </c>
      <c r="P40" s="139">
        <v>80000</v>
      </c>
      <c r="Q40" s="140">
        <f t="shared" si="17"/>
        <v>1303560.2</v>
      </c>
    </row>
    <row r="41" spans="1:17" s="131" customFormat="1" ht="19.5" customHeight="1">
      <c r="A41" s="129"/>
      <c r="B41" s="129"/>
      <c r="C41" s="389"/>
      <c r="D41" s="389"/>
      <c r="E41" s="138" t="s">
        <v>186</v>
      </c>
      <c r="F41" s="196">
        <v>0</v>
      </c>
      <c r="G41" s="196">
        <v>0</v>
      </c>
      <c r="H41" s="196">
        <v>0</v>
      </c>
      <c r="I41" s="197">
        <v>0</v>
      </c>
      <c r="J41" s="197">
        <v>0</v>
      </c>
      <c r="K41" s="196">
        <v>0</v>
      </c>
      <c r="L41" s="196">
        <v>0</v>
      </c>
      <c r="M41" s="139">
        <v>0</v>
      </c>
      <c r="N41" s="139">
        <v>0</v>
      </c>
      <c r="O41" s="139">
        <v>0</v>
      </c>
      <c r="P41" s="139">
        <v>0</v>
      </c>
      <c r="Q41" s="140">
        <f t="shared" si="17"/>
        <v>0</v>
      </c>
    </row>
    <row r="42" spans="1:17" s="131" customFormat="1" ht="19.5" customHeight="1">
      <c r="A42" s="129"/>
      <c r="B42" s="129"/>
      <c r="C42" s="389"/>
      <c r="D42" s="389"/>
      <c r="E42" s="138" t="s">
        <v>185</v>
      </c>
      <c r="F42" s="196">
        <v>4680</v>
      </c>
      <c r="G42" s="196">
        <v>0</v>
      </c>
      <c r="H42" s="196">
        <v>0</v>
      </c>
      <c r="I42" s="197">
        <v>0</v>
      </c>
      <c r="J42" s="197">
        <v>0</v>
      </c>
      <c r="K42" s="196">
        <v>0</v>
      </c>
      <c r="L42" s="196">
        <v>0</v>
      </c>
      <c r="M42" s="139">
        <v>0</v>
      </c>
      <c r="N42" s="139">
        <v>0</v>
      </c>
      <c r="O42" s="139">
        <v>0</v>
      </c>
      <c r="P42" s="139">
        <v>0</v>
      </c>
      <c r="Q42" s="140">
        <f t="shared" si="17"/>
        <v>4680</v>
      </c>
    </row>
    <row r="43" spans="1:17" s="131" customFormat="1" ht="19.5" customHeight="1">
      <c r="A43" s="129"/>
      <c r="B43" s="129"/>
      <c r="C43" s="389"/>
      <c r="D43" s="389"/>
      <c r="E43" s="138" t="s">
        <v>154</v>
      </c>
      <c r="F43" s="196">
        <v>0</v>
      </c>
      <c r="G43" s="196">
        <v>0</v>
      </c>
      <c r="H43" s="196">
        <v>0</v>
      </c>
      <c r="I43" s="196">
        <v>0</v>
      </c>
      <c r="J43" s="197">
        <v>0</v>
      </c>
      <c r="K43" s="196">
        <v>0</v>
      </c>
      <c r="L43" s="196">
        <v>0</v>
      </c>
      <c r="M43" s="139">
        <v>0</v>
      </c>
      <c r="N43" s="139">
        <v>0</v>
      </c>
      <c r="O43" s="139">
        <v>0</v>
      </c>
      <c r="P43" s="139">
        <v>0</v>
      </c>
      <c r="Q43" s="140">
        <f t="shared" si="17"/>
        <v>0</v>
      </c>
    </row>
    <row r="44" spans="1:17" ht="22.5" hidden="1" customHeight="1">
      <c r="A44" s="390"/>
      <c r="B44" s="143"/>
      <c r="C44" s="143"/>
      <c r="D44" s="390"/>
      <c r="E44" s="112"/>
      <c r="F44" s="198"/>
      <c r="G44" s="198"/>
      <c r="H44" s="198"/>
      <c r="I44" s="198"/>
      <c r="J44" s="199"/>
      <c r="K44" s="198"/>
      <c r="L44" s="198"/>
      <c r="M44" s="144"/>
      <c r="N44" s="144"/>
      <c r="O44" s="144"/>
      <c r="P44" s="144"/>
      <c r="Q44" s="140">
        <f t="shared" ref="Q44:Q52" si="18">SUM(F44:O44)</f>
        <v>0</v>
      </c>
    </row>
    <row r="45" spans="1:17" ht="18.75" hidden="1">
      <c r="A45" s="390"/>
      <c r="B45" s="143"/>
      <c r="C45" s="143"/>
      <c r="D45" s="390"/>
      <c r="E45" s="145"/>
      <c r="F45" s="198"/>
      <c r="G45" s="198"/>
      <c r="H45" s="198"/>
      <c r="I45" s="198"/>
      <c r="J45" s="199"/>
      <c r="K45" s="198"/>
      <c r="L45" s="198"/>
      <c r="M45" s="144"/>
      <c r="N45" s="144"/>
      <c r="O45" s="144"/>
      <c r="P45" s="144"/>
      <c r="Q45" s="140">
        <f t="shared" si="18"/>
        <v>0</v>
      </c>
    </row>
    <row r="46" spans="1:17" ht="21.75" hidden="1" customHeight="1">
      <c r="A46" s="390"/>
      <c r="B46" s="143"/>
      <c r="C46" s="143"/>
      <c r="D46" s="390"/>
      <c r="E46" s="145"/>
      <c r="F46" s="198"/>
      <c r="G46" s="198"/>
      <c r="H46" s="198"/>
      <c r="I46" s="198"/>
      <c r="J46" s="199"/>
      <c r="K46" s="198"/>
      <c r="L46" s="198"/>
      <c r="M46" s="144"/>
      <c r="N46" s="144"/>
      <c r="O46" s="144"/>
      <c r="P46" s="144"/>
      <c r="Q46" s="140">
        <f t="shared" si="18"/>
        <v>0</v>
      </c>
    </row>
    <row r="47" spans="1:17" ht="21.75" hidden="1" customHeight="1">
      <c r="A47" s="390"/>
      <c r="B47" s="143"/>
      <c r="C47" s="143"/>
      <c r="D47" s="390"/>
      <c r="E47" s="145"/>
      <c r="F47" s="198"/>
      <c r="G47" s="198"/>
      <c r="H47" s="198"/>
      <c r="I47" s="198"/>
      <c r="J47" s="199"/>
      <c r="K47" s="198"/>
      <c r="L47" s="198"/>
      <c r="M47" s="144"/>
      <c r="N47" s="144"/>
      <c r="O47" s="144"/>
      <c r="P47" s="144"/>
      <c r="Q47" s="140">
        <f t="shared" si="18"/>
        <v>0</v>
      </c>
    </row>
    <row r="48" spans="1:17" ht="21.75" hidden="1" customHeight="1">
      <c r="A48" s="390"/>
      <c r="B48" s="143"/>
      <c r="C48" s="143"/>
      <c r="D48" s="390"/>
      <c r="E48" s="145"/>
      <c r="F48" s="198"/>
      <c r="G48" s="198"/>
      <c r="H48" s="198"/>
      <c r="I48" s="198"/>
      <c r="J48" s="199"/>
      <c r="K48" s="198"/>
      <c r="L48" s="198"/>
      <c r="M48" s="144"/>
      <c r="N48" s="144"/>
      <c r="O48" s="144"/>
      <c r="P48" s="144"/>
      <c r="Q48" s="140">
        <f t="shared" si="18"/>
        <v>0</v>
      </c>
    </row>
    <row r="49" spans="1:17" ht="21.75" hidden="1" customHeight="1">
      <c r="A49" s="390"/>
      <c r="B49" s="143"/>
      <c r="C49" s="143"/>
      <c r="D49" s="390"/>
      <c r="E49" s="145"/>
      <c r="F49" s="198"/>
      <c r="G49" s="198"/>
      <c r="H49" s="198"/>
      <c r="I49" s="198"/>
      <c r="J49" s="199"/>
      <c r="K49" s="198"/>
      <c r="L49" s="198"/>
      <c r="M49" s="144"/>
      <c r="N49" s="144"/>
      <c r="O49" s="144"/>
      <c r="P49" s="144"/>
      <c r="Q49" s="140">
        <f t="shared" si="18"/>
        <v>0</v>
      </c>
    </row>
    <row r="50" spans="1:17" ht="21.75" hidden="1" customHeight="1">
      <c r="A50" s="390"/>
      <c r="B50" s="143"/>
      <c r="C50" s="143"/>
      <c r="D50" s="390"/>
      <c r="E50" s="145"/>
      <c r="F50" s="198"/>
      <c r="G50" s="198"/>
      <c r="H50" s="198"/>
      <c r="I50" s="198"/>
      <c r="J50" s="199"/>
      <c r="K50" s="198"/>
      <c r="L50" s="198"/>
      <c r="M50" s="144"/>
      <c r="N50" s="144"/>
      <c r="O50" s="144"/>
      <c r="P50" s="144"/>
      <c r="Q50" s="140">
        <f t="shared" si="18"/>
        <v>0</v>
      </c>
    </row>
    <row r="51" spans="1:17" ht="21.75" hidden="1" customHeight="1">
      <c r="A51" s="390"/>
      <c r="B51" s="143"/>
      <c r="C51" s="143"/>
      <c r="D51" s="390"/>
      <c r="E51" s="145"/>
      <c r="F51" s="198"/>
      <c r="G51" s="198"/>
      <c r="H51" s="198"/>
      <c r="I51" s="198"/>
      <c r="J51" s="199"/>
      <c r="K51" s="198"/>
      <c r="L51" s="198"/>
      <c r="M51" s="144"/>
      <c r="N51" s="144"/>
      <c r="O51" s="144"/>
      <c r="P51" s="144"/>
      <c r="Q51" s="140">
        <f t="shared" si="18"/>
        <v>0</v>
      </c>
    </row>
    <row r="52" spans="1:17" ht="21.75" hidden="1" customHeight="1">
      <c r="A52" s="390"/>
      <c r="B52" s="143"/>
      <c r="C52" s="143"/>
      <c r="D52" s="390"/>
      <c r="E52" s="145"/>
      <c r="F52" s="198"/>
      <c r="G52" s="198"/>
      <c r="H52" s="198"/>
      <c r="I52" s="198"/>
      <c r="J52" s="199"/>
      <c r="K52" s="198"/>
      <c r="L52" s="198"/>
      <c r="M52" s="144"/>
      <c r="N52" s="144"/>
      <c r="O52" s="144"/>
      <c r="P52" s="144"/>
      <c r="Q52" s="140">
        <f t="shared" si="18"/>
        <v>0</v>
      </c>
    </row>
    <row r="53" spans="1:17">
      <c r="J53" s="200"/>
    </row>
    <row r="54" spans="1:17">
      <c r="J54" s="200"/>
    </row>
    <row r="55" spans="1:17">
      <c r="J55" s="200"/>
    </row>
    <row r="56" spans="1:17">
      <c r="J56" s="200"/>
    </row>
    <row r="59" spans="1:17">
      <c r="Q59" s="153">
        <f>Q9-'прил 2 к МП'!R39</f>
        <v>119174249.99999988</v>
      </c>
    </row>
  </sheetData>
  <mergeCells count="17">
    <mergeCell ref="C35:C43"/>
    <mergeCell ref="D35:D43"/>
    <mergeCell ref="A44:A52"/>
    <mergeCell ref="D44:D52"/>
    <mergeCell ref="C9:C16"/>
    <mergeCell ref="D9:D16"/>
    <mergeCell ref="C17:C25"/>
    <mergeCell ref="D17:D25"/>
    <mergeCell ref="C26:C34"/>
    <mergeCell ref="D26:D34"/>
    <mergeCell ref="K1:Q1"/>
    <mergeCell ref="A3:Q3"/>
    <mergeCell ref="C5:C7"/>
    <mergeCell ref="D5:D7"/>
    <mergeCell ref="E5:E7"/>
    <mergeCell ref="F5:Q5"/>
    <mergeCell ref="Q6:Q7"/>
  </mergeCells>
  <pageMargins left="0.17" right="0.17" top="0.2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Дороги</vt:lpstr>
      <vt:lpstr>Транспорт</vt:lpstr>
      <vt:lpstr>БДД</vt:lpstr>
      <vt:lpstr>прил 2 к МП</vt:lpstr>
      <vt:lpstr>прил 3 к МП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2021-11-15T01:59:21Z</dcterms:modified>
</cp:coreProperties>
</file>