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0" yWindow="8760" windowWidth="5445" windowHeight="10935" tabRatio="956" firstSheet="2" activeTab="34"/>
  </bookViews>
  <sheets>
    <sheet name="Лист3" sheetId="70" state="hidden" r:id="rId1"/>
    <sheet name="Лист2" sheetId="69" state="hidden" r:id="rId2"/>
    <sheet name="Истдеф" sheetId="71" r:id="rId3"/>
    <sheet name="Деф" sheetId="17" state="hidden" r:id="rId4"/>
    <sheet name="АдмДох" sheetId="47" state="hidden" r:id="rId5"/>
    <sheet name="АдмИст" sheetId="23" state="hidden" r:id="rId6"/>
    <sheet name="Норм" sheetId="56" state="hidden" r:id="rId7"/>
    <sheet name="Адм дох" sheetId="68" state="hidden" r:id="rId8"/>
    <sheet name="Дох исп" sheetId="67" state="hidden" r:id="rId9"/>
    <sheet name="Дох " sheetId="44" r:id="rId10"/>
    <sheet name="Вед17" sheetId="4" r:id="rId11"/>
    <sheet name="вед 18-19" sheetId="45" state="hidden" r:id="rId12"/>
    <sheet name="Фун17" sheetId="3" r:id="rId13"/>
    <sheet name="Фун 18-19" sheetId="48" state="hidden" r:id="rId14"/>
    <sheet name="ЦСР 17" sheetId="50" r:id="rId15"/>
    <sheet name="ЦСР 18-19" sheetId="49" state="hidden" r:id="rId16"/>
    <sheet name="публ" sheetId="26" r:id="rId17"/>
    <sheet name="Полн" sheetId="24" r:id="rId18"/>
    <sheet name="сбал" sheetId="53" r:id="rId19"/>
    <sheet name="ФФП" sheetId="6" r:id="rId20"/>
    <sheet name="Молод" sheetId="18" r:id="rId21"/>
    <sheet name="Протоколы" sheetId="35" r:id="rId22"/>
    <sheet name="ВУС" sheetId="12" r:id="rId23"/>
    <sheet name="ак" sheetId="52" r:id="rId24"/>
    <sheet name="Заим" sheetId="20" r:id="rId25"/>
    <sheet name="переселение" sheetId="59" r:id="rId26"/>
    <sheet name="дороги" sheetId="58" r:id="rId27"/>
    <sheet name="дороги кап" sheetId="60" r:id="rId28"/>
    <sheet name="пожарка" sheetId="62" r:id="rId29"/>
    <sheet name="софин" sheetId="61" r:id="rId30"/>
    <sheet name="благоус" sheetId="63" r:id="rId31"/>
    <sheet name="ЗП ДК" sheetId="65" r:id="rId32"/>
    <sheet name="наил показ" sheetId="66" r:id="rId33"/>
    <sheet name="Потенц" sheetId="64" r:id="rId34"/>
    <sheet name="спр" sheetId="21" r:id="rId35"/>
    <sheet name="Лист1" sheetId="54" state="hidden" r:id="rId36"/>
  </sheets>
  <externalReferences>
    <externalReference r:id="rId37"/>
    <externalReference r:id="rId38"/>
  </externalReferences>
  <definedNames>
    <definedName name="_xlnm._FilterDatabase" localSheetId="7" hidden="1">'Адм дох'!$B$5:$D$210</definedName>
    <definedName name="_xlnm._FilterDatabase" localSheetId="4" hidden="1">АдмДох!$A$4:$I$345</definedName>
    <definedName name="_xlnm._FilterDatabase" localSheetId="11" hidden="1">'вед 18-19'!$A$6:$I$695</definedName>
    <definedName name="_xlnm._FilterDatabase" localSheetId="10" hidden="1">Вед17!$A$5:$J$841</definedName>
    <definedName name="_xlnm._FilterDatabase" localSheetId="9" hidden="1">'Дох '!$A$6:$M$257</definedName>
    <definedName name="_xlnm._FilterDatabase" localSheetId="8" hidden="1">'Дох исп'!$A$7:$WVP$7</definedName>
    <definedName name="_xlnm._FilterDatabase" localSheetId="35" hidden="1">Лист1!$A$1:$B$211</definedName>
    <definedName name="_xlnm._FilterDatabase" localSheetId="1" hidden="1">Лист2!$A$1:$G$837</definedName>
    <definedName name="_xlnm._FilterDatabase" localSheetId="34" hidden="1">спр!$A$8:$B$33</definedName>
    <definedName name="_xlnm._FilterDatabase" localSheetId="13" hidden="1">'Фун 18-19'!$A$6:$D$51</definedName>
    <definedName name="_xlnm._FilterDatabase" localSheetId="12" hidden="1">Фун17!$A$6:$D$54</definedName>
    <definedName name="_xlnm._FilterDatabase" localSheetId="14" hidden="1">'ЦСР 17'!$A$5:$E$952</definedName>
    <definedName name="_xlnm._FilterDatabase" localSheetId="15" hidden="1">'ЦСР 18-19'!$A$6:$F$793</definedName>
    <definedName name="H1ДК">спр!$B$39</definedName>
    <definedName name="H1пожар">спр!$B$36</definedName>
    <definedName name="H2ДК">спр!$C$39</definedName>
    <definedName name="H2пожар">спр!$C$36</definedName>
    <definedName name="вцп13">#REF!</definedName>
    <definedName name="вцпПлПер">#REF!</definedName>
    <definedName name="год" localSheetId="4">спр!$B$1</definedName>
    <definedName name="год">спр!$B$1</definedName>
    <definedName name="год1">[1]спр!$B$1</definedName>
    <definedName name="_xlnm.Print_Titles" localSheetId="4">АдмДох!$4:$4</definedName>
    <definedName name="_xlnm.Print_Titles" localSheetId="5">АдмИст!$6:$6</definedName>
    <definedName name="_xlnm.Print_Titles" localSheetId="11">'вед 18-19'!$5:$6</definedName>
    <definedName name="_xlnm.Print_Titles" localSheetId="10">Вед17!$4:$5</definedName>
    <definedName name="_xlnm.Print_Titles" localSheetId="22">ВУС!$4:$4</definedName>
    <definedName name="_xlnm.Print_Titles" localSheetId="3">Деф!$4:$4</definedName>
    <definedName name="_xlnm.Print_Titles" localSheetId="9">'Дох '!$7:$7</definedName>
    <definedName name="_xlnm.Print_Titles" localSheetId="20">Молод!$4:$4</definedName>
    <definedName name="_xlnm.Print_Titles" localSheetId="17">Полн!$4:$5</definedName>
    <definedName name="_xlnm.Print_Titles" localSheetId="21">Протоколы!$4:$4</definedName>
    <definedName name="_xlnm.Print_Titles" localSheetId="12">Фун17!$5:$6</definedName>
    <definedName name="_xlnm.Print_Titles" localSheetId="19">ФФП!$5:$5</definedName>
    <definedName name="_xlnm.Print_Titles" localSheetId="14">'ЦСР 17'!$4:$5</definedName>
    <definedName name="кбк">#REF!</definedName>
    <definedName name="квр13" localSheetId="4">Вед17!$E$7:$E$574</definedName>
    <definedName name="квр13">Вед17!$E$7:$E$4354</definedName>
    <definedName name="кврПлПер" localSheetId="4">'вед 18-19'!$E$8:$E$361</definedName>
    <definedName name="кврПлПер">'вед 18-19'!$E$8:$E$361</definedName>
    <definedName name="Н1адох" localSheetId="4">спр!$B$11</definedName>
    <definedName name="Н1адох">спр!$B$11</definedName>
    <definedName name="Н1аист" localSheetId="4">спр!$B$12</definedName>
    <definedName name="Н1аист">спр!$B$12</definedName>
    <definedName name="Н1акк">спр!$B$31</definedName>
    <definedName name="Н1Бл">#REF!</definedName>
    <definedName name="Н1благ">спр!$B$38</definedName>
    <definedName name="Н1вед" localSheetId="4">спр!$B$15</definedName>
    <definedName name="Н1вед">спр!$B$15</definedName>
    <definedName name="Н1вед1" localSheetId="4">спр!$B$16</definedName>
    <definedName name="Н1вед1">спр!$B$16</definedName>
    <definedName name="Н1вод">спр!$B$36</definedName>
    <definedName name="Н1вус" localSheetId="4">спр!$B$28</definedName>
    <definedName name="Н1вус">спр!$B$28</definedName>
    <definedName name="Н1вцп" localSheetId="4">спр!#REF!</definedName>
    <definedName name="Н1вцп">спр!#REF!</definedName>
    <definedName name="Н1гранты">спр!$B$36</definedName>
    <definedName name="Н1деф" localSheetId="4">спр!$B$10</definedName>
    <definedName name="Н1деф">спр!$B$10</definedName>
    <definedName name="Н1Дор" localSheetId="4">#REF!</definedName>
    <definedName name="Н1Дор">спр!$B$32</definedName>
    <definedName name="Н1доркап">спр!$B$34</definedName>
    <definedName name="Н1Дороги">спр!$B$33</definedName>
    <definedName name="Н1дох" localSheetId="4">спр!$B$14</definedName>
    <definedName name="Н1дох">спр!$B$14</definedName>
    <definedName name="Н1займ" localSheetId="4">спр!#REF!</definedName>
    <definedName name="Н1займ">спр!$B$30</definedName>
    <definedName name="Н1инв" localSheetId="4">#REF!</definedName>
    <definedName name="Н1инв">спр!#REF!</definedName>
    <definedName name="Н1ком" localSheetId="4">спр!#REF!</definedName>
    <definedName name="Н1ком">спр!$B$26</definedName>
    <definedName name="Н1Мдор">#REF!</definedName>
    <definedName name="Н1метвус" localSheetId="4">#REF!</definedName>
    <definedName name="Н1метвус">спр!$B$29</definedName>
    <definedName name="Н1мин">спр!$B$35</definedName>
    <definedName name="Н1мол" localSheetId="4">спр!#REF!</definedName>
    <definedName name="Н1мол">спр!$B$25</definedName>
    <definedName name="Н1наилпок">спр!$B$40</definedName>
    <definedName name="Н1нал">#REF!</definedName>
    <definedName name="Н1Норм">спр!$B$13</definedName>
    <definedName name="Н1Перес">спр!$B$32</definedName>
    <definedName name="Н1Пересел">спр!$B$32</definedName>
    <definedName name="Н1пож" localSheetId="4">#REF!</definedName>
    <definedName name="Н1пож">спр!$B$33</definedName>
    <definedName name="Н1пожар">спр!$B$36</definedName>
    <definedName name="Н1пол" localSheetId="4">спр!#REF!</definedName>
    <definedName name="Н1пол">спр!$B$22</definedName>
    <definedName name="Н1поощ">спр!$B$34</definedName>
    <definedName name="Н1Пот" localSheetId="4">спр!#REF!</definedName>
    <definedName name="Н1Пот">спр!#REF!</definedName>
    <definedName name="Н1потенц">спр!$B$41</definedName>
    <definedName name="Н1Публ" localSheetId="4">спр!$B$21</definedName>
    <definedName name="Н1Публ">спр!$B$21</definedName>
    <definedName name="Н1рцп" localSheetId="4">#REF!</definedName>
    <definedName name="Н1рцп">спр!#REF!</definedName>
    <definedName name="Н1сбал" localSheetId="4">спр!#REF!</definedName>
    <definedName name="Н1сбал">спр!$B$23</definedName>
    <definedName name="Н1софин">спр!$B$35</definedName>
    <definedName name="Н1фун" localSheetId="4">спр!#REF!</definedName>
    <definedName name="Н1фун">спр!$B$17</definedName>
    <definedName name="Н1фун1">спр!$B$18</definedName>
    <definedName name="Н1ффп" localSheetId="4">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благ">спр!$C$38</definedName>
    <definedName name="Н2вед">спр!$C$15</definedName>
    <definedName name="Н2вед1">спр!$C$16</definedName>
    <definedName name="Н2вод">спр!$C$36</definedName>
    <definedName name="Н2вус">спр!$C$28</definedName>
    <definedName name="Н2вцп">#REF!</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илпок">спр!$C$40</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отенц">спр!$C$41</definedName>
    <definedName name="Н2публ">спр!$C$21</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4">#REF!</definedName>
    <definedName name="Надох">спр!$B$11</definedName>
    <definedName name="_xlnm.Print_Area" localSheetId="4">АдмДох!$A:$D</definedName>
    <definedName name="_xlnm.Print_Area" localSheetId="5">АдмИст!$A:$D</definedName>
    <definedName name="_xlnm.Print_Area" localSheetId="23">ак!$A$1:$D$8</definedName>
    <definedName name="_xlnm.Print_Area" localSheetId="11">'вед 18-19'!$A:$G</definedName>
    <definedName name="_xlnm.Print_Area" localSheetId="10">Вед17!$A$1:$H$841</definedName>
    <definedName name="_xlnm.Print_Area" localSheetId="22">ВУС!$A:$D</definedName>
    <definedName name="_xlnm.Print_Area" localSheetId="3">Деф!$A:$E</definedName>
    <definedName name="_xlnm.Print_Area" localSheetId="9">'Дох '!$A$1:$K$259</definedName>
    <definedName name="_xlnm.Print_Area" localSheetId="24">Заим!$A:$D</definedName>
    <definedName name="_xlnm.Print_Area" localSheetId="31">'ЗП ДК'!$A$1:$D$8</definedName>
    <definedName name="_xlnm.Print_Area" localSheetId="20">Молод!$A:$D</definedName>
    <definedName name="_xlnm.Print_Area" localSheetId="25">переселение!$A$1:$D$6</definedName>
    <definedName name="_xlnm.Print_Area" localSheetId="28">пожарка!$A$1:$D$24</definedName>
    <definedName name="_xlnm.Print_Area" localSheetId="17">Полн!$A:$F</definedName>
    <definedName name="_xlnm.Print_Area" localSheetId="21">Протоколы!$A:$E</definedName>
    <definedName name="_xlnm.Print_Area" localSheetId="16">публ!$A:$F</definedName>
    <definedName name="_xlnm.Print_Area" localSheetId="18">сбал!$A$1:$D$22</definedName>
    <definedName name="_xlnm.Print_Area" localSheetId="19">ФФП!$A:$D</definedName>
    <definedName name="ПлПер" localSheetId="4">спр!$B$2</definedName>
    <definedName name="ПлПер">спр!$B$2</definedName>
    <definedName name="Р1дата" localSheetId="4">спр!$B$3</definedName>
    <definedName name="Р1дата">спр!$B$3</definedName>
    <definedName name="Р1номер" localSheetId="4">спр!$B$4</definedName>
    <definedName name="Р1номер">спр!$B$4</definedName>
    <definedName name="Р2дата">спр!$B$5</definedName>
    <definedName name="Р2номер">спр!$B$6</definedName>
    <definedName name="РзПз" localSheetId="4">Вед17!$I$7:$I$9262</definedName>
    <definedName name="РзПз">Вед17!$I$7:$I$9465</definedName>
    <definedName name="РзПзПлПер" localSheetId="4">'вед 18-19'!$H$8:$H$459</definedName>
    <definedName name="РзПзПлПер">'вед 18-19'!$H$8:$H$4787</definedName>
    <definedName name="спрВЦП">#REF!</definedName>
    <definedName name="сум" localSheetId="4">#REF!</definedName>
    <definedName name="сум">#REF!</definedName>
    <definedName name="СумВед" localSheetId="4">Вед17!$F$7:$F$4742</definedName>
    <definedName name="СумВед">Вед17!$F$7:$F$5954</definedName>
    <definedName name="СумВед14" localSheetId="4">'вед 18-19'!$F$8:$F$361</definedName>
    <definedName name="СумВед14">'вед 18-19'!$F$8:$F$361</definedName>
    <definedName name="СумВед15" localSheetId="4">'вед 18-19'!$G$8:$G$361</definedName>
    <definedName name="СумВед15">'вед 18-19'!$G$8:$G$361</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A2" i="12"/>
  <c r="A2" i="53"/>
  <c r="A2" i="44"/>
  <c r="D15" i="71"/>
  <c r="C15"/>
  <c r="K20" i="44"/>
  <c r="K21"/>
  <c r="K22"/>
  <c r="K23"/>
  <c r="K26"/>
  <c r="K44"/>
  <c r="K51"/>
  <c r="K53"/>
  <c r="K67"/>
  <c r="K74"/>
  <c r="K75"/>
  <c r="K81"/>
  <c r="K84"/>
  <c r="K96"/>
  <c r="K97"/>
  <c r="K100"/>
  <c r="K102"/>
  <c r="K109"/>
  <c r="K111"/>
  <c r="K121"/>
  <c r="K126"/>
  <c r="K130"/>
  <c r="K131"/>
  <c r="K132"/>
  <c r="K133"/>
  <c r="K134"/>
  <c r="K135"/>
  <c r="K136"/>
  <c r="K138"/>
  <c r="K150"/>
  <c r="K152"/>
  <c r="K159"/>
  <c r="K168"/>
  <c r="K169"/>
  <c r="K170"/>
  <c r="K171"/>
  <c r="K173"/>
  <c r="K174"/>
  <c r="K175"/>
  <c r="K177"/>
  <c r="K178"/>
  <c r="K179"/>
  <c r="K180"/>
  <c r="K183"/>
  <c r="K184"/>
  <c r="K186"/>
  <c r="K187"/>
  <c r="K188"/>
  <c r="K189"/>
  <c r="K190"/>
  <c r="K191"/>
  <c r="K196"/>
  <c r="K200"/>
  <c r="K201"/>
  <c r="K202"/>
  <c r="K203"/>
  <c r="K204"/>
  <c r="K207"/>
  <c r="K211"/>
  <c r="K212"/>
  <c r="K214"/>
  <c r="K228"/>
  <c r="K229"/>
  <c r="K236"/>
  <c r="K239"/>
  <c r="K240"/>
  <c r="K244"/>
  <c r="K249"/>
  <c r="K250"/>
  <c r="K251"/>
  <c r="K253"/>
  <c r="J255"/>
  <c r="J246"/>
  <c r="J242" s="1"/>
  <c r="J241" s="1"/>
  <c r="J238"/>
  <c r="J237" s="1"/>
  <c r="J226"/>
  <c r="J224"/>
  <c r="J194"/>
  <c r="J193" s="1"/>
  <c r="J165"/>
  <c r="J164" s="1"/>
  <c r="J162"/>
  <c r="J160"/>
  <c r="J158"/>
  <c r="J156"/>
  <c r="J154"/>
  <c r="J151"/>
  <c r="J149"/>
  <c r="J148" s="1"/>
  <c r="J144"/>
  <c r="J140"/>
  <c r="I140"/>
  <c r="J129"/>
  <c r="K129" s="1"/>
  <c r="I129"/>
  <c r="J122"/>
  <c r="K122" s="1"/>
  <c r="I122"/>
  <c r="J110"/>
  <c r="K110" s="1"/>
  <c r="I110"/>
  <c r="J103"/>
  <c r="J105"/>
  <c r="J101"/>
  <c r="J98"/>
  <c r="K98" s="1"/>
  <c r="I98"/>
  <c r="J83"/>
  <c r="J65"/>
  <c r="J56"/>
  <c r="I56"/>
  <c r="I55" s="1"/>
  <c r="J43"/>
  <c r="J25"/>
  <c r="A3" i="62"/>
  <c r="A2" i="64"/>
  <c r="A3" i="66"/>
  <c r="A2" i="65"/>
  <c r="B2" i="61"/>
  <c r="A2" i="20"/>
  <c r="A2" i="52"/>
  <c r="A2" i="35"/>
  <c r="A2" i="18"/>
  <c r="A2" i="6"/>
  <c r="A2" i="24"/>
  <c r="A2" i="26"/>
  <c r="A2" i="50"/>
  <c r="A3" i="3"/>
  <c r="A2" i="4"/>
  <c r="A1" i="71"/>
  <c r="D7" i="20"/>
  <c r="D10"/>
  <c r="A2" i="71"/>
  <c r="E10"/>
  <c r="D9"/>
  <c r="D19" s="1"/>
  <c r="C9"/>
  <c r="C19" s="1"/>
  <c r="C18" s="1"/>
  <c r="C17" s="1"/>
  <c r="C16" s="1"/>
  <c r="C8"/>
  <c r="E8" s="1"/>
  <c r="D7"/>
  <c r="A2" i="17"/>
  <c r="J254" i="44" l="1"/>
  <c r="J55"/>
  <c r="J139"/>
  <c r="J223"/>
  <c r="E9" i="71"/>
  <c r="E19"/>
  <c r="D18"/>
  <c r="D14"/>
  <c r="D6"/>
  <c r="C7"/>
  <c r="E7" s="1"/>
  <c r="E18" l="1"/>
  <c r="D17"/>
  <c r="C6"/>
  <c r="E6"/>
  <c r="D13"/>
  <c r="E17" l="1"/>
  <c r="D16"/>
  <c r="E16" s="1"/>
  <c r="C14"/>
  <c r="E15"/>
  <c r="D12"/>
  <c r="C13" l="1"/>
  <c r="E14"/>
  <c r="D11"/>
  <c r="C12" l="1"/>
  <c r="E13"/>
  <c r="D5"/>
  <c r="C11" l="1"/>
  <c r="E12"/>
  <c r="C5" l="1"/>
  <c r="E5" s="1"/>
  <c r="E11"/>
  <c r="A3" i="23" l="1"/>
  <c r="E10" i="17"/>
  <c r="G6" i="68"/>
  <c r="G10"/>
  <c r="G11"/>
  <c r="G12"/>
  <c r="G13"/>
  <c r="G14"/>
  <c r="G16"/>
  <c r="G18"/>
  <c r="G19"/>
  <c r="G23"/>
  <c r="G25"/>
  <c r="G26"/>
  <c r="G27"/>
  <c r="G28"/>
  <c r="G31"/>
  <c r="G32"/>
  <c r="G33"/>
  <c r="G35"/>
  <c r="G39"/>
  <c r="G41"/>
  <c r="G43"/>
  <c r="G44"/>
  <c r="G45"/>
  <c r="G46"/>
  <c r="G47"/>
  <c r="G48"/>
  <c r="G49"/>
  <c r="G50"/>
  <c r="G51"/>
  <c r="G52"/>
  <c r="G53"/>
  <c r="G54"/>
  <c r="G55"/>
  <c r="G56"/>
  <c r="G58"/>
  <c r="G59"/>
  <c r="G60"/>
  <c r="G61"/>
  <c r="G62"/>
  <c r="G67"/>
  <c r="G68"/>
  <c r="G69"/>
  <c r="G70"/>
  <c r="G72"/>
  <c r="G73"/>
  <c r="G74"/>
  <c r="G75"/>
  <c r="G76"/>
  <c r="G77"/>
  <c r="G78"/>
  <c r="G79"/>
  <c r="G80"/>
  <c r="G82"/>
  <c r="G84"/>
  <c r="G85"/>
  <c r="G86"/>
  <c r="G88"/>
  <c r="G91"/>
  <c r="G92"/>
  <c r="G94"/>
  <c r="G96"/>
  <c r="G97"/>
  <c r="G98"/>
  <c r="G100"/>
  <c r="G103"/>
  <c r="G107"/>
  <c r="G108"/>
  <c r="G109"/>
  <c r="G112"/>
  <c r="G113"/>
  <c r="G115"/>
  <c r="G116"/>
  <c r="G117"/>
  <c r="G121"/>
  <c r="G122"/>
  <c r="G123"/>
  <c r="G124"/>
  <c r="G125"/>
  <c r="G126"/>
  <c r="G127"/>
  <c r="G128"/>
  <c r="G129"/>
  <c r="G130"/>
  <c r="G131"/>
  <c r="G132"/>
  <c r="G134"/>
  <c r="G140"/>
  <c r="G141"/>
  <c r="G142"/>
  <c r="G144"/>
  <c r="G145"/>
  <c r="G147"/>
  <c r="G148"/>
  <c r="G151"/>
  <c r="G152"/>
  <c r="G153"/>
  <c r="G154"/>
  <c r="G155"/>
  <c r="G156"/>
  <c r="G157"/>
  <c r="G158"/>
  <c r="G159"/>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D291" i="67"/>
  <c r="D184"/>
  <c r="E143" i="68"/>
  <c r="F143"/>
  <c r="E114"/>
  <c r="F114"/>
  <c r="E87"/>
  <c r="F87"/>
  <c r="E36"/>
  <c r="F36"/>
  <c r="E81"/>
  <c r="E42"/>
  <c r="E40"/>
  <c r="F40"/>
  <c r="E29"/>
  <c r="E38"/>
  <c r="E24"/>
  <c r="E7"/>
  <c r="F7"/>
  <c r="E5"/>
  <c r="F5"/>
  <c r="E9"/>
  <c r="E15"/>
  <c r="E20"/>
  <c r="F20"/>
  <c r="E17"/>
  <c r="G114" l="1"/>
  <c r="G87"/>
  <c r="G40"/>
  <c r="G143"/>
  <c r="G20"/>
  <c r="G5"/>
  <c r="E90"/>
  <c r="E93"/>
  <c r="F105"/>
  <c r="F104"/>
  <c r="G104" s="1"/>
  <c r="E105"/>
  <c r="E104"/>
  <c r="F102"/>
  <c r="E102"/>
  <c r="G6" i="50"/>
  <c r="G8"/>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124"/>
  <c r="G125"/>
  <c r="G126"/>
  <c r="G127"/>
  <c r="G128"/>
  <c r="G129"/>
  <c r="G130"/>
  <c r="G131"/>
  <c r="G132"/>
  <c r="G133"/>
  <c r="G134"/>
  <c r="G135"/>
  <c r="G136"/>
  <c r="G137"/>
  <c r="G138"/>
  <c r="G139"/>
  <c r="G140"/>
  <c r="G141"/>
  <c r="G142"/>
  <c r="G143"/>
  <c r="G144"/>
  <c r="G145"/>
  <c r="G146"/>
  <c r="G147"/>
  <c r="G148"/>
  <c r="G149"/>
  <c r="G150"/>
  <c r="G151"/>
  <c r="G152"/>
  <c r="G153"/>
  <c r="G154"/>
  <c r="G155"/>
  <c r="G156"/>
  <c r="G157"/>
  <c r="G158"/>
  <c r="G159"/>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327"/>
  <c r="G328"/>
  <c r="G329"/>
  <c r="G330"/>
  <c r="G331"/>
  <c r="G332"/>
  <c r="G333"/>
  <c r="G334"/>
  <c r="G335"/>
  <c r="G336"/>
  <c r="G337"/>
  <c r="G338"/>
  <c r="G339"/>
  <c r="G340"/>
  <c r="G341"/>
  <c r="G342"/>
  <c r="G343"/>
  <c r="G344"/>
  <c r="G345"/>
  <c r="G346"/>
  <c r="G347"/>
  <c r="G348"/>
  <c r="G349"/>
  <c r="G350"/>
  <c r="G351"/>
  <c r="G352"/>
  <c r="G353"/>
  <c r="G354"/>
  <c r="G355"/>
  <c r="G356"/>
  <c r="G357"/>
  <c r="G358"/>
  <c r="G359"/>
  <c r="G360"/>
  <c r="G361"/>
  <c r="G362"/>
  <c r="G363"/>
  <c r="G364"/>
  <c r="G365"/>
  <c r="G366"/>
  <c r="G367"/>
  <c r="G368"/>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G426"/>
  <c r="G427"/>
  <c r="G428"/>
  <c r="G429"/>
  <c r="G430"/>
  <c r="G431"/>
  <c r="G432"/>
  <c r="G433"/>
  <c r="G434"/>
  <c r="G435"/>
  <c r="G436"/>
  <c r="G437"/>
  <c r="G438"/>
  <c r="G439"/>
  <c r="G440"/>
  <c r="G441"/>
  <c r="G442"/>
  <c r="G443"/>
  <c r="G444"/>
  <c r="G445"/>
  <c r="G446"/>
  <c r="G447"/>
  <c r="G448"/>
  <c r="G449"/>
  <c r="G450"/>
  <c r="G451"/>
  <c r="G452"/>
  <c r="G453"/>
  <c r="G454"/>
  <c r="G455"/>
  <c r="G456"/>
  <c r="G457"/>
  <c r="G458"/>
  <c r="G459"/>
  <c r="G460"/>
  <c r="G461"/>
  <c r="G462"/>
  <c r="G463"/>
  <c r="G464"/>
  <c r="G465"/>
  <c r="G466"/>
  <c r="G467"/>
  <c r="G468"/>
  <c r="G469"/>
  <c r="G470"/>
  <c r="G471"/>
  <c r="G472"/>
  <c r="G473"/>
  <c r="G474"/>
  <c r="G475"/>
  <c r="G476"/>
  <c r="G477"/>
  <c r="G478"/>
  <c r="G479"/>
  <c r="G480"/>
  <c r="G481"/>
  <c r="G482"/>
  <c r="G483"/>
  <c r="G484"/>
  <c r="G485"/>
  <c r="G486"/>
  <c r="G487"/>
  <c r="G488"/>
  <c r="G489"/>
  <c r="G490"/>
  <c r="G491"/>
  <c r="G492"/>
  <c r="G493"/>
  <c r="G494"/>
  <c r="G495"/>
  <c r="G496"/>
  <c r="G497"/>
  <c r="G498"/>
  <c r="G499"/>
  <c r="G500"/>
  <c r="G501"/>
  <c r="G502"/>
  <c r="G503"/>
  <c r="G504"/>
  <c r="G505"/>
  <c r="G506"/>
  <c r="G507"/>
  <c r="G508"/>
  <c r="G509"/>
  <c r="G510"/>
  <c r="G511"/>
  <c r="G512"/>
  <c r="G513"/>
  <c r="G514"/>
  <c r="G515"/>
  <c r="G516"/>
  <c r="G517"/>
  <c r="G518"/>
  <c r="G519"/>
  <c r="G520"/>
  <c r="G521"/>
  <c r="G522"/>
  <c r="G523"/>
  <c r="G524"/>
  <c r="G525"/>
  <c r="G526"/>
  <c r="G527"/>
  <c r="G528"/>
  <c r="G529"/>
  <c r="G530"/>
  <c r="G531"/>
  <c r="G532"/>
  <c r="G533"/>
  <c r="G534"/>
  <c r="G535"/>
  <c r="G536"/>
  <c r="G537"/>
  <c r="G538"/>
  <c r="G539"/>
  <c r="G540"/>
  <c r="G541"/>
  <c r="G542"/>
  <c r="G543"/>
  <c r="G544"/>
  <c r="G545"/>
  <c r="G546"/>
  <c r="G547"/>
  <c r="G548"/>
  <c r="G549"/>
  <c r="G550"/>
  <c r="G551"/>
  <c r="G552"/>
  <c r="G553"/>
  <c r="G554"/>
  <c r="G555"/>
  <c r="G556"/>
  <c r="G557"/>
  <c r="G558"/>
  <c r="G559"/>
  <c r="G560"/>
  <c r="G561"/>
  <c r="G562"/>
  <c r="G563"/>
  <c r="G564"/>
  <c r="G565"/>
  <c r="G566"/>
  <c r="G567"/>
  <c r="G568"/>
  <c r="G569"/>
  <c r="G570"/>
  <c r="G571"/>
  <c r="G572"/>
  <c r="G573"/>
  <c r="G574"/>
  <c r="G575"/>
  <c r="G576"/>
  <c r="G577"/>
  <c r="G578"/>
  <c r="G579"/>
  <c r="G580"/>
  <c r="G581"/>
  <c r="G582"/>
  <c r="G583"/>
  <c r="G584"/>
  <c r="G585"/>
  <c r="G586"/>
  <c r="G587"/>
  <c r="G588"/>
  <c r="G589"/>
  <c r="G590"/>
  <c r="G591"/>
  <c r="G592"/>
  <c r="G593"/>
  <c r="G594"/>
  <c r="G595"/>
  <c r="G596"/>
  <c r="G597"/>
  <c r="G598"/>
  <c r="G599"/>
  <c r="G600"/>
  <c r="G601"/>
  <c r="G602"/>
  <c r="G603"/>
  <c r="G604"/>
  <c r="G605"/>
  <c r="G606"/>
  <c r="G607"/>
  <c r="G608"/>
  <c r="G609"/>
  <c r="G610"/>
  <c r="G611"/>
  <c r="G612"/>
  <c r="G613"/>
  <c r="G614"/>
  <c r="G615"/>
  <c r="G616"/>
  <c r="G617"/>
  <c r="G618"/>
  <c r="G619"/>
  <c r="G620"/>
  <c r="G621"/>
  <c r="G622"/>
  <c r="G623"/>
  <c r="G624"/>
  <c r="G625"/>
  <c r="G626"/>
  <c r="G627"/>
  <c r="G628"/>
  <c r="G629"/>
  <c r="G630"/>
  <c r="G631"/>
  <c r="G632"/>
  <c r="G633"/>
  <c r="G634"/>
  <c r="G635"/>
  <c r="G636"/>
  <c r="G637"/>
  <c r="G638"/>
  <c r="G639"/>
  <c r="G640"/>
  <c r="G641"/>
  <c r="G642"/>
  <c r="G643"/>
  <c r="G644"/>
  <c r="G645"/>
  <c r="G646"/>
  <c r="G647"/>
  <c r="G648"/>
  <c r="G649"/>
  <c r="G650"/>
  <c r="G651"/>
  <c r="G652"/>
  <c r="G653"/>
  <c r="G654"/>
  <c r="G655"/>
  <c r="G656"/>
  <c r="G657"/>
  <c r="G658"/>
  <c r="G659"/>
  <c r="G660"/>
  <c r="G661"/>
  <c r="G662"/>
  <c r="G663"/>
  <c r="G664"/>
  <c r="G665"/>
  <c r="G666"/>
  <c r="G667"/>
  <c r="G668"/>
  <c r="G669"/>
  <c r="G670"/>
  <c r="G671"/>
  <c r="G672"/>
  <c r="G673"/>
  <c r="G674"/>
  <c r="G675"/>
  <c r="G676"/>
  <c r="G677"/>
  <c r="G678"/>
  <c r="G679"/>
  <c r="G680"/>
  <c r="G681"/>
  <c r="G682"/>
  <c r="G683"/>
  <c r="G684"/>
  <c r="G685"/>
  <c r="G686"/>
  <c r="G687"/>
  <c r="G688"/>
  <c r="G689"/>
  <c r="G690"/>
  <c r="G691"/>
  <c r="G692"/>
  <c r="G693"/>
  <c r="G694"/>
  <c r="G695"/>
  <c r="G696"/>
  <c r="G697"/>
  <c r="G698"/>
  <c r="G699"/>
  <c r="G700"/>
  <c r="G701"/>
  <c r="G702"/>
  <c r="G703"/>
  <c r="G704"/>
  <c r="G705"/>
  <c r="G706"/>
  <c r="G707"/>
  <c r="G708"/>
  <c r="G709"/>
  <c r="G710"/>
  <c r="G711"/>
  <c r="G712"/>
  <c r="G713"/>
  <c r="G714"/>
  <c r="G715"/>
  <c r="G716"/>
  <c r="G717"/>
  <c r="G718"/>
  <c r="G719"/>
  <c r="G720"/>
  <c r="G721"/>
  <c r="G722"/>
  <c r="G723"/>
  <c r="G724"/>
  <c r="G725"/>
  <c r="G726"/>
  <c r="G727"/>
  <c r="G728"/>
  <c r="G729"/>
  <c r="G730"/>
  <c r="G731"/>
  <c r="G732"/>
  <c r="G733"/>
  <c r="G734"/>
  <c r="G735"/>
  <c r="G736"/>
  <c r="G737"/>
  <c r="G738"/>
  <c r="G739"/>
  <c r="G740"/>
  <c r="G741"/>
  <c r="G742"/>
  <c r="G743"/>
  <c r="G744"/>
  <c r="G745"/>
  <c r="G746"/>
  <c r="G747"/>
  <c r="G748"/>
  <c r="G749"/>
  <c r="G750"/>
  <c r="G751"/>
  <c r="G752"/>
  <c r="G753"/>
  <c r="G754"/>
  <c r="G755"/>
  <c r="G756"/>
  <c r="G757"/>
  <c r="G758"/>
  <c r="G759"/>
  <c r="G760"/>
  <c r="G761"/>
  <c r="G762"/>
  <c r="G763"/>
  <c r="G764"/>
  <c r="G765"/>
  <c r="G766"/>
  <c r="G767"/>
  <c r="G768"/>
  <c r="G769"/>
  <c r="G770"/>
  <c r="G771"/>
  <c r="G772"/>
  <c r="G773"/>
  <c r="G774"/>
  <c r="G775"/>
  <c r="G776"/>
  <c r="G777"/>
  <c r="G778"/>
  <c r="G779"/>
  <c r="G780"/>
  <c r="G781"/>
  <c r="G782"/>
  <c r="G783"/>
  <c r="G784"/>
  <c r="G785"/>
  <c r="G786"/>
  <c r="G787"/>
  <c r="G788"/>
  <c r="G789"/>
  <c r="G790"/>
  <c r="G791"/>
  <c r="G792"/>
  <c r="G793"/>
  <c r="G794"/>
  <c r="G795"/>
  <c r="G796"/>
  <c r="G797"/>
  <c r="G798"/>
  <c r="G799"/>
  <c r="G800"/>
  <c r="G801"/>
  <c r="G802"/>
  <c r="G803"/>
  <c r="G804"/>
  <c r="G805"/>
  <c r="G806"/>
  <c r="G807"/>
  <c r="G808"/>
  <c r="G809"/>
  <c r="G810"/>
  <c r="G811"/>
  <c r="G812"/>
  <c r="G813"/>
  <c r="G814"/>
  <c r="G815"/>
  <c r="G816"/>
  <c r="G817"/>
  <c r="G818"/>
  <c r="G819"/>
  <c r="G820"/>
  <c r="G821"/>
  <c r="G822"/>
  <c r="G823"/>
  <c r="G824"/>
  <c r="G825"/>
  <c r="G826"/>
  <c r="G827"/>
  <c r="G828"/>
  <c r="G829"/>
  <c r="G830"/>
  <c r="G831"/>
  <c r="G832"/>
  <c r="G833"/>
  <c r="G834"/>
  <c r="G835"/>
  <c r="G836"/>
  <c r="G837"/>
  <c r="G838"/>
  <c r="G839"/>
  <c r="G840"/>
  <c r="G841"/>
  <c r="G842"/>
  <c r="G843"/>
  <c r="G844"/>
  <c r="G845"/>
  <c r="G846"/>
  <c r="G847"/>
  <c r="G848"/>
  <c r="G849"/>
  <c r="G850"/>
  <c r="G851"/>
  <c r="G852"/>
  <c r="G853"/>
  <c r="G854"/>
  <c r="G855"/>
  <c r="G856"/>
  <c r="G857"/>
  <c r="G858"/>
  <c r="G859"/>
  <c r="G860"/>
  <c r="G861"/>
  <c r="G862"/>
  <c r="G863"/>
  <c r="G864"/>
  <c r="G865"/>
  <c r="G866"/>
  <c r="G867"/>
  <c r="G868"/>
  <c r="G869"/>
  <c r="G870"/>
  <c r="G871"/>
  <c r="G872"/>
  <c r="G873"/>
  <c r="G874"/>
  <c r="G875"/>
  <c r="G876"/>
  <c r="G877"/>
  <c r="G878"/>
  <c r="G879"/>
  <c r="G880"/>
  <c r="G881"/>
  <c r="G882"/>
  <c r="G883"/>
  <c r="G884"/>
  <c r="G885"/>
  <c r="G886"/>
  <c r="G887"/>
  <c r="G888"/>
  <c r="G889"/>
  <c r="G890"/>
  <c r="G891"/>
  <c r="G892"/>
  <c r="G893"/>
  <c r="G894"/>
  <c r="G895"/>
  <c r="G896"/>
  <c r="G897"/>
  <c r="G898"/>
  <c r="G899"/>
  <c r="G900"/>
  <c r="G901"/>
  <c r="G902"/>
  <c r="G903"/>
  <c r="G904"/>
  <c r="G905"/>
  <c r="G906"/>
  <c r="G907"/>
  <c r="G908"/>
  <c r="G909"/>
  <c r="G910"/>
  <c r="G911"/>
  <c r="G912"/>
  <c r="G913"/>
  <c r="G914"/>
  <c r="G915"/>
  <c r="G916"/>
  <c r="G917"/>
  <c r="G918"/>
  <c r="G919"/>
  <c r="G920"/>
  <c r="G921"/>
  <c r="G922"/>
  <c r="G923"/>
  <c r="G924"/>
  <c r="G925"/>
  <c r="G926"/>
  <c r="G927"/>
  <c r="G928"/>
  <c r="G929"/>
  <c r="G930"/>
  <c r="G931"/>
  <c r="G932"/>
  <c r="G933"/>
  <c r="G934"/>
  <c r="G935"/>
  <c r="G936"/>
  <c r="G937"/>
  <c r="G938"/>
  <c r="G939"/>
  <c r="G940"/>
  <c r="G941"/>
  <c r="G942"/>
  <c r="G943"/>
  <c r="G944"/>
  <c r="G945"/>
  <c r="G946"/>
  <c r="G947"/>
  <c r="G948"/>
  <c r="G949"/>
  <c r="G950"/>
  <c r="G951"/>
  <c r="G952"/>
  <c r="G953"/>
  <c r="G954"/>
  <c r="G955"/>
  <c r="G956"/>
  <c r="G957"/>
  <c r="G958"/>
  <c r="G959"/>
  <c r="G960"/>
  <c r="G961"/>
  <c r="G962"/>
  <c r="G963"/>
  <c r="G964"/>
  <c r="G965"/>
  <c r="G966"/>
  <c r="G967"/>
  <c r="G968"/>
  <c r="G969"/>
  <c r="G970"/>
  <c r="G971"/>
  <c r="G972"/>
  <c r="G973"/>
  <c r="G974"/>
  <c r="G975"/>
  <c r="G976"/>
  <c r="G977"/>
  <c r="G978"/>
  <c r="G979"/>
  <c r="G980"/>
  <c r="G981"/>
  <c r="G982"/>
  <c r="G983"/>
  <c r="G984"/>
  <c r="G985"/>
  <c r="G986"/>
  <c r="G987"/>
  <c r="G988"/>
  <c r="G989"/>
  <c r="G990"/>
  <c r="G991"/>
  <c r="G992"/>
  <c r="G993"/>
  <c r="G994"/>
  <c r="G995"/>
  <c r="G996"/>
  <c r="G997"/>
  <c r="G998"/>
  <c r="G999"/>
  <c r="G1000"/>
  <c r="G1001"/>
  <c r="G1002"/>
  <c r="G1003"/>
  <c r="G1004"/>
  <c r="G1005"/>
  <c r="G1006"/>
  <c r="G1007"/>
  <c r="G1008"/>
  <c r="G1009"/>
  <c r="G1010"/>
  <c r="G1011"/>
  <c r="G1012"/>
  <c r="G1013"/>
  <c r="G1014"/>
  <c r="G1015"/>
  <c r="G1016"/>
  <c r="G1017"/>
  <c r="G1018"/>
  <c r="G1019"/>
  <c r="G1020"/>
  <c r="G1021"/>
  <c r="G1022"/>
  <c r="G1023"/>
  <c r="G1024"/>
  <c r="G1025"/>
  <c r="G1026"/>
  <c r="G1027"/>
  <c r="G1028"/>
  <c r="G1029"/>
  <c r="G1030"/>
  <c r="G1031"/>
  <c r="G1032"/>
  <c r="G1033"/>
  <c r="G1034"/>
  <c r="G1035"/>
  <c r="G1036"/>
  <c r="G1037"/>
  <c r="G1038"/>
  <c r="G1039"/>
  <c r="G1040"/>
  <c r="G1041"/>
  <c r="G1042"/>
  <c r="G1043"/>
  <c r="G1044"/>
  <c r="G1045"/>
  <c r="G1046"/>
  <c r="G1047"/>
  <c r="G1048"/>
  <c r="G1049"/>
  <c r="G1050"/>
  <c r="G1051"/>
  <c r="G1052"/>
  <c r="G1053"/>
  <c r="G1054"/>
  <c r="G1055"/>
  <c r="G1056"/>
  <c r="G1057"/>
  <c r="G1058"/>
  <c r="G1059"/>
  <c r="G1060"/>
  <c r="G1061"/>
  <c r="G1062"/>
  <c r="G1063"/>
  <c r="G1064"/>
  <c r="G1065"/>
  <c r="G1066"/>
  <c r="G1067"/>
  <c r="G1068"/>
  <c r="G1069"/>
  <c r="G1070"/>
  <c r="G1071"/>
  <c r="G1072"/>
  <c r="G1073"/>
  <c r="G1074"/>
  <c r="G1075"/>
  <c r="G1076"/>
  <c r="G1077"/>
  <c r="G1078"/>
  <c r="G1079"/>
  <c r="G1080"/>
  <c r="G1081"/>
  <c r="G1082"/>
  <c r="G1083"/>
  <c r="G1084"/>
  <c r="G1085"/>
  <c r="G1086"/>
  <c r="G1087"/>
  <c r="G1088"/>
  <c r="G1089"/>
  <c r="G1090"/>
  <c r="G1091"/>
  <c r="G1092"/>
  <c r="G1093"/>
  <c r="G1094"/>
  <c r="G1095"/>
  <c r="G1096"/>
  <c r="G1097"/>
  <c r="G1098"/>
  <c r="G1099"/>
  <c r="G1100"/>
  <c r="G1101"/>
  <c r="G1102"/>
  <c r="G1103"/>
  <c r="G1104"/>
  <c r="G1105"/>
  <c r="G1106"/>
  <c r="G1107"/>
  <c r="G1108"/>
  <c r="G1109"/>
  <c r="G1110"/>
  <c r="G1111"/>
  <c r="G1112"/>
  <c r="G1113"/>
  <c r="G1114"/>
  <c r="G1115"/>
  <c r="G1116"/>
  <c r="G1117"/>
  <c r="G1118"/>
  <c r="G1119"/>
  <c r="G1120"/>
  <c r="G1121"/>
  <c r="G1122"/>
  <c r="G1123"/>
  <c r="G1124"/>
  <c r="G1125"/>
  <c r="G1126"/>
  <c r="G1127"/>
  <c r="G1128"/>
  <c r="G1129"/>
  <c r="G1130"/>
  <c r="G1131"/>
  <c r="G1132"/>
  <c r="G1133"/>
  <c r="G1134"/>
  <c r="G1135"/>
  <c r="G1136"/>
  <c r="G1137"/>
  <c r="G1138"/>
  <c r="G1139"/>
  <c r="G1140"/>
  <c r="G1141"/>
  <c r="G1142"/>
  <c r="G1143"/>
  <c r="G1144"/>
  <c r="G1145"/>
  <c r="G1146"/>
  <c r="G1147"/>
  <c r="G1148"/>
  <c r="G1149"/>
  <c r="G1150"/>
  <c r="G1151"/>
  <c r="G1152"/>
  <c r="G1153"/>
  <c r="G1154"/>
  <c r="G1155"/>
  <c r="G1156"/>
  <c r="G1157"/>
  <c r="G1158"/>
  <c r="G1159"/>
  <c r="G1160"/>
  <c r="G1161"/>
  <c r="G1162"/>
  <c r="G1163"/>
  <c r="G1164"/>
  <c r="G1165"/>
  <c r="G1166"/>
  <c r="G1167"/>
  <c r="G1168"/>
  <c r="G1169"/>
  <c r="G1170"/>
  <c r="G1171"/>
  <c r="G1172"/>
  <c r="G1173"/>
  <c r="G1174"/>
  <c r="G1175"/>
  <c r="G1176"/>
  <c r="G1177"/>
  <c r="G1178"/>
  <c r="G7"/>
  <c r="I7" i="4"/>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1"/>
  <c r="H252"/>
  <c r="H253"/>
  <c r="H254"/>
  <c r="H255"/>
  <c r="H256"/>
  <c r="H257"/>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48"/>
  <c r="H349"/>
  <c r="H350"/>
  <c r="H351"/>
  <c r="H352"/>
  <c r="H353"/>
  <c r="H354"/>
  <c r="H355"/>
  <c r="H356"/>
  <c r="H357"/>
  <c r="H358"/>
  <c r="H359"/>
  <c r="H360"/>
  <c r="H361"/>
  <c r="H362"/>
  <c r="H363"/>
  <c r="H364"/>
  <c r="H365"/>
  <c r="H366"/>
  <c r="H367"/>
  <c r="H368"/>
  <c r="H369"/>
  <c r="H370"/>
  <c r="H371"/>
  <c r="H372"/>
  <c r="H373"/>
  <c r="H374"/>
  <c r="H375"/>
  <c r="H376"/>
  <c r="H377"/>
  <c r="H378"/>
  <c r="H379"/>
  <c r="H380"/>
  <c r="H381"/>
  <c r="H382"/>
  <c r="H383"/>
  <c r="H384"/>
  <c r="H385"/>
  <c r="H386"/>
  <c r="H387"/>
  <c r="H388"/>
  <c r="H389"/>
  <c r="H390"/>
  <c r="H391"/>
  <c r="H392"/>
  <c r="H393"/>
  <c r="H394"/>
  <c r="H395"/>
  <c r="H396"/>
  <c r="H397"/>
  <c r="H398"/>
  <c r="H399"/>
  <c r="H400"/>
  <c r="H401"/>
  <c r="H402"/>
  <c r="H403"/>
  <c r="H404"/>
  <c r="H405"/>
  <c r="H406"/>
  <c r="H407"/>
  <c r="H408"/>
  <c r="H409"/>
  <c r="H410"/>
  <c r="H411"/>
  <c r="H412"/>
  <c r="H413"/>
  <c r="H414"/>
  <c r="H415"/>
  <c r="H416"/>
  <c r="H417"/>
  <c r="H418"/>
  <c r="H419"/>
  <c r="H420"/>
  <c r="H421"/>
  <c r="H422"/>
  <c r="H423"/>
  <c r="H424"/>
  <c r="H425"/>
  <c r="H426"/>
  <c r="H427"/>
  <c r="H428"/>
  <c r="H429"/>
  <c r="H430"/>
  <c r="H431"/>
  <c r="H432"/>
  <c r="H433"/>
  <c r="H434"/>
  <c r="H435"/>
  <c r="H436"/>
  <c r="H437"/>
  <c r="H438"/>
  <c r="H439"/>
  <c r="H440"/>
  <c r="H441"/>
  <c r="H442"/>
  <c r="H443"/>
  <c r="H444"/>
  <c r="H445"/>
  <c r="H446"/>
  <c r="H447"/>
  <c r="H448"/>
  <c r="H449"/>
  <c r="H450"/>
  <c r="H451"/>
  <c r="H452"/>
  <c r="H453"/>
  <c r="H454"/>
  <c r="H455"/>
  <c r="H456"/>
  <c r="H457"/>
  <c r="H458"/>
  <c r="H459"/>
  <c r="H460"/>
  <c r="H461"/>
  <c r="H462"/>
  <c r="H463"/>
  <c r="H464"/>
  <c r="H465"/>
  <c r="H466"/>
  <c r="H467"/>
  <c r="H468"/>
  <c r="H469"/>
  <c r="H470"/>
  <c r="H471"/>
  <c r="H472"/>
  <c r="H473"/>
  <c r="H474"/>
  <c r="H475"/>
  <c r="H476"/>
  <c r="H477"/>
  <c r="H478"/>
  <c r="H479"/>
  <c r="H480"/>
  <c r="H481"/>
  <c r="H482"/>
  <c r="H483"/>
  <c r="H484"/>
  <c r="H485"/>
  <c r="H486"/>
  <c r="H487"/>
  <c r="H488"/>
  <c r="H489"/>
  <c r="H490"/>
  <c r="H491"/>
  <c r="H492"/>
  <c r="H493"/>
  <c r="H494"/>
  <c r="H495"/>
  <c r="H496"/>
  <c r="H497"/>
  <c r="H498"/>
  <c r="H499"/>
  <c r="H500"/>
  <c r="H501"/>
  <c r="H502"/>
  <c r="H503"/>
  <c r="H504"/>
  <c r="H505"/>
  <c r="H506"/>
  <c r="H507"/>
  <c r="H508"/>
  <c r="H509"/>
  <c r="H510"/>
  <c r="H511"/>
  <c r="H512"/>
  <c r="H513"/>
  <c r="H514"/>
  <c r="H515"/>
  <c r="H516"/>
  <c r="H517"/>
  <c r="H518"/>
  <c r="H519"/>
  <c r="H520"/>
  <c r="H521"/>
  <c r="H522"/>
  <c r="H523"/>
  <c r="H524"/>
  <c r="H525"/>
  <c r="H526"/>
  <c r="H527"/>
  <c r="H528"/>
  <c r="H529"/>
  <c r="H530"/>
  <c r="H531"/>
  <c r="H532"/>
  <c r="H533"/>
  <c r="H534"/>
  <c r="H535"/>
  <c r="H536"/>
  <c r="H537"/>
  <c r="H538"/>
  <c r="H539"/>
  <c r="H540"/>
  <c r="H541"/>
  <c r="H542"/>
  <c r="H543"/>
  <c r="H544"/>
  <c r="H545"/>
  <c r="H546"/>
  <c r="H547"/>
  <c r="H548"/>
  <c r="H549"/>
  <c r="H550"/>
  <c r="H551"/>
  <c r="H552"/>
  <c r="H553"/>
  <c r="H554"/>
  <c r="H555"/>
  <c r="H556"/>
  <c r="H557"/>
  <c r="H558"/>
  <c r="H559"/>
  <c r="H560"/>
  <c r="H561"/>
  <c r="H562"/>
  <c r="H563"/>
  <c r="H564"/>
  <c r="H565"/>
  <c r="H566"/>
  <c r="H567"/>
  <c r="H568"/>
  <c r="H569"/>
  <c r="H570"/>
  <c r="H571"/>
  <c r="H572"/>
  <c r="H573"/>
  <c r="H574"/>
  <c r="H575"/>
  <c r="H576"/>
  <c r="H577"/>
  <c r="H578"/>
  <c r="H579"/>
  <c r="H580"/>
  <c r="H581"/>
  <c r="H582"/>
  <c r="H583"/>
  <c r="H584"/>
  <c r="H585"/>
  <c r="H586"/>
  <c r="H587"/>
  <c r="H588"/>
  <c r="H589"/>
  <c r="H590"/>
  <c r="H591"/>
  <c r="H592"/>
  <c r="H593"/>
  <c r="H594"/>
  <c r="H595"/>
  <c r="H596"/>
  <c r="H597"/>
  <c r="H598"/>
  <c r="H599"/>
  <c r="H600"/>
  <c r="H601"/>
  <c r="H602"/>
  <c r="H603"/>
  <c r="H604"/>
  <c r="H605"/>
  <c r="H606"/>
  <c r="H607"/>
  <c r="H608"/>
  <c r="H609"/>
  <c r="H610"/>
  <c r="H611"/>
  <c r="H612"/>
  <c r="H613"/>
  <c r="H614"/>
  <c r="H615"/>
  <c r="H616"/>
  <c r="H617"/>
  <c r="H618"/>
  <c r="H619"/>
  <c r="H620"/>
  <c r="H621"/>
  <c r="H622"/>
  <c r="H623"/>
  <c r="H624"/>
  <c r="H625"/>
  <c r="H626"/>
  <c r="H627"/>
  <c r="H628"/>
  <c r="H629"/>
  <c r="H630"/>
  <c r="H631"/>
  <c r="H632"/>
  <c r="H633"/>
  <c r="H634"/>
  <c r="H635"/>
  <c r="H636"/>
  <c r="H637"/>
  <c r="H638"/>
  <c r="H639"/>
  <c r="H640"/>
  <c r="H641"/>
  <c r="H642"/>
  <c r="H643"/>
  <c r="H644"/>
  <c r="H645"/>
  <c r="H646"/>
  <c r="H647"/>
  <c r="H648"/>
  <c r="H649"/>
  <c r="H650"/>
  <c r="H651"/>
  <c r="H652"/>
  <c r="H653"/>
  <c r="H654"/>
  <c r="H655"/>
  <c r="H656"/>
  <c r="H657"/>
  <c r="H658"/>
  <c r="H659"/>
  <c r="H660"/>
  <c r="H661"/>
  <c r="H662"/>
  <c r="H663"/>
  <c r="H664"/>
  <c r="H665"/>
  <c r="H666"/>
  <c r="H667"/>
  <c r="H668"/>
  <c r="H669"/>
  <c r="H670"/>
  <c r="H671"/>
  <c r="H672"/>
  <c r="H673"/>
  <c r="H674"/>
  <c r="H675"/>
  <c r="H676"/>
  <c r="H677"/>
  <c r="H678"/>
  <c r="H679"/>
  <c r="H680"/>
  <c r="H681"/>
  <c r="H682"/>
  <c r="H683"/>
  <c r="H684"/>
  <c r="H685"/>
  <c r="H686"/>
  <c r="H687"/>
  <c r="H688"/>
  <c r="H689"/>
  <c r="H690"/>
  <c r="H691"/>
  <c r="H692"/>
  <c r="H693"/>
  <c r="H694"/>
  <c r="H695"/>
  <c r="H696"/>
  <c r="H697"/>
  <c r="H698"/>
  <c r="H699"/>
  <c r="H700"/>
  <c r="H701"/>
  <c r="H702"/>
  <c r="H703"/>
  <c r="H704"/>
  <c r="H705"/>
  <c r="H706"/>
  <c r="H707"/>
  <c r="H708"/>
  <c r="H709"/>
  <c r="H710"/>
  <c r="H711"/>
  <c r="H712"/>
  <c r="H713"/>
  <c r="H714"/>
  <c r="H715"/>
  <c r="H716"/>
  <c r="H717"/>
  <c r="H718"/>
  <c r="H719"/>
  <c r="H720"/>
  <c r="H721"/>
  <c r="H722"/>
  <c r="H723"/>
  <c r="H724"/>
  <c r="H725"/>
  <c r="H726"/>
  <c r="H727"/>
  <c r="H728"/>
  <c r="H729"/>
  <c r="H730"/>
  <c r="H731"/>
  <c r="H732"/>
  <c r="H733"/>
  <c r="H734"/>
  <c r="H735"/>
  <c r="H736"/>
  <c r="H737"/>
  <c r="H738"/>
  <c r="H739"/>
  <c r="H740"/>
  <c r="H741"/>
  <c r="H742"/>
  <c r="H743"/>
  <c r="H744"/>
  <c r="H745"/>
  <c r="H746"/>
  <c r="H747"/>
  <c r="H748"/>
  <c r="H749"/>
  <c r="H750"/>
  <c r="H751"/>
  <c r="H752"/>
  <c r="H753"/>
  <c r="H754"/>
  <c r="H755"/>
  <c r="H756"/>
  <c r="H757"/>
  <c r="H758"/>
  <c r="H759"/>
  <c r="H760"/>
  <c r="H761"/>
  <c r="H762"/>
  <c r="H763"/>
  <c r="H764"/>
  <c r="H765"/>
  <c r="H766"/>
  <c r="H767"/>
  <c r="H768"/>
  <c r="H769"/>
  <c r="H770"/>
  <c r="H771"/>
  <c r="H772"/>
  <c r="H773"/>
  <c r="H774"/>
  <c r="H775"/>
  <c r="H776"/>
  <c r="H777"/>
  <c r="H778"/>
  <c r="H779"/>
  <c r="H780"/>
  <c r="H781"/>
  <c r="H782"/>
  <c r="H783"/>
  <c r="H784"/>
  <c r="H785"/>
  <c r="H786"/>
  <c r="H787"/>
  <c r="H788"/>
  <c r="H789"/>
  <c r="H790"/>
  <c r="H791"/>
  <c r="H792"/>
  <c r="H793"/>
  <c r="H794"/>
  <c r="H795"/>
  <c r="H796"/>
  <c r="H797"/>
  <c r="H798"/>
  <c r="H799"/>
  <c r="H800"/>
  <c r="H801"/>
  <c r="H802"/>
  <c r="H803"/>
  <c r="H804"/>
  <c r="H805"/>
  <c r="H806"/>
  <c r="H807"/>
  <c r="H808"/>
  <c r="H809"/>
  <c r="H810"/>
  <c r="H811"/>
  <c r="H812"/>
  <c r="H813"/>
  <c r="H814"/>
  <c r="H815"/>
  <c r="H816"/>
  <c r="H817"/>
  <c r="H818"/>
  <c r="H819"/>
  <c r="H820"/>
  <c r="H821"/>
  <c r="H822"/>
  <c r="H823"/>
  <c r="H824"/>
  <c r="H825"/>
  <c r="H826"/>
  <c r="H827"/>
  <c r="H828"/>
  <c r="H829"/>
  <c r="H830"/>
  <c r="H831"/>
  <c r="H832"/>
  <c r="H833"/>
  <c r="H834"/>
  <c r="H835"/>
  <c r="H836"/>
  <c r="H837"/>
  <c r="H838"/>
  <c r="H839"/>
  <c r="H840"/>
  <c r="H841"/>
  <c r="H6"/>
  <c r="E106" i="68"/>
  <c r="E138"/>
  <c r="G138" s="1"/>
  <c r="E137"/>
  <c r="G137" s="1"/>
  <c r="E111"/>
  <c r="G102" l="1"/>
  <c r="G105"/>
  <c r="E95"/>
  <c r="F95"/>
  <c r="E136"/>
  <c r="F146"/>
  <c r="E150"/>
  <c r="G150" s="1"/>
  <c r="E149"/>
  <c r="G149" s="1"/>
  <c r="G95" l="1"/>
  <c r="E146"/>
  <c r="E210" s="1"/>
  <c r="G146" l="1"/>
  <c r="D6" i="64"/>
  <c r="D7"/>
  <c r="D8"/>
  <c r="D9"/>
  <c r="D10"/>
  <c r="D11"/>
  <c r="D12"/>
  <c r="D13"/>
  <c r="C5"/>
  <c r="E6" i="61"/>
  <c r="E7"/>
  <c r="E8"/>
  <c r="E10"/>
  <c r="E11"/>
  <c r="E13"/>
  <c r="E14"/>
  <c r="E15"/>
  <c r="E16"/>
  <c r="E17"/>
  <c r="E18"/>
  <c r="E19"/>
  <c r="E22"/>
  <c r="E23"/>
  <c r="F42" i="24"/>
  <c r="F39"/>
  <c r="F38"/>
  <c r="F36"/>
  <c r="F34"/>
  <c r="F33"/>
  <c r="F29"/>
  <c r="D28"/>
  <c r="C46"/>
  <c r="C47"/>
  <c r="C48"/>
  <c r="C49"/>
  <c r="C50"/>
  <c r="C51"/>
  <c r="C52"/>
  <c r="C53"/>
  <c r="C54"/>
  <c r="C55"/>
  <c r="C56"/>
  <c r="C57"/>
  <c r="C58"/>
  <c r="C59"/>
  <c r="C60"/>
  <c r="C61"/>
  <c r="C62"/>
  <c r="C45"/>
  <c r="F6" i="26"/>
  <c r="F10"/>
  <c r="D8" i="66"/>
  <c r="D9"/>
  <c r="D10"/>
  <c r="D11"/>
  <c r="D12"/>
  <c r="D13"/>
  <c r="D14"/>
  <c r="D15"/>
  <c r="D16"/>
  <c r="D17"/>
  <c r="D18"/>
  <c r="D19"/>
  <c r="D20"/>
  <c r="D21"/>
  <c r="D22"/>
  <c r="D23"/>
  <c r="D24"/>
  <c r="D25"/>
  <c r="D7"/>
  <c r="C6"/>
  <c r="D7" i="65"/>
  <c r="D8"/>
  <c r="C5"/>
  <c r="D7" i="63"/>
  <c r="D8"/>
  <c r="D9"/>
  <c r="D10"/>
  <c r="D11"/>
  <c r="D6"/>
  <c r="C5"/>
  <c r="D8" i="62"/>
  <c r="D9"/>
  <c r="D10"/>
  <c r="D11"/>
  <c r="D12"/>
  <c r="D13"/>
  <c r="D14"/>
  <c r="D15"/>
  <c r="D16"/>
  <c r="D17"/>
  <c r="D18"/>
  <c r="D19"/>
  <c r="D20"/>
  <c r="D21"/>
  <c r="D22"/>
  <c r="D23"/>
  <c r="D24"/>
  <c r="D7"/>
  <c r="C6"/>
  <c r="D7" i="60"/>
  <c r="D8"/>
  <c r="D9"/>
  <c r="D10"/>
  <c r="D11"/>
  <c r="D12"/>
  <c r="D14"/>
  <c r="D15"/>
  <c r="D16"/>
  <c r="D17"/>
  <c r="B5"/>
  <c r="B13"/>
  <c r="D13" s="1"/>
  <c r="B8"/>
  <c r="B6"/>
  <c r="D6" s="1"/>
  <c r="D7" i="58"/>
  <c r="D8"/>
  <c r="D10"/>
  <c r="D12"/>
  <c r="D13"/>
  <c r="D14"/>
  <c r="D15"/>
  <c r="D16"/>
  <c r="D17"/>
  <c r="D19"/>
  <c r="D21"/>
  <c r="D22"/>
  <c r="D23"/>
  <c r="D6"/>
  <c r="C5"/>
  <c r="B6" i="59"/>
  <c r="D7" i="52"/>
  <c r="D8"/>
  <c r="D6"/>
  <c r="C5" i="12"/>
  <c r="E7" i="35"/>
  <c r="E8"/>
  <c r="E9"/>
  <c r="E10"/>
  <c r="E11"/>
  <c r="E12"/>
  <c r="E13"/>
  <c r="E14"/>
  <c r="E15"/>
  <c r="E16"/>
  <c r="E17"/>
  <c r="E18"/>
  <c r="E19"/>
  <c r="E20"/>
  <c r="E21"/>
  <c r="E22"/>
  <c r="E23"/>
  <c r="E6"/>
  <c r="D8" i="18"/>
  <c r="D9"/>
  <c r="D10"/>
  <c r="D11"/>
  <c r="D12"/>
  <c r="D13"/>
  <c r="D14"/>
  <c r="D6"/>
  <c r="D42" i="6" l="1"/>
  <c r="D43"/>
  <c r="D44"/>
  <c r="D45"/>
  <c r="D46"/>
  <c r="D47"/>
  <c r="D48"/>
  <c r="D50"/>
  <c r="D51"/>
  <c r="D53"/>
  <c r="D54"/>
  <c r="D55"/>
  <c r="D56"/>
  <c r="D41"/>
  <c r="C42" l="1"/>
  <c r="C43"/>
  <c r="C44"/>
  <c r="C45"/>
  <c r="C46"/>
  <c r="C47"/>
  <c r="C48"/>
  <c r="C49"/>
  <c r="C50"/>
  <c r="C51"/>
  <c r="C52"/>
  <c r="C53"/>
  <c r="C54"/>
  <c r="C55"/>
  <c r="C56"/>
  <c r="C41"/>
  <c r="D8" i="53"/>
  <c r="D11"/>
  <c r="D13"/>
  <c r="D15"/>
  <c r="C5"/>
  <c r="F32" i="67"/>
  <c r="F88"/>
  <c r="F89"/>
  <c r="F94"/>
  <c r="F95"/>
  <c r="F96"/>
  <c r="F97"/>
  <c r="F98"/>
  <c r="F99"/>
  <c r="F100"/>
  <c r="F101"/>
  <c r="F102"/>
  <c r="F103"/>
  <c r="F104"/>
  <c r="F108"/>
  <c r="F109"/>
  <c r="F110"/>
  <c r="F111"/>
  <c r="F112"/>
  <c r="F113"/>
  <c r="F114"/>
  <c r="F115"/>
  <c r="F116"/>
  <c r="F117"/>
  <c r="F118"/>
  <c r="F119"/>
  <c r="F120"/>
  <c r="F121"/>
  <c r="F122"/>
  <c r="F123"/>
  <c r="F124"/>
  <c r="F125"/>
  <c r="F126"/>
  <c r="F127"/>
  <c r="F128"/>
  <c r="F129"/>
  <c r="F131"/>
  <c r="F132"/>
  <c r="F133"/>
  <c r="F134"/>
  <c r="F135"/>
  <c r="F136"/>
  <c r="F137"/>
  <c r="F138"/>
  <c r="F141"/>
  <c r="F142"/>
  <c r="F144"/>
  <c r="F145"/>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5"/>
  <c r="F186"/>
  <c r="F187"/>
  <c r="F188"/>
  <c r="F189"/>
  <c r="F192"/>
  <c r="F193"/>
  <c r="F194"/>
  <c r="F195"/>
  <c r="F196"/>
  <c r="F197"/>
  <c r="F198"/>
  <c r="F199"/>
  <c r="F200"/>
  <c r="F201"/>
  <c r="F202"/>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8"/>
  <c r="F289"/>
  <c r="F290"/>
  <c r="F291"/>
  <c r="F292"/>
  <c r="F293"/>
  <c r="F294"/>
  <c r="F295"/>
  <c r="F296"/>
  <c r="F297"/>
  <c r="F298"/>
  <c r="F300"/>
  <c r="F301"/>
  <c r="E291"/>
  <c r="E287"/>
  <c r="E300"/>
  <c r="E285"/>
  <c r="E284" s="1"/>
  <c r="E280"/>
  <c r="E278"/>
  <c r="E277" s="1"/>
  <c r="E274"/>
  <c r="E273" s="1"/>
  <c r="E269"/>
  <c r="E267"/>
  <c r="E247"/>
  <c r="E217"/>
  <c r="D294"/>
  <c r="D269"/>
  <c r="D267"/>
  <c r="D300"/>
  <c r="E288"/>
  <c r="D280"/>
  <c r="D288"/>
  <c r="D285"/>
  <c r="D284" s="1"/>
  <c r="D274"/>
  <c r="D273" s="1"/>
  <c r="E248"/>
  <c r="D248"/>
  <c r="D247" s="1"/>
  <c r="D210"/>
  <c r="D211"/>
  <c r="D218"/>
  <c r="D217" s="1"/>
  <c r="E207"/>
  <c r="D207"/>
  <c r="D144"/>
  <c r="D140"/>
  <c r="F140" s="1"/>
  <c r="D136"/>
  <c r="D135" s="1"/>
  <c r="D134" s="1"/>
  <c r="D132"/>
  <c r="D131" s="1"/>
  <c r="F184"/>
  <c r="D127"/>
  <c r="D126"/>
  <c r="D13"/>
  <c r="D12" s="1"/>
  <c r="D11" s="1"/>
  <c r="F17"/>
  <c r="F8" i="3"/>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7"/>
  <c r="E144" i="67"/>
  <c r="D114"/>
  <c r="E114"/>
  <c r="E106"/>
  <c r="E105" s="1"/>
  <c r="D106"/>
  <c r="D105" s="1"/>
  <c r="F81"/>
  <c r="E80"/>
  <c r="D80"/>
  <c r="E47"/>
  <c r="E42" s="1"/>
  <c r="E13"/>
  <c r="D278"/>
  <c r="E218"/>
  <c r="E205"/>
  <c r="D205"/>
  <c r="D192"/>
  <c r="E192"/>
  <c r="E190"/>
  <c r="D190"/>
  <c r="E184"/>
  <c r="E182"/>
  <c r="D182"/>
  <c r="E179"/>
  <c r="D179"/>
  <c r="E177"/>
  <c r="D177"/>
  <c r="E175"/>
  <c r="D175"/>
  <c r="E172"/>
  <c r="D172"/>
  <c r="E170"/>
  <c r="D170"/>
  <c r="E168"/>
  <c r="D168"/>
  <c r="E166"/>
  <c r="D166"/>
  <c r="E164"/>
  <c r="D164"/>
  <c r="E162"/>
  <c r="D162"/>
  <c r="E160"/>
  <c r="D160"/>
  <c r="E158"/>
  <c r="D158"/>
  <c r="E156"/>
  <c r="D156"/>
  <c r="E154"/>
  <c r="D154"/>
  <c r="E152"/>
  <c r="D152"/>
  <c r="E150"/>
  <c r="D150"/>
  <c r="E147"/>
  <c r="D147"/>
  <c r="E140"/>
  <c r="E136"/>
  <c r="E132"/>
  <c r="E131" s="1"/>
  <c r="E128"/>
  <c r="D128"/>
  <c r="E124"/>
  <c r="E121"/>
  <c r="D121"/>
  <c r="E119"/>
  <c r="D119"/>
  <c r="E117"/>
  <c r="D117"/>
  <c r="E111"/>
  <c r="D111"/>
  <c r="E109"/>
  <c r="D109"/>
  <c r="D108" s="1"/>
  <c r="E100"/>
  <c r="D100"/>
  <c r="D99" s="1"/>
  <c r="E95"/>
  <c r="E94" s="1"/>
  <c r="D95"/>
  <c r="E90"/>
  <c r="D90"/>
  <c r="F87"/>
  <c r="F86"/>
  <c r="E85"/>
  <c r="D85"/>
  <c r="D84" s="1"/>
  <c r="F79"/>
  <c r="E78"/>
  <c r="E77" s="1"/>
  <c r="D78"/>
  <c r="F75"/>
  <c r="F74"/>
  <c r="F73"/>
  <c r="E72"/>
  <c r="D72"/>
  <c r="F71"/>
  <c r="F70"/>
  <c r="F69"/>
  <c r="E68"/>
  <c r="D68"/>
  <c r="F65"/>
  <c r="E64"/>
  <c r="D64"/>
  <c r="D63" s="1"/>
  <c r="F60"/>
  <c r="E59"/>
  <c r="E58" s="1"/>
  <c r="D59"/>
  <c r="E56"/>
  <c r="D56"/>
  <c r="F55"/>
  <c r="F54"/>
  <c r="E53"/>
  <c r="D53"/>
  <c r="D47"/>
  <c r="D42" s="1"/>
  <c r="D41" s="1"/>
  <c r="F46"/>
  <c r="F45"/>
  <c r="F44"/>
  <c r="F43"/>
  <c r="F39"/>
  <c r="F38"/>
  <c r="F37"/>
  <c r="F36"/>
  <c r="E35"/>
  <c r="D35"/>
  <c r="F34"/>
  <c r="E33"/>
  <c r="D33"/>
  <c r="F31"/>
  <c r="F30"/>
  <c r="F29"/>
  <c r="E28"/>
  <c r="D28"/>
  <c r="F27"/>
  <c r="F26"/>
  <c r="F25"/>
  <c r="E24"/>
  <c r="D24"/>
  <c r="F23"/>
  <c r="F22"/>
  <c r="F21"/>
  <c r="F20"/>
  <c r="E19"/>
  <c r="D19"/>
  <c r="F16"/>
  <c r="F15"/>
  <c r="F14"/>
  <c r="A2"/>
  <c r="C1"/>
  <c r="F136" i="68"/>
  <c r="G136" s="1"/>
  <c r="F111"/>
  <c r="G111" s="1"/>
  <c r="F106"/>
  <c r="G106" s="1"/>
  <c r="F93"/>
  <c r="G93" s="1"/>
  <c r="F90"/>
  <c r="G90" s="1"/>
  <c r="F81"/>
  <c r="G81" s="1"/>
  <c r="F42"/>
  <c r="G42" s="1"/>
  <c r="F38"/>
  <c r="G38" s="1"/>
  <c r="F29"/>
  <c r="G29" s="1"/>
  <c r="F24"/>
  <c r="G24" s="1"/>
  <c r="F17"/>
  <c r="G17" s="1"/>
  <c r="F15"/>
  <c r="G15" s="1"/>
  <c r="F9"/>
  <c r="G9" s="1"/>
  <c r="A2"/>
  <c r="A1"/>
  <c r="F210" l="1"/>
  <c r="G210" s="1"/>
  <c r="E246" i="67"/>
  <c r="D287"/>
  <c r="F287" s="1"/>
  <c r="D277"/>
  <c r="E139"/>
  <c r="D246"/>
  <c r="D209"/>
  <c r="F80"/>
  <c r="D18"/>
  <c r="F33"/>
  <c r="D139"/>
  <c r="E76"/>
  <c r="E123"/>
  <c r="F64"/>
  <c r="E189"/>
  <c r="E113"/>
  <c r="F35"/>
  <c r="E63"/>
  <c r="F63" s="1"/>
  <c r="D124"/>
  <c r="D123" s="1"/>
  <c r="F68"/>
  <c r="D146"/>
  <c r="F146" s="1"/>
  <c r="D113"/>
  <c r="F53"/>
  <c r="F52" s="1"/>
  <c r="E209"/>
  <c r="E204" s="1"/>
  <c r="E203" s="1"/>
  <c r="D94"/>
  <c r="D52"/>
  <c r="D40" s="1"/>
  <c r="F28"/>
  <c r="F19"/>
  <c r="F13"/>
  <c r="D189"/>
  <c r="E146"/>
  <c r="E108"/>
  <c r="E99"/>
  <c r="F85"/>
  <c r="E84"/>
  <c r="F78"/>
  <c r="E67"/>
  <c r="F72"/>
  <c r="F59"/>
  <c r="E52"/>
  <c r="F42"/>
  <c r="E41"/>
  <c r="F41" s="1"/>
  <c r="F24"/>
  <c r="E18"/>
  <c r="D67"/>
  <c r="D62" s="1"/>
  <c r="D58"/>
  <c r="F58" s="1"/>
  <c r="D77"/>
  <c r="D76" s="1"/>
  <c r="E135"/>
  <c r="E12"/>
  <c r="D130" l="1"/>
  <c r="F130" s="1"/>
  <c r="F139"/>
  <c r="D204"/>
  <c r="D203" s="1"/>
  <c r="F203" s="1"/>
  <c r="E62"/>
  <c r="F62" s="1"/>
  <c r="D83"/>
  <c r="D82" s="1"/>
  <c r="E83"/>
  <c r="F84"/>
  <c r="E40"/>
  <c r="F40" s="1"/>
  <c r="F18"/>
  <c r="E134"/>
  <c r="F76"/>
  <c r="F77"/>
  <c r="F12"/>
  <c r="E11"/>
  <c r="F67"/>
  <c r="D10"/>
  <c r="D9" l="1"/>
  <c r="D8" s="1"/>
  <c r="F83"/>
  <c r="E82"/>
  <c r="F82" s="1"/>
  <c r="E130"/>
  <c r="F11"/>
  <c r="E10"/>
  <c r="F10" l="1"/>
  <c r="E9"/>
  <c r="E8" s="1"/>
  <c r="F9" l="1"/>
  <c r="F8"/>
  <c r="I48" i="44" l="1"/>
  <c r="K48" s="1"/>
  <c r="I14"/>
  <c r="K14" s="1"/>
  <c r="I114" l="1"/>
  <c r="K114" s="1"/>
  <c r="I101"/>
  <c r="K101" s="1"/>
  <c r="I104"/>
  <c r="K104" s="1"/>
  <c r="I107"/>
  <c r="I118"/>
  <c r="K118" s="1"/>
  <c r="I120"/>
  <c r="K120" s="1"/>
  <c r="I128"/>
  <c r="K128" s="1"/>
  <c r="I145"/>
  <c r="K145" s="1"/>
  <c r="I68"/>
  <c r="K68" s="1"/>
  <c r="I69"/>
  <c r="K69" s="1"/>
  <c r="I66"/>
  <c r="K66" s="1"/>
  <c r="I93"/>
  <c r="K93" s="1"/>
  <c r="I90"/>
  <c r="K90" s="1"/>
  <c r="I87"/>
  <c r="K87" s="1"/>
  <c r="I83"/>
  <c r="K83" s="1"/>
  <c r="I77"/>
  <c r="K77" s="1"/>
  <c r="I63"/>
  <c r="K63" s="1"/>
  <c r="I60"/>
  <c r="K60" s="1"/>
  <c r="I43"/>
  <c r="K43" s="1"/>
  <c r="I42"/>
  <c r="K42" s="1"/>
  <c r="I39"/>
  <c r="K39" s="1"/>
  <c r="I37"/>
  <c r="K37" s="1"/>
  <c r="I34"/>
  <c r="K34" s="1"/>
  <c r="I31"/>
  <c r="K31" s="1"/>
  <c r="I29"/>
  <c r="K29" s="1"/>
  <c r="I12"/>
  <c r="K12" s="1"/>
  <c r="I827" i="4"/>
  <c r="I828"/>
  <c r="I829"/>
  <c r="I830"/>
  <c r="I831"/>
  <c r="I832"/>
  <c r="I833"/>
  <c r="I834"/>
  <c r="I835"/>
  <c r="I836"/>
  <c r="I837"/>
  <c r="I838"/>
  <c r="I839"/>
  <c r="I840"/>
  <c r="I841"/>
  <c r="I15" i="44"/>
  <c r="K15" s="1"/>
  <c r="I16"/>
  <c r="K16" s="1"/>
  <c r="I17"/>
  <c r="K17" s="1"/>
  <c r="A1" i="66"/>
  <c r="C21" i="61"/>
  <c r="E21" s="1"/>
  <c r="I195" i="44"/>
  <c r="K195" s="1"/>
  <c r="D5" i="61"/>
  <c r="B6" i="66"/>
  <c r="D6" s="1"/>
  <c r="I256" i="44"/>
  <c r="K256" s="1"/>
  <c r="C6" i="59"/>
  <c r="D6" s="1"/>
  <c r="I105" i="44" l="1"/>
  <c r="K105" s="1"/>
  <c r="K107"/>
  <c r="I103"/>
  <c r="K103" s="1"/>
  <c r="I65"/>
  <c r="K65" s="1"/>
  <c r="B22" i="53"/>
  <c r="D22" s="1"/>
  <c r="B21"/>
  <c r="D21" s="1"/>
  <c r="B20"/>
  <c r="D20" s="1"/>
  <c r="B18"/>
  <c r="D18" s="1"/>
  <c r="B17"/>
  <c r="D17" s="1"/>
  <c r="B14"/>
  <c r="D14" s="1"/>
  <c r="B12"/>
  <c r="D12" s="1"/>
  <c r="C20" i="61"/>
  <c r="E20" s="1"/>
  <c r="C7" i="59"/>
  <c r="B6" i="65"/>
  <c r="D6" s="1"/>
  <c r="B10" i="12"/>
  <c r="D10" s="1"/>
  <c r="B12"/>
  <c r="D12" s="1"/>
  <c r="B17"/>
  <c r="D17" s="1"/>
  <c r="B6"/>
  <c r="D6" s="1"/>
  <c r="B15"/>
  <c r="D15" s="1"/>
  <c r="B22"/>
  <c r="D22" s="1"/>
  <c r="B14"/>
  <c r="D14" s="1"/>
  <c r="B8"/>
  <c r="D8" s="1"/>
  <c r="B9"/>
  <c r="D9" s="1"/>
  <c r="B13"/>
  <c r="D13" s="1"/>
  <c r="B7"/>
  <c r="D7" s="1"/>
  <c r="B19"/>
  <c r="D19" s="1"/>
  <c r="B21"/>
  <c r="D21" s="1"/>
  <c r="B18"/>
  <c r="D18" s="1"/>
  <c r="D9" i="24"/>
  <c r="D47" s="1"/>
  <c r="F19"/>
  <c r="F57" s="1"/>
  <c r="F20"/>
  <c r="F58" s="1"/>
  <c r="F14"/>
  <c r="F52" s="1"/>
  <c r="F10"/>
  <c r="F48" s="1"/>
  <c r="D8" i="26"/>
  <c r="F8" s="1"/>
  <c r="I821" i="4"/>
  <c r="I822"/>
  <c r="I823"/>
  <c r="I824"/>
  <c r="I825"/>
  <c r="I826"/>
  <c r="I225" i="44" l="1"/>
  <c r="K225" s="1"/>
  <c r="I233"/>
  <c r="K233" s="1"/>
  <c r="I172"/>
  <c r="K172" s="1"/>
  <c r="I206"/>
  <c r="K206" s="1"/>
  <c r="I210"/>
  <c r="K210" s="1"/>
  <c r="I222"/>
  <c r="K222" s="1"/>
  <c r="I221"/>
  <c r="K221" s="1"/>
  <c r="I205"/>
  <c r="K205" s="1"/>
  <c r="I199"/>
  <c r="K199" s="1"/>
  <c r="I216"/>
  <c r="K216" s="1"/>
  <c r="I166"/>
  <c r="K166" s="1"/>
  <c r="I167"/>
  <c r="K167" s="1"/>
  <c r="I197"/>
  <c r="K197" s="1"/>
  <c r="I176"/>
  <c r="K176" s="1"/>
  <c r="I157"/>
  <c r="K157" s="1"/>
  <c r="I209"/>
  <c r="K209" s="1"/>
  <c r="I208"/>
  <c r="K208" s="1"/>
  <c r="I198"/>
  <c r="K198" s="1"/>
  <c r="B19" i="53"/>
  <c r="D19" s="1"/>
  <c r="C12" i="61"/>
  <c r="E12" s="1"/>
  <c r="C8" i="17"/>
  <c r="E8" s="1"/>
  <c r="B9" i="20"/>
  <c r="D9" s="1"/>
  <c r="B6"/>
  <c r="D6" s="1"/>
  <c r="I801" i="4"/>
  <c r="I802"/>
  <c r="I803"/>
  <c r="I804"/>
  <c r="I805"/>
  <c r="I806"/>
  <c r="I807"/>
  <c r="I808"/>
  <c r="I809"/>
  <c r="I810"/>
  <c r="I811"/>
  <c r="I812"/>
  <c r="I813"/>
  <c r="I814"/>
  <c r="I815"/>
  <c r="I816"/>
  <c r="I817"/>
  <c r="I818"/>
  <c r="I819"/>
  <c r="I820"/>
  <c r="B16" i="53" l="1"/>
  <c r="D16" s="1"/>
  <c r="B5" i="64" l="1"/>
  <c r="D5" s="1"/>
  <c r="A1" l="1"/>
  <c r="A1" i="65"/>
  <c r="B5"/>
  <c r="D5" s="1"/>
  <c r="I76" i="44"/>
  <c r="K76" s="1"/>
  <c r="I116"/>
  <c r="K116" s="1"/>
  <c r="I218"/>
  <c r="K218" s="1"/>
  <c r="I798" i="4"/>
  <c r="I799"/>
  <c r="I800"/>
  <c r="B10" i="53"/>
  <c r="D10" s="1"/>
  <c r="B6"/>
  <c r="D6" s="1"/>
  <c r="B9"/>
  <c r="D9" s="1"/>
  <c r="B7"/>
  <c r="D7" s="1"/>
  <c r="B43" i="24"/>
  <c r="B62" s="1"/>
  <c r="B42"/>
  <c r="B41"/>
  <c r="B40"/>
  <c r="B39"/>
  <c r="B38"/>
  <c r="B57" s="1"/>
  <c r="B37"/>
  <c r="B36"/>
  <c r="B35"/>
  <c r="B54" s="1"/>
  <c r="B34"/>
  <c r="B33"/>
  <c r="B32"/>
  <c r="B51" s="1"/>
  <c r="B31"/>
  <c r="B50" s="1"/>
  <c r="B30"/>
  <c r="F25"/>
  <c r="B28"/>
  <c r="B47" s="1"/>
  <c r="B27"/>
  <c r="B46" s="1"/>
  <c r="B26"/>
  <c r="E25"/>
  <c r="D25"/>
  <c r="D44" s="1"/>
  <c r="C25"/>
  <c r="C44" s="1"/>
  <c r="B24"/>
  <c r="F23"/>
  <c r="B22"/>
  <c r="B21"/>
  <c r="E20"/>
  <c r="B19"/>
  <c r="B18"/>
  <c r="F17"/>
  <c r="F55" s="1"/>
  <c r="B16"/>
  <c r="F15"/>
  <c r="B14"/>
  <c r="B13"/>
  <c r="B12"/>
  <c r="B11"/>
  <c r="F6"/>
  <c r="B9"/>
  <c r="B8"/>
  <c r="B7"/>
  <c r="E6"/>
  <c r="D6"/>
  <c r="C6"/>
  <c r="B20" l="1"/>
  <c r="E58"/>
  <c r="B23"/>
  <c r="F61"/>
  <c r="B58"/>
  <c r="B17"/>
  <c r="B45"/>
  <c r="B49"/>
  <c r="B61"/>
  <c r="E44"/>
  <c r="F44"/>
  <c r="B52"/>
  <c r="B56"/>
  <c r="B60"/>
  <c r="B15"/>
  <c r="B53" s="1"/>
  <c r="F53"/>
  <c r="B55"/>
  <c r="B59"/>
  <c r="B25"/>
  <c r="B10"/>
  <c r="B29"/>
  <c r="G25" l="1"/>
  <c r="B44"/>
  <c r="G44" s="1"/>
  <c r="B6"/>
  <c r="G6" s="1"/>
  <c r="B48"/>
  <c r="I255" i="44"/>
  <c r="I248"/>
  <c r="K248" s="1"/>
  <c r="I247"/>
  <c r="K247" s="1"/>
  <c r="I245"/>
  <c r="K245" s="1"/>
  <c r="I243"/>
  <c r="K243" s="1"/>
  <c r="I238"/>
  <c r="J235"/>
  <c r="I235"/>
  <c r="I234" s="1"/>
  <c r="I232"/>
  <c r="I231" s="1"/>
  <c r="I230" s="1"/>
  <c r="J232"/>
  <c r="I227"/>
  <c r="I224"/>
  <c r="K224" s="1"/>
  <c r="I220"/>
  <c r="I219" s="1"/>
  <c r="J220"/>
  <c r="I217"/>
  <c r="J217"/>
  <c r="I215"/>
  <c r="J215"/>
  <c r="K215" s="1"/>
  <c r="J213"/>
  <c r="K213" s="1"/>
  <c r="I213"/>
  <c r="I185"/>
  <c r="K185" s="1"/>
  <c r="I182"/>
  <c r="K182" s="1"/>
  <c r="I181"/>
  <c r="K181" s="1"/>
  <c r="J153"/>
  <c r="I163"/>
  <c r="I161"/>
  <c r="I158"/>
  <c r="K158" s="1"/>
  <c r="I156"/>
  <c r="K156" s="1"/>
  <c r="I155"/>
  <c r="I151"/>
  <c r="K151" s="1"/>
  <c r="I149"/>
  <c r="I144"/>
  <c r="J119"/>
  <c r="I119"/>
  <c r="J117"/>
  <c r="K117" s="1"/>
  <c r="I117"/>
  <c r="J115"/>
  <c r="I115"/>
  <c r="J113"/>
  <c r="K113" s="1"/>
  <c r="I113"/>
  <c r="J108"/>
  <c r="I108"/>
  <c r="J95"/>
  <c r="K95" s="1"/>
  <c r="I95"/>
  <c r="J92"/>
  <c r="I92"/>
  <c r="J89"/>
  <c r="I89"/>
  <c r="I88" s="1"/>
  <c r="J86"/>
  <c r="I86"/>
  <c r="I85" s="1"/>
  <c r="J80"/>
  <c r="I80"/>
  <c r="I79" s="1"/>
  <c r="I78" s="1"/>
  <c r="J73"/>
  <c r="I73"/>
  <c r="I72" s="1"/>
  <c r="I71" s="1"/>
  <c r="J64"/>
  <c r="K64" s="1"/>
  <c r="I64"/>
  <c r="J62"/>
  <c r="I62"/>
  <c r="I61" s="1"/>
  <c r="J59"/>
  <c r="I59"/>
  <c r="I58" s="1"/>
  <c r="I54"/>
  <c r="J52"/>
  <c r="J50"/>
  <c r="K50" s="1"/>
  <c r="I50"/>
  <c r="I47"/>
  <c r="J47"/>
  <c r="K47" s="1"/>
  <c r="J41"/>
  <c r="I41"/>
  <c r="I40" s="1"/>
  <c r="J38"/>
  <c r="I38"/>
  <c r="J36"/>
  <c r="K36" s="1"/>
  <c r="I36"/>
  <c r="J33"/>
  <c r="I33"/>
  <c r="J30"/>
  <c r="K30" s="1"/>
  <c r="I30"/>
  <c r="J28"/>
  <c r="I28"/>
  <c r="I25"/>
  <c r="K25" s="1"/>
  <c r="J19"/>
  <c r="I19"/>
  <c r="I18" s="1"/>
  <c r="J13"/>
  <c r="K13" s="1"/>
  <c r="I13"/>
  <c r="J11"/>
  <c r="I11"/>
  <c r="I10" s="1"/>
  <c r="J219" l="1"/>
  <c r="K219" s="1"/>
  <c r="K220"/>
  <c r="J231"/>
  <c r="K232"/>
  <c r="J40"/>
  <c r="K40" s="1"/>
  <c r="K41"/>
  <c r="J58"/>
  <c r="K58" s="1"/>
  <c r="K59"/>
  <c r="J79"/>
  <c r="K80"/>
  <c r="I148"/>
  <c r="K148" s="1"/>
  <c r="K149"/>
  <c r="I226"/>
  <c r="K226" s="1"/>
  <c r="K227"/>
  <c r="J234"/>
  <c r="K234" s="1"/>
  <c r="K235"/>
  <c r="J10"/>
  <c r="K10" s="1"/>
  <c r="K11"/>
  <c r="J18"/>
  <c r="K18" s="1"/>
  <c r="K19"/>
  <c r="I139"/>
  <c r="K139" s="1"/>
  <c r="K144"/>
  <c r="I52"/>
  <c r="K52" s="1"/>
  <c r="K54"/>
  <c r="J61"/>
  <c r="K61" s="1"/>
  <c r="K62"/>
  <c r="J72"/>
  <c r="K73"/>
  <c r="J85"/>
  <c r="K85" s="1"/>
  <c r="K86"/>
  <c r="I154"/>
  <c r="K154" s="1"/>
  <c r="K155"/>
  <c r="I162"/>
  <c r="K162" s="1"/>
  <c r="K163"/>
  <c r="I254"/>
  <c r="K254" s="1"/>
  <c r="K255"/>
  <c r="K217"/>
  <c r="K28"/>
  <c r="K33"/>
  <c r="K38"/>
  <c r="K92"/>
  <c r="K108"/>
  <c r="K115"/>
  <c r="K119"/>
  <c r="I160"/>
  <c r="K160" s="1"/>
  <c r="K161"/>
  <c r="I237"/>
  <c r="K237" s="1"/>
  <c r="K238"/>
  <c r="J88"/>
  <c r="K88" s="1"/>
  <c r="K89"/>
  <c r="J192"/>
  <c r="I94"/>
  <c r="J94"/>
  <c r="J46"/>
  <c r="I165"/>
  <c r="I246"/>
  <c r="I82"/>
  <c r="I35"/>
  <c r="I32" s="1"/>
  <c r="I24"/>
  <c r="J24"/>
  <c r="J9"/>
  <c r="K9" s="1"/>
  <c r="J35"/>
  <c r="I194"/>
  <c r="I46"/>
  <c r="I45" s="1"/>
  <c r="I70"/>
  <c r="I9"/>
  <c r="I223"/>
  <c r="K223" s="1"/>
  <c r="I193" l="1"/>
  <c r="K194"/>
  <c r="J71"/>
  <c r="K71" s="1"/>
  <c r="K72"/>
  <c r="J230"/>
  <c r="K230" s="1"/>
  <c r="K231"/>
  <c r="J32"/>
  <c r="K32" s="1"/>
  <c r="K35"/>
  <c r="J45"/>
  <c r="K45" s="1"/>
  <c r="K46"/>
  <c r="J147"/>
  <c r="J78"/>
  <c r="K79"/>
  <c r="K24"/>
  <c r="K94"/>
  <c r="I164"/>
  <c r="K165"/>
  <c r="I242"/>
  <c r="K246"/>
  <c r="J82"/>
  <c r="K82" s="1"/>
  <c r="I8"/>
  <c r="I153" l="1"/>
  <c r="K164"/>
  <c r="K78"/>
  <c r="J70"/>
  <c r="K70" s="1"/>
  <c r="I192"/>
  <c r="K192" s="1"/>
  <c r="K193"/>
  <c r="I241"/>
  <c r="K241" s="1"/>
  <c r="K242"/>
  <c r="J146"/>
  <c r="I756" i="4"/>
  <c r="I757"/>
  <c r="I758"/>
  <c r="I759"/>
  <c r="I760"/>
  <c r="I761"/>
  <c r="I762"/>
  <c r="I763"/>
  <c r="I764"/>
  <c r="I765"/>
  <c r="I766"/>
  <c r="I767"/>
  <c r="I768"/>
  <c r="I769"/>
  <c r="I770"/>
  <c r="I771"/>
  <c r="I772"/>
  <c r="I773"/>
  <c r="I774"/>
  <c r="I775"/>
  <c r="I776"/>
  <c r="I777"/>
  <c r="I778"/>
  <c r="I779"/>
  <c r="I780"/>
  <c r="I781"/>
  <c r="I782"/>
  <c r="I783"/>
  <c r="I784"/>
  <c r="I785"/>
  <c r="I786"/>
  <c r="I787"/>
  <c r="I788"/>
  <c r="I789"/>
  <c r="I790"/>
  <c r="I791"/>
  <c r="I792"/>
  <c r="I793"/>
  <c r="I794"/>
  <c r="I795"/>
  <c r="I796"/>
  <c r="I797"/>
  <c r="K153" i="44" l="1"/>
  <c r="I147"/>
  <c r="J8"/>
  <c r="I725" i="4"/>
  <c r="I726"/>
  <c r="I727"/>
  <c r="I728"/>
  <c r="I729"/>
  <c r="I730"/>
  <c r="I731"/>
  <c r="I732"/>
  <c r="I733"/>
  <c r="I734"/>
  <c r="I735"/>
  <c r="I736"/>
  <c r="I737"/>
  <c r="I738"/>
  <c r="I739"/>
  <c r="I740"/>
  <c r="I741"/>
  <c r="I742"/>
  <c r="I743"/>
  <c r="I744"/>
  <c r="I745"/>
  <c r="I746"/>
  <c r="I747"/>
  <c r="I748"/>
  <c r="I749"/>
  <c r="I750"/>
  <c r="I751"/>
  <c r="I752"/>
  <c r="I753"/>
  <c r="I754"/>
  <c r="I755"/>
  <c r="J257" i="44" l="1"/>
  <c r="K8"/>
  <c r="I146"/>
  <c r="K147"/>
  <c r="B18" i="58"/>
  <c r="D18" s="1"/>
  <c r="B9"/>
  <c r="D9" s="1"/>
  <c r="B20"/>
  <c r="D20" s="1"/>
  <c r="B11"/>
  <c r="D11" s="1"/>
  <c r="I257" i="44" l="1"/>
  <c r="K257" s="1"/>
  <c r="K146"/>
  <c r="I717" i="4"/>
  <c r="I718"/>
  <c r="I719"/>
  <c r="I720"/>
  <c r="I721"/>
  <c r="I722"/>
  <c r="I723"/>
  <c r="I724"/>
  <c r="A1" i="63"/>
  <c r="B5"/>
  <c r="D5" s="1"/>
  <c r="B20" i="12" l="1"/>
  <c r="D20" s="1"/>
  <c r="B16"/>
  <c r="D16" s="1"/>
  <c r="B11"/>
  <c r="D11" s="1"/>
  <c r="B1" i="61"/>
  <c r="A1" i="62"/>
  <c r="B6"/>
  <c r="D6" s="1"/>
  <c r="A1" i="60"/>
  <c r="A1" i="58"/>
  <c r="C5" i="60"/>
  <c r="D5" s="1"/>
  <c r="D9" i="17" l="1"/>
  <c r="C9"/>
  <c r="C19" s="1"/>
  <c r="C9" i="61"/>
  <c r="I9" i="4"/>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6"/>
  <c r="I367"/>
  <c r="I368"/>
  <c r="I369"/>
  <c r="I370"/>
  <c r="I371"/>
  <c r="I372"/>
  <c r="I373"/>
  <c r="I374"/>
  <c r="I375"/>
  <c r="I376"/>
  <c r="I377"/>
  <c r="I378"/>
  <c r="I379"/>
  <c r="I380"/>
  <c r="I381"/>
  <c r="I382"/>
  <c r="I383"/>
  <c r="I384"/>
  <c r="I385"/>
  <c r="I386"/>
  <c r="I387"/>
  <c r="I388"/>
  <c r="I389"/>
  <c r="I390"/>
  <c r="I391"/>
  <c r="I392"/>
  <c r="I393"/>
  <c r="I394"/>
  <c r="I395"/>
  <c r="I396"/>
  <c r="I397"/>
  <c r="I398"/>
  <c r="I399"/>
  <c r="I400"/>
  <c r="I401"/>
  <c r="I402"/>
  <c r="I403"/>
  <c r="I404"/>
  <c r="I405"/>
  <c r="I406"/>
  <c r="I407"/>
  <c r="I408"/>
  <c r="I409"/>
  <c r="I410"/>
  <c r="I411"/>
  <c r="I412"/>
  <c r="I413"/>
  <c r="I414"/>
  <c r="I415"/>
  <c r="I416"/>
  <c r="I417"/>
  <c r="I418"/>
  <c r="I419"/>
  <c r="I420"/>
  <c r="I421"/>
  <c r="I422"/>
  <c r="I423"/>
  <c r="I424"/>
  <c r="I425"/>
  <c r="I426"/>
  <c r="I427"/>
  <c r="I428"/>
  <c r="I429"/>
  <c r="I430"/>
  <c r="I431"/>
  <c r="I432"/>
  <c r="I433"/>
  <c r="I434"/>
  <c r="I435"/>
  <c r="I436"/>
  <c r="I437"/>
  <c r="I438"/>
  <c r="I439"/>
  <c r="I440"/>
  <c r="I441"/>
  <c r="I442"/>
  <c r="I443"/>
  <c r="I444"/>
  <c r="I445"/>
  <c r="I446"/>
  <c r="I447"/>
  <c r="I448"/>
  <c r="I449"/>
  <c r="I450"/>
  <c r="I451"/>
  <c r="I452"/>
  <c r="I453"/>
  <c r="I454"/>
  <c r="I455"/>
  <c r="I456"/>
  <c r="I457"/>
  <c r="I458"/>
  <c r="I459"/>
  <c r="I460"/>
  <c r="I461"/>
  <c r="I462"/>
  <c r="I463"/>
  <c r="I464"/>
  <c r="I465"/>
  <c r="I466"/>
  <c r="I467"/>
  <c r="I468"/>
  <c r="I469"/>
  <c r="I470"/>
  <c r="I471"/>
  <c r="I472"/>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8"/>
  <c r="I509"/>
  <c r="I510"/>
  <c r="I511"/>
  <c r="I512"/>
  <c r="I513"/>
  <c r="I514"/>
  <c r="I515"/>
  <c r="I516"/>
  <c r="I517"/>
  <c r="I518"/>
  <c r="I519"/>
  <c r="I520"/>
  <c r="I521"/>
  <c r="I522"/>
  <c r="I523"/>
  <c r="I524"/>
  <c r="I525"/>
  <c r="I526"/>
  <c r="I527"/>
  <c r="I528"/>
  <c r="I529"/>
  <c r="I530"/>
  <c r="I531"/>
  <c r="I532"/>
  <c r="I533"/>
  <c r="I534"/>
  <c r="I535"/>
  <c r="I536"/>
  <c r="I537"/>
  <c r="I538"/>
  <c r="I539"/>
  <c r="I540"/>
  <c r="I541"/>
  <c r="I542"/>
  <c r="I543"/>
  <c r="I544"/>
  <c r="I545"/>
  <c r="I546"/>
  <c r="I547"/>
  <c r="I548"/>
  <c r="I549"/>
  <c r="I550"/>
  <c r="I551"/>
  <c r="I552"/>
  <c r="I553"/>
  <c r="I554"/>
  <c r="I555"/>
  <c r="I556"/>
  <c r="I557"/>
  <c r="I558"/>
  <c r="I559"/>
  <c r="I560"/>
  <c r="I561"/>
  <c r="I562"/>
  <c r="I563"/>
  <c r="I564"/>
  <c r="I565"/>
  <c r="I566"/>
  <c r="I567"/>
  <c r="I568"/>
  <c r="I569"/>
  <c r="I570"/>
  <c r="I571"/>
  <c r="I572"/>
  <c r="I573"/>
  <c r="I574"/>
  <c r="E9" i="61" l="1"/>
  <c r="C5"/>
  <c r="E5" s="1"/>
  <c r="D19" i="17"/>
  <c r="E19" s="1"/>
  <c r="E9"/>
  <c r="A1" i="49"/>
  <c r="A1" i="48"/>
  <c r="A1" i="3"/>
  <c r="A1" i="45"/>
  <c r="A1" i="47"/>
  <c r="B15" i="18" l="1"/>
  <c r="C5" i="20" l="1"/>
  <c r="D5" s="1"/>
  <c r="B5"/>
  <c r="B8"/>
  <c r="C8"/>
  <c r="D8" s="1"/>
  <c r="H251" i="45" l="1"/>
  <c r="H252"/>
  <c r="H253"/>
  <c r="H254"/>
  <c r="H257"/>
  <c r="C5" i="59"/>
  <c r="I575" i="4"/>
  <c r="I576"/>
  <c r="I577"/>
  <c r="I578"/>
  <c r="I579"/>
  <c r="I580"/>
  <c r="I581"/>
  <c r="I582"/>
  <c r="I583"/>
  <c r="I584"/>
  <c r="I585"/>
  <c r="I586"/>
  <c r="I587"/>
  <c r="I588"/>
  <c r="I589"/>
  <c r="I590"/>
  <c r="I591"/>
  <c r="I592"/>
  <c r="I593"/>
  <c r="I594"/>
  <c r="I595"/>
  <c r="I596"/>
  <c r="I597"/>
  <c r="I598"/>
  <c r="I599"/>
  <c r="I600"/>
  <c r="I601"/>
  <c r="I602"/>
  <c r="I603"/>
  <c r="I604"/>
  <c r="I605"/>
  <c r="I606"/>
  <c r="I607"/>
  <c r="I608"/>
  <c r="I609"/>
  <c r="I610"/>
  <c r="I611"/>
  <c r="I612"/>
  <c r="I613"/>
  <c r="I614"/>
  <c r="I615"/>
  <c r="I616"/>
  <c r="I617"/>
  <c r="I618"/>
  <c r="I619"/>
  <c r="I620"/>
  <c r="I621"/>
  <c r="I622"/>
  <c r="I623"/>
  <c r="I624"/>
  <c r="I625"/>
  <c r="I626"/>
  <c r="I627"/>
  <c r="I628"/>
  <c r="I629"/>
  <c r="I630"/>
  <c r="I631"/>
  <c r="I632"/>
  <c r="I633"/>
  <c r="I634"/>
  <c r="I635"/>
  <c r="I636"/>
  <c r="I637"/>
  <c r="I638"/>
  <c r="I639"/>
  <c r="I640"/>
  <c r="I641"/>
  <c r="I642"/>
  <c r="I643"/>
  <c r="I644"/>
  <c r="I645"/>
  <c r="I646"/>
  <c r="I647"/>
  <c r="I648"/>
  <c r="I649"/>
  <c r="I650"/>
  <c r="I651"/>
  <c r="I652"/>
  <c r="I653"/>
  <c r="I654"/>
  <c r="I655"/>
  <c r="I656"/>
  <c r="I657"/>
  <c r="I658"/>
  <c r="I659"/>
  <c r="I660"/>
  <c r="I661"/>
  <c r="I662"/>
  <c r="I663"/>
  <c r="I664"/>
  <c r="I665"/>
  <c r="I666"/>
  <c r="I667"/>
  <c r="I668"/>
  <c r="I669"/>
  <c r="I670"/>
  <c r="I671"/>
  <c r="I672"/>
  <c r="I673"/>
  <c r="I674"/>
  <c r="I675"/>
  <c r="I676"/>
  <c r="I677"/>
  <c r="I678"/>
  <c r="I679"/>
  <c r="I680"/>
  <c r="I681"/>
  <c r="I682"/>
  <c r="I683"/>
  <c r="I684"/>
  <c r="I685"/>
  <c r="I686"/>
  <c r="I687"/>
  <c r="I688"/>
  <c r="I689"/>
  <c r="I690"/>
  <c r="I691"/>
  <c r="I692"/>
  <c r="I693"/>
  <c r="I694"/>
  <c r="I695"/>
  <c r="I696"/>
  <c r="I697"/>
  <c r="I698"/>
  <c r="I699"/>
  <c r="I700"/>
  <c r="I701"/>
  <c r="I702"/>
  <c r="I703"/>
  <c r="I704"/>
  <c r="I705"/>
  <c r="I706"/>
  <c r="I707"/>
  <c r="I708"/>
  <c r="I709"/>
  <c r="I710"/>
  <c r="I711"/>
  <c r="I712"/>
  <c r="I713"/>
  <c r="I714"/>
  <c r="I715"/>
  <c r="I716"/>
  <c r="H441" i="45" l="1"/>
  <c r="H440"/>
  <c r="H439"/>
  <c r="B5" i="58" l="1"/>
  <c r="D5" s="1"/>
  <c r="B5" i="59" l="1"/>
  <c r="D5" s="1"/>
  <c r="A1"/>
  <c r="I8" i="4" l="1"/>
  <c r="A1" i="56"/>
  <c r="A1" i="23"/>
  <c r="E6" i="62" l="1"/>
  <c r="E6" i="59"/>
  <c r="A2" i="56" l="1"/>
  <c r="A1" i="44"/>
  <c r="A3" i="56"/>
  <c r="A3" i="48"/>
  <c r="J22" i="24"/>
  <c r="I21"/>
  <c r="I20"/>
  <c r="K20" l="1"/>
  <c r="J5" i="26" l="1"/>
  <c r="K5"/>
  <c r="L5"/>
  <c r="M5"/>
  <c r="I5"/>
  <c r="H63" i="45"/>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50"/>
  <c r="H351"/>
  <c r="H352"/>
  <c r="H353"/>
  <c r="H354"/>
  <c r="H355"/>
  <c r="H356"/>
  <c r="H357"/>
  <c r="H358"/>
  <c r="H359"/>
  <c r="H360"/>
  <c r="H361"/>
  <c r="H362"/>
  <c r="H363"/>
  <c r="H364"/>
  <c r="H365"/>
  <c r="H366"/>
  <c r="H367"/>
  <c r="H368"/>
  <c r="H369"/>
  <c r="H370"/>
  <c r="H371"/>
  <c r="H372"/>
  <c r="H373"/>
  <c r="H374"/>
  <c r="H375"/>
  <c r="H376"/>
  <c r="H377"/>
  <c r="H378"/>
  <c r="H379"/>
  <c r="H380"/>
  <c r="H381"/>
  <c r="H382"/>
  <c r="H383"/>
  <c r="H384"/>
  <c r="H385"/>
  <c r="H386"/>
  <c r="H387"/>
  <c r="H388"/>
  <c r="H389"/>
  <c r="H390"/>
  <c r="H391"/>
  <c r="H392"/>
  <c r="H393"/>
  <c r="H394"/>
  <c r="H395"/>
  <c r="H396"/>
  <c r="H397"/>
  <c r="H398"/>
  <c r="H399"/>
  <c r="H400"/>
  <c r="H401"/>
  <c r="H402"/>
  <c r="H403"/>
  <c r="H404"/>
  <c r="H405"/>
  <c r="H406"/>
  <c r="H407"/>
  <c r="H408"/>
  <c r="H409"/>
  <c r="H410"/>
  <c r="H411"/>
  <c r="H412"/>
  <c r="H413"/>
  <c r="H414"/>
  <c r="H415"/>
  <c r="H416"/>
  <c r="H417"/>
  <c r="H418"/>
  <c r="H419"/>
  <c r="H420"/>
  <c r="H421"/>
  <c r="H422"/>
  <c r="H423"/>
  <c r="H424"/>
  <c r="H425"/>
  <c r="H426"/>
  <c r="H427"/>
  <c r="H428"/>
  <c r="H429"/>
  <c r="H430"/>
  <c r="H431"/>
  <c r="H432"/>
  <c r="H433"/>
  <c r="H434"/>
  <c r="H435"/>
  <c r="H436"/>
  <c r="H437"/>
  <c r="H442"/>
  <c r="H443"/>
  <c r="H444"/>
  <c r="H445"/>
  <c r="H446"/>
  <c r="H447"/>
  <c r="H448"/>
  <c r="H449"/>
  <c r="H450"/>
  <c r="H451"/>
  <c r="H452"/>
  <c r="H453"/>
  <c r="H454"/>
  <c r="H455"/>
  <c r="H456"/>
  <c r="H457"/>
  <c r="H458"/>
  <c r="H459"/>
  <c r="H460"/>
  <c r="H461"/>
  <c r="H462"/>
  <c r="H463"/>
  <c r="H464"/>
  <c r="H465"/>
  <c r="H466"/>
  <c r="H467"/>
  <c r="H468"/>
  <c r="H469"/>
  <c r="H470"/>
  <c r="H471"/>
  <c r="H472"/>
  <c r="H473"/>
  <c r="H474"/>
  <c r="H475"/>
  <c r="H476"/>
  <c r="H477"/>
  <c r="H478"/>
  <c r="H479"/>
  <c r="H480"/>
  <c r="H481"/>
  <c r="H482"/>
  <c r="H483"/>
  <c r="H484"/>
  <c r="H485"/>
  <c r="H486"/>
  <c r="H487"/>
  <c r="H488"/>
  <c r="H489"/>
  <c r="H490"/>
  <c r="H491"/>
  <c r="H492"/>
  <c r="H493"/>
  <c r="H494"/>
  <c r="H495"/>
  <c r="H496"/>
  <c r="H497"/>
  <c r="H498"/>
  <c r="H499"/>
  <c r="H500"/>
  <c r="H501"/>
  <c r="H502"/>
  <c r="H503"/>
  <c r="H504"/>
  <c r="H505"/>
  <c r="H506"/>
  <c r="H507"/>
  <c r="H508"/>
  <c r="H509"/>
  <c r="H510"/>
  <c r="H511"/>
  <c r="H512"/>
  <c r="H513"/>
  <c r="H514"/>
  <c r="H515"/>
  <c r="H516"/>
  <c r="H517"/>
  <c r="H518"/>
  <c r="H519"/>
  <c r="H520"/>
  <c r="H521"/>
  <c r="H522"/>
  <c r="H523"/>
  <c r="H524"/>
  <c r="H525"/>
  <c r="H526"/>
  <c r="H527"/>
  <c r="H528"/>
  <c r="H529"/>
  <c r="H530"/>
  <c r="H531"/>
  <c r="H532"/>
  <c r="H533"/>
  <c r="H534"/>
  <c r="H535"/>
  <c r="H536"/>
  <c r="H537"/>
  <c r="H538"/>
  <c r="H539"/>
  <c r="H540"/>
  <c r="H541"/>
  <c r="H542"/>
  <c r="H543"/>
  <c r="H544"/>
  <c r="H545"/>
  <c r="H546"/>
  <c r="H547"/>
  <c r="H548"/>
  <c r="H549"/>
  <c r="H550"/>
  <c r="H551"/>
  <c r="H552"/>
  <c r="H553"/>
  <c r="H554"/>
  <c r="H555"/>
  <c r="H556"/>
  <c r="H557"/>
  <c r="H558"/>
  <c r="H559"/>
  <c r="H560"/>
  <c r="H561"/>
  <c r="H562"/>
  <c r="H563"/>
  <c r="H564"/>
  <c r="H565"/>
  <c r="H566"/>
  <c r="H567"/>
  <c r="H568"/>
  <c r="H569"/>
  <c r="H570"/>
  <c r="H571"/>
  <c r="H572"/>
  <c r="H573"/>
  <c r="H574"/>
  <c r="H575"/>
  <c r="H576"/>
  <c r="H577"/>
  <c r="H578"/>
  <c r="H579"/>
  <c r="H580"/>
  <c r="H581"/>
  <c r="H582"/>
  <c r="H583"/>
  <c r="H584"/>
  <c r="H585"/>
  <c r="H586"/>
  <c r="H587"/>
  <c r="H588"/>
  <c r="H589"/>
  <c r="H590"/>
  <c r="H591"/>
  <c r="H592"/>
  <c r="H593"/>
  <c r="H594"/>
  <c r="H595"/>
  <c r="H596"/>
  <c r="H597"/>
  <c r="H598"/>
  <c r="H599"/>
  <c r="H600"/>
  <c r="H601"/>
  <c r="H602"/>
  <c r="H603"/>
  <c r="H604"/>
  <c r="H605"/>
  <c r="H606"/>
  <c r="H607"/>
  <c r="H608"/>
  <c r="H609"/>
  <c r="H610"/>
  <c r="H611"/>
  <c r="H612"/>
  <c r="H613"/>
  <c r="H614"/>
  <c r="H615"/>
  <c r="H616"/>
  <c r="H617"/>
  <c r="H618"/>
  <c r="H619"/>
  <c r="H620"/>
  <c r="H621"/>
  <c r="H622"/>
  <c r="H623"/>
  <c r="H624"/>
  <c r="H625"/>
  <c r="H626"/>
  <c r="H627"/>
  <c r="H628"/>
  <c r="H629"/>
  <c r="H630"/>
  <c r="H631"/>
  <c r="H632"/>
  <c r="H633"/>
  <c r="H634"/>
  <c r="H635"/>
  <c r="H636"/>
  <c r="H637"/>
  <c r="H638"/>
  <c r="H639"/>
  <c r="H640"/>
  <c r="H641"/>
  <c r="H642"/>
  <c r="H643"/>
  <c r="H644"/>
  <c r="H645"/>
  <c r="H646"/>
  <c r="H647"/>
  <c r="H648"/>
  <c r="H649"/>
  <c r="H650"/>
  <c r="H651"/>
  <c r="H652"/>
  <c r="H653"/>
  <c r="H654"/>
  <c r="H655"/>
  <c r="H656"/>
  <c r="H657"/>
  <c r="H658"/>
  <c r="H659"/>
  <c r="H660"/>
  <c r="H661"/>
  <c r="H662"/>
  <c r="H663"/>
  <c r="H664"/>
  <c r="H665"/>
  <c r="H666"/>
  <c r="H667"/>
  <c r="H668"/>
  <c r="H669"/>
  <c r="H670"/>
  <c r="H671"/>
  <c r="H672"/>
  <c r="H673"/>
  <c r="H674"/>
  <c r="H675"/>
  <c r="H676"/>
  <c r="H677"/>
  <c r="H678"/>
  <c r="H679"/>
  <c r="H680"/>
  <c r="H681"/>
  <c r="H682"/>
  <c r="H683"/>
  <c r="H684"/>
  <c r="H685"/>
  <c r="H686"/>
  <c r="H687"/>
  <c r="H688"/>
  <c r="H689"/>
  <c r="H690"/>
  <c r="H691"/>
  <c r="H692"/>
  <c r="H693"/>
  <c r="H694"/>
  <c r="H695"/>
  <c r="A1" i="53" l="1"/>
  <c r="H9" i="45"/>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G5" i="12" l="1"/>
  <c r="E6" i="53"/>
  <c r="B5" l="1"/>
  <c r="E5" l="1"/>
  <c r="D5"/>
  <c r="B7" i="18"/>
  <c r="D7" s="1"/>
  <c r="K7" i="26" l="1"/>
  <c r="K6"/>
  <c r="A3" i="49" l="1"/>
  <c r="A1" i="52" l="1"/>
  <c r="C5"/>
  <c r="D5" s="1"/>
  <c r="B5"/>
  <c r="E5" s="1"/>
  <c r="E7" i="53" l="1"/>
  <c r="G5" i="52"/>
  <c r="F5"/>
  <c r="A2" i="49" l="1"/>
  <c r="A1" i="50"/>
  <c r="A2" i="48"/>
  <c r="A3" i="47" l="1"/>
  <c r="A2"/>
  <c r="A1" i="20" l="1"/>
  <c r="D5" i="35"/>
  <c r="E5" s="1"/>
  <c r="C5"/>
  <c r="F5" s="1"/>
  <c r="A1"/>
  <c r="C5" i="18"/>
  <c r="B5"/>
  <c r="F5" s="1"/>
  <c r="A1"/>
  <c r="B5" i="12"/>
  <c r="A1"/>
  <c r="A1" i="24"/>
  <c r="B39" i="6"/>
  <c r="B38"/>
  <c r="B55" s="1"/>
  <c r="B37"/>
  <c r="B54" s="1"/>
  <c r="B36"/>
  <c r="B35"/>
  <c r="B34"/>
  <c r="B51" s="1"/>
  <c r="B33"/>
  <c r="B50" s="1"/>
  <c r="B32"/>
  <c r="B31"/>
  <c r="B30"/>
  <c r="B47" s="1"/>
  <c r="B29"/>
  <c r="B46" s="1"/>
  <c r="B28"/>
  <c r="B27"/>
  <c r="B26"/>
  <c r="B43" s="1"/>
  <c r="B25"/>
  <c r="B42" s="1"/>
  <c r="B24"/>
  <c r="D23"/>
  <c r="C23"/>
  <c r="C40" s="1"/>
  <c r="B22"/>
  <c r="B21"/>
  <c r="B20"/>
  <c r="B19"/>
  <c r="B18"/>
  <c r="B17"/>
  <c r="B16"/>
  <c r="B15"/>
  <c r="B14"/>
  <c r="B13"/>
  <c r="B12"/>
  <c r="B11"/>
  <c r="B10"/>
  <c r="B9"/>
  <c r="B8"/>
  <c r="B7"/>
  <c r="D6"/>
  <c r="C6"/>
  <c r="A1"/>
  <c r="E9" i="26"/>
  <c r="F9" s="1"/>
  <c r="D9"/>
  <c r="M7"/>
  <c r="L7"/>
  <c r="J7"/>
  <c r="I7"/>
  <c r="E7"/>
  <c r="F7" s="1"/>
  <c r="D7"/>
  <c r="M6"/>
  <c r="L6"/>
  <c r="J6"/>
  <c r="I6"/>
  <c r="A1"/>
  <c r="A3" i="45"/>
  <c r="A2"/>
  <c r="A1" i="4"/>
  <c r="A2" i="3"/>
  <c r="F5" i="12" l="1"/>
  <c r="D5"/>
  <c r="F6" i="18"/>
  <c r="D5"/>
  <c r="F7" s="1"/>
  <c r="B41" i="6"/>
  <c r="B45"/>
  <c r="B49"/>
  <c r="B53"/>
  <c r="D40"/>
  <c r="B44"/>
  <c r="B48"/>
  <c r="B52"/>
  <c r="B56"/>
  <c r="B6"/>
  <c r="B23"/>
  <c r="G7"/>
  <c r="F6" i="35"/>
  <c r="F7" i="6"/>
  <c r="F7" i="35"/>
  <c r="G6" i="6"/>
  <c r="F6"/>
  <c r="A2" i="23"/>
  <c r="B40" i="6" l="1"/>
  <c r="D7" i="17"/>
  <c r="C7"/>
  <c r="C15" s="1"/>
  <c r="A1"/>
  <c r="D15" l="1"/>
  <c r="E15" s="1"/>
  <c r="E7"/>
  <c r="C6"/>
  <c r="D6"/>
  <c r="E6" s="1"/>
  <c r="D18"/>
  <c r="C18" l="1"/>
  <c r="D17" s="1"/>
  <c r="C17" l="1"/>
  <c r="E17" s="1"/>
  <c r="E18"/>
  <c r="D16"/>
  <c r="E5" i="26"/>
  <c r="F5" s="1"/>
  <c r="D5"/>
  <c r="D11" s="1"/>
  <c r="H5" s="1"/>
  <c r="C16" i="17" l="1"/>
  <c r="E16" s="1"/>
  <c r="E11" i="26"/>
  <c r="H6" l="1"/>
  <c r="F11"/>
  <c r="H7" s="1"/>
  <c r="C14" i="17" l="1"/>
  <c r="C13" s="1"/>
  <c r="C12" s="1"/>
  <c r="C11" s="1"/>
  <c r="C5" s="1"/>
  <c r="D14"/>
  <c r="D13" l="1"/>
  <c r="E14"/>
  <c r="D12" l="1"/>
  <c r="E13"/>
  <c r="D11" l="1"/>
  <c r="E12"/>
  <c r="D5" l="1"/>
  <c r="E5" s="1"/>
  <c r="E11"/>
</calcChain>
</file>

<file path=xl/sharedStrings.xml><?xml version="1.0" encoding="utf-8"?>
<sst xmlns="http://schemas.openxmlformats.org/spreadsheetml/2006/main" count="25419" uniqueCount="2763">
  <si>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</si>
  <si>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</si>
  <si>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</si>
  <si>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</si>
  <si>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</si>
  <si>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</si>
  <si>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</si>
  <si>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</si>
  <si>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</si>
  <si>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 xml:space="preserve">Прочие поступления от денежных взысканий (штрафов) и иных сумм в возмещение ущерба, зачисляемые в бюджет муниципальных районов </t>
  </si>
  <si>
    <t>90050</t>
  </si>
  <si>
    <t>151</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</si>
  <si>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</si>
  <si>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</si>
  <si>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</si>
  <si>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</si>
  <si>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</si>
  <si>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</si>
  <si>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</si>
  <si>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</si>
  <si>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3.1.</t>
  </si>
  <si>
    <t xml:space="preserve">Выплата ежемесячной стипендии   одаренным  детям </t>
  </si>
  <si>
    <t>класс</t>
  </si>
  <si>
    <t>4910100</t>
  </si>
  <si>
    <t>7950180</t>
  </si>
  <si>
    <t>Охрана семьи и детства</t>
  </si>
  <si>
    <t>Единый сельскохозяйственный налог</t>
  </si>
  <si>
    <t>ГОСУДАРСТВЕННАЯ ПОШЛИНА</t>
  </si>
  <si>
    <t>Наименование</t>
  </si>
  <si>
    <t>04000</t>
  </si>
  <si>
    <t>07</t>
  </si>
  <si>
    <t>8</t>
  </si>
  <si>
    <t>50</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</si>
  <si>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</si>
  <si>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</si>
  <si>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</si>
  <si>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</si>
  <si>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</si>
  <si>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</si>
  <si>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</si>
  <si>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</si>
  <si>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</si>
  <si>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</si>
  <si>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</si>
  <si>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</si>
  <si>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</si>
  <si>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</si>
  <si>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</si>
  <si>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</si>
  <si>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</si>
  <si>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</si>
  <si>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</si>
  <si>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</si>
  <si>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</si>
  <si>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</si>
  <si>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</si>
  <si>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</si>
  <si>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</si>
  <si>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</si>
  <si>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</si>
  <si>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</si>
  <si>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</si>
  <si>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</si>
  <si>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</si>
  <si>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</si>
  <si>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</si>
  <si>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</si>
  <si>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</si>
  <si>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03030</t>
  </si>
  <si>
    <t>Резервные фонды</t>
  </si>
  <si>
    <t>Прочие субсидии</t>
  </si>
  <si>
    <t>Прочие субсидии бюджетам муниципальных районов</t>
  </si>
  <si>
    <t>Наименование групп, подгрупп, статей, подстатей, элементов, программ (подпрограмм), кодов классификации операций сектора государственного управления</t>
  </si>
  <si>
    <t>Код</t>
  </si>
  <si>
    <t>Администратора</t>
  </si>
  <si>
    <t>Группы</t>
  </si>
  <si>
    <t>Подгруппы</t>
  </si>
  <si>
    <t>Статьи и   подстатьи</t>
  </si>
  <si>
    <t>Элемента</t>
  </si>
  <si>
    <t>Программы</t>
  </si>
  <si>
    <t>Классификация операций сектора государственного управления</t>
  </si>
  <si>
    <t>Другие вопросы в области социальной политики</t>
  </si>
  <si>
    <t>Получение кредитов от других бюджетов бюджетной системы Российской Федерации бюджетом муниципального района в валюте Российской Федерации</t>
  </si>
  <si>
    <t>Погашение бюджетом муниципального района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</si>
  <si>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</si>
  <si>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бюджета муниципальных районов</t>
  </si>
  <si>
    <t>01 05 02 01 05 0000 610</t>
  </si>
  <si>
    <t>Уменьшение прочих остатков денежных средств бюджета муниципальных районов</t>
  </si>
  <si>
    <t>863</t>
  </si>
  <si>
    <t>Управление муниципальной собственностью администрации Богучанского района</t>
  </si>
  <si>
    <t>01 06 01 00 05 0000 630</t>
  </si>
  <si>
    <t>Субвенции бюджетам субъектов Российской Федерации и муниципальных образований</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</si>
  <si>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</si>
  <si>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</si>
  <si>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</si>
  <si>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</si>
  <si>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</si>
  <si>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</si>
  <si>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</si>
  <si>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</si>
  <si>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</si>
  <si>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</si>
  <si>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Средства от продажи акций и иных форм участия в капитале, находящихся в собственности муниципальных районов</t>
  </si>
  <si>
    <t>межбюджетные трансферты на осуществление полномочий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</si>
  <si>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</si>
  <si>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</si>
  <si>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</si>
  <si>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</si>
  <si>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</si>
  <si>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</si>
  <si>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</si>
  <si>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</si>
  <si>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</si>
  <si>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</si>
  <si>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</si>
  <si>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</si>
  <si>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</si>
  <si>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</si>
  <si>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</si>
  <si>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</si>
  <si>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</si>
  <si>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</si>
  <si>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</si>
  <si>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</si>
  <si>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</si>
  <si>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</si>
  <si>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обслуживание населения</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</si>
  <si>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</si>
  <si>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</si>
  <si>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</si>
  <si>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Получение кредитов от кредитных организаций бюджетам муниципальных районов в валюте Российской Федерации</t>
  </si>
  <si>
    <t>01 02 00 00 05 0000 810</t>
  </si>
  <si>
    <t>Погашение бюджетом муниципального района кредитов от кредитных организаций в валюте Российской Федерации</t>
  </si>
  <si>
    <t>Обеспечение пожарной безопасности</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</si>
  <si>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</si>
  <si>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</si>
  <si>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</si>
  <si>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</si>
  <si>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</si>
  <si>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</si>
  <si>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</si>
  <si>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</si>
  <si>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</si>
  <si>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</si>
  <si>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</si>
  <si>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</si>
  <si>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</si>
  <si>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</si>
  <si>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</si>
  <si>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</si>
  <si>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</si>
  <si>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</si>
  <si>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</si>
  <si>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</si>
  <si>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</si>
  <si>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</si>
  <si>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</si>
  <si>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</si>
  <si>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</si>
  <si>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</si>
  <si>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</si>
  <si>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</si>
  <si>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</si>
  <si>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</si>
  <si>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</si>
  <si>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</si>
  <si>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28000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</si>
  <si>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</si>
  <si>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</si>
  <si>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</si>
  <si>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</si>
  <si>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</si>
  <si>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</si>
  <si>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</si>
  <si>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</si>
  <si>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</si>
  <si>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межбюджетные трансферты на осуществление (возмещение расходов по осуществлению) части полномочий по созданию условий для организации досуга и обеспечения жителей услугами организаций культуры</t>
  </si>
  <si>
    <t>848</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</si>
  <si>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</si>
  <si>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</si>
  <si>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</si>
  <si>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</si>
  <si>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</si>
  <si>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</si>
  <si>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</si>
  <si>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</si>
  <si>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</si>
  <si>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</si>
  <si>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</si>
  <si>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</si>
  <si>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</si>
  <si>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</si>
  <si>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</si>
  <si>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</si>
  <si>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</si>
  <si>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</si>
  <si>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</si>
  <si>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</si>
  <si>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</si>
  <si>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</si>
  <si>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</si>
  <si>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</si>
  <si>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</si>
  <si>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</si>
  <si>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</si>
  <si>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</si>
  <si>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</si>
  <si>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</si>
  <si>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</si>
  <si>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</si>
  <si>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</si>
  <si>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</si>
  <si>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</si>
  <si>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КВСР</t>
  </si>
  <si>
    <t>КБК</t>
  </si>
  <si>
    <t>КЦСР</t>
  </si>
  <si>
    <t>КВР</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</si>
  <si>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</si>
  <si>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</si>
  <si>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</si>
  <si>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</si>
  <si>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</si>
  <si>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</si>
  <si>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</si>
  <si>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</si>
  <si>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 xml:space="preserve">Возврат бюджетных кредитов, предоставленных внутри страны в валюте Российской Федерации </t>
  </si>
  <si>
    <t>890 01 06 05 02 05 0000 640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</si>
  <si>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</si>
  <si>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890 01 06 05 00 00 0000 500</t>
  </si>
  <si>
    <t xml:space="preserve">Предоставление бюджетных кредитов внутри страны в валюте Российской Федерации </t>
  </si>
  <si>
    <t>890 01 06 05 02 05 0000 540</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</si>
  <si>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</si>
  <si>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</si>
  <si>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</si>
  <si>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</si>
  <si>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</si>
  <si>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</si>
  <si>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</si>
  <si>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</si>
  <si>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</si>
  <si>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</si>
  <si>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</si>
  <si>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</si>
  <si>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</si>
  <si>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</si>
  <si>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</si>
  <si>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</si>
  <si>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</si>
  <si>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</si>
  <si>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</si>
  <si>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</si>
  <si>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</si>
  <si>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</si>
  <si>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</si>
  <si>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</si>
  <si>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890 01 06 05 00 00 0000 000</t>
  </si>
  <si>
    <t xml:space="preserve">Бюджетные кредиты, предоставленные внутри страны в валюте Российской Федерации </t>
  </si>
  <si>
    <t>890 01 06 05 00 00 0000 600</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</si>
  <si>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</si>
  <si>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</si>
  <si>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</si>
  <si>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</si>
  <si>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</si>
  <si>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</si>
  <si>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</si>
  <si>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</si>
  <si>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</si>
  <si>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</si>
  <si>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</si>
  <si>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</si>
  <si>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</si>
  <si>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</si>
  <si>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</si>
  <si>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</si>
  <si>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</si>
  <si>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</si>
  <si>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</si>
  <si>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</si>
  <si>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</si>
  <si>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</si>
  <si>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</si>
  <si>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</si>
  <si>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</si>
  <si>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</si>
  <si>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</si>
  <si>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</si>
  <si>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</si>
  <si>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</si>
  <si>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</si>
  <si>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</si>
  <si>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</si>
  <si>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</si>
  <si>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</si>
  <si>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</si>
  <si>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</si>
  <si>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</si>
  <si>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ЗДРАВООХРАНЕНИЕ</t>
  </si>
  <si>
    <t>ФИЗИЧЕСКАЯ КУЛЬТУРА И СПОРТ</t>
  </si>
  <si>
    <t>КУЛЬТУРА, КИНЕМАТОГРАФИЯ</t>
  </si>
  <si>
    <t>ОБСЛУЖИВАНИЕ ГОСУДАРСТВЕННОГО И МУНИЦИПАЛЬНОГО ДОЛГА</t>
  </si>
  <si>
    <t>Обслуживание государственного внутреннего и муниципального долга</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</si>
  <si>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</si>
  <si>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</si>
  <si>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</si>
  <si>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</si>
  <si>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Муниципальное казенное учреждение "Управление культуры Богучанского района"</t>
  </si>
  <si>
    <t>управление образования администрации Богучанского района Красноярского края</t>
  </si>
  <si>
    <t>дата Первого решения</t>
  </si>
  <si>
    <t>№ Первого решения</t>
  </si>
  <si>
    <t>9992</t>
  </si>
  <si>
    <t>02050</t>
  </si>
  <si>
    <t>Защита населения и территории от чрезвычайных ситуаций природного и техногенного характера, гражданская оборона</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</si>
  <si>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</si>
  <si>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</si>
  <si>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</si>
  <si>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</si>
  <si>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</si>
  <si>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</si>
  <si>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</si>
  <si>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Условно-утверждаемые расходы</t>
  </si>
  <si>
    <t>Суммы по искам о возмещении вреда, причиненного окружающей среде, подлежащие зачислению в бюджеты муниципальных районов</t>
  </si>
  <si>
    <t>35030</t>
  </si>
  <si>
    <t>Финансовое управление администрации Богучанского района</t>
  </si>
  <si>
    <t>межбюджетные трансферты на осуществление (возмещение расходов по осуществлению) части полномочий по  организации библиотечного обслуживания населения, комплектованию и обеспечению сохранности библиотечных фондов библиотек поселения</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</si>
  <si>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</si>
  <si>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</si>
  <si>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</si>
  <si>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</si>
  <si>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</si>
  <si>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</si>
  <si>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</si>
  <si>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</si>
  <si>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02230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</si>
  <si>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</si>
  <si>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02240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</si>
  <si>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</si>
  <si>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</si>
  <si>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</si>
  <si>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</si>
  <si>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</si>
  <si>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</si>
  <si>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</si>
  <si>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</si>
  <si>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7555</t>
  </si>
  <si>
    <t>7456</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</si>
  <si>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2014 год и плановый период 2015 - 2016 годов</t>
  </si>
  <si>
    <t>0151</t>
  </si>
  <si>
    <t>7554</t>
  </si>
  <si>
    <t>7564</t>
  </si>
  <si>
    <t>7566</t>
  </si>
  <si>
    <t>7588</t>
  </si>
  <si>
    <t>7552</t>
  </si>
  <si>
    <t>7513</t>
  </si>
  <si>
    <t>7519</t>
  </si>
  <si>
    <t>7604</t>
  </si>
  <si>
    <t>7514</t>
  </si>
  <si>
    <t>7577</t>
  </si>
  <si>
    <t>7518</t>
  </si>
  <si>
    <t>7517</t>
  </si>
  <si>
    <t>7467</t>
  </si>
  <si>
    <t>7601</t>
  </si>
  <si>
    <t>№ ПП</t>
  </si>
  <si>
    <t>Код главного администратора</t>
  </si>
  <si>
    <t>Код бюджетной классификации</t>
  </si>
  <si>
    <t>Наименование кода бюджетной классификации</t>
  </si>
  <si>
    <t>Богучанский район</t>
  </si>
  <si>
    <t>Управление муниципальной собственностью Богучанского района ИНН2407008705 КПП240701001</t>
  </si>
  <si>
    <t>1 11 05013 05 0000 120</t>
  </si>
  <si>
    <t>1 11 05013 05 1000 120</t>
  </si>
  <si>
    <t>1 11 05013 05 2000 120</t>
  </si>
  <si>
    <t>1 11 05013 05 3000 120</t>
  </si>
  <si>
    <t>1 11 05025 05 0000 120</t>
  </si>
  <si>
    <t>1 11 05025 05 1000 120</t>
  </si>
  <si>
    <t>1 11 05025 05 2000 120</t>
  </si>
  <si>
    <t>1 11 05025 05 3000 120</t>
  </si>
  <si>
    <t>1 11 05035 05 1000 120</t>
  </si>
  <si>
    <t>1 11 05035 05 2000 120</t>
  </si>
  <si>
    <t>1 11 05035 05 3000 120</t>
  </si>
  <si>
    <t>1 11 05035 05 9960 120</t>
  </si>
  <si>
    <t>1 11 07015 05 0000 120</t>
  </si>
  <si>
    <t>1 11 07015 05 1000 120</t>
  </si>
  <si>
    <t>Прочие доходы от компенсации затрат государства</t>
  </si>
  <si>
    <t>1 14 02053 05 0000 410</t>
  </si>
  <si>
    <t>1 14 02053 05 0000 440</t>
  </si>
  <si>
    <t>1 14 02053 05 1000 410</t>
  </si>
  <si>
    <t>1 14 06013 05 0000 430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</si>
  <si>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</si>
  <si>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</si>
  <si>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</si>
  <si>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</si>
  <si>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</si>
  <si>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Администрация Богучанского района ИНН2407006610 КПП240701001</t>
  </si>
  <si>
    <t>1 08 07150 01 0000 110</t>
  </si>
  <si>
    <t xml:space="preserve">Государственная пошлина за выдачу разрешения на установку рекламной конструкции </t>
  </si>
  <si>
    <t>1 08 07150 01 1000 110</t>
  </si>
  <si>
    <t>1 08 07150 01 4000 110</t>
  </si>
  <si>
    <t>1 11 03050 05 0000 120</t>
  </si>
  <si>
    <t>Проценты, полученные от предоставления бюджетных кредитов внутри страны за счет средств бюджетов муниципальных районов</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</si>
  <si>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</si>
  <si>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</si>
  <si>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</si>
  <si>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Денежные взыскания (штрафы) за нарушение законодательства в области охраны окружающей среды</t>
  </si>
  <si>
    <t>1 16 90050 05 0000 140</t>
  </si>
  <si>
    <t>Прочие поступления от денежных взысканий (штрафов) и иных сумм в возмещение ущерба, зачисляемые в бюджеты муниципальных районов</t>
  </si>
  <si>
    <t>1 16 90050 05 3000 140</t>
  </si>
  <si>
    <t>1 17 05050 05 1000 180</t>
  </si>
  <si>
    <t>Прочие безвозмездные поступления в бюджеты муниципальных районов</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</si>
  <si>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</si>
  <si>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</si>
  <si>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(содействие занятости населения)</t>
  </si>
  <si>
    <t>Муниципальное казенное учреждение "Управление культуры Богучанского района" ИНН2407004757 КПП240701001</t>
  </si>
  <si>
    <t>1 11 05035 05 0000 120</t>
  </si>
  <si>
    <t>Прочие доходы от оказания платных услуг получателями средств бюджетов муниципальных районов</t>
  </si>
  <si>
    <t>1 13 01995 05 9902 130</t>
  </si>
  <si>
    <t>Прочие безвозмездные поступления в бюджеты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</si>
  <si>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</si>
  <si>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</si>
  <si>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</si>
  <si>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</si>
  <si>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</si>
  <si>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1 11 02033 05 0000 120</t>
  </si>
  <si>
    <t>Доходы от размещения временно свободных средств бюджетов муниципальных районов</t>
  </si>
  <si>
    <t>1 16 18050 05 0000 140</t>
  </si>
  <si>
    <t>Денежные взыскания (штрафы) за нарушение бюджетного законодательства (в части бюджетов муниципальных районов)</t>
  </si>
  <si>
    <t>1 16 23051 05 0000 140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</si>
  <si>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</si>
  <si>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1 16 23052 05 0000 140</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</si>
  <si>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</si>
  <si>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1 16 32000 05 0000 140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</si>
  <si>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</si>
  <si>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</si>
  <si>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</si>
  <si>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</si>
  <si>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Прочие межбюджетные трансферты, зачисляемые в бюджеты муниципальных районов</t>
  </si>
  <si>
    <t>Прочие безвозмездные поступления в бюджеты муниципальных районов от бюджетов субъектов Российской Федерации</t>
  </si>
  <si>
    <t>Муниципальное казенное учреждение "Муниципальная служба Заказчика" ИНН 2407008984 КПП 240701001</t>
  </si>
  <si>
    <t>Контрольно-счетная комиссия Богучанского района ИНН 2407062950 КПП 240701001</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</si>
  <si>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</si>
  <si>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</si>
  <si>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</si>
  <si>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</si>
  <si>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</si>
  <si>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</si>
  <si>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</si>
  <si>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</si>
  <si>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Прочая закупка товаров, работ и услуг для обеспечения государственных (муниципальных) нужд</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</si>
  <si>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</si>
  <si>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</si>
  <si>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</si>
  <si>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</si>
  <si>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</si>
  <si>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</si>
  <si>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</si>
  <si>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</si>
  <si>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</si>
  <si>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</si>
  <si>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</si>
  <si>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</si>
  <si>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0309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</si>
  <si>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</si>
  <si>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</si>
  <si>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</si>
  <si>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</si>
  <si>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</si>
  <si>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</si>
  <si>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</si>
  <si>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</si>
  <si>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</si>
  <si>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</si>
  <si>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</si>
  <si>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</si>
  <si>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</si>
  <si>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</si>
  <si>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</si>
  <si>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</si>
  <si>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</si>
  <si>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</si>
  <si>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</si>
  <si>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</si>
  <si>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</si>
  <si>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</si>
  <si>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</si>
  <si>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</si>
  <si>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</si>
  <si>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</si>
  <si>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</si>
  <si>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</si>
  <si>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</si>
  <si>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</si>
  <si>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</si>
  <si>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</si>
  <si>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</si>
  <si>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</si>
  <si>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</si>
  <si>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</si>
  <si>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</si>
  <si>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</si>
  <si>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</si>
  <si>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</si>
  <si>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</si>
  <si>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</si>
  <si>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</si>
  <si>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</si>
  <si>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</si>
  <si>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</si>
  <si>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</si>
  <si>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</si>
  <si>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</si>
  <si>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</si>
  <si>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</si>
  <si>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</si>
  <si>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Управление социальной защиты населения администрации Богучанского района</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</si>
  <si>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</si>
  <si>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1002</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</si>
  <si>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</si>
  <si>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</si>
  <si>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</si>
  <si>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</si>
  <si>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</si>
  <si>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</si>
  <si>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</si>
  <si>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</si>
  <si>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</si>
  <si>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</si>
  <si>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</si>
  <si>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</si>
  <si>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</si>
  <si>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</si>
  <si>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</si>
  <si>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</si>
  <si>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</si>
  <si>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</si>
  <si>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</si>
  <si>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</si>
  <si>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</si>
  <si>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</si>
  <si>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</si>
  <si>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</si>
  <si>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</si>
  <si>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</si>
  <si>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</si>
  <si>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</si>
  <si>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</si>
  <si>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</si>
  <si>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</si>
  <si>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</si>
  <si>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</si>
  <si>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</si>
  <si>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</si>
  <si>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</si>
  <si>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</si>
  <si>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</si>
  <si>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</si>
  <si>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</si>
  <si>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</si>
  <si>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</si>
  <si>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</si>
  <si>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1301</t>
  </si>
  <si>
    <t>Обслуживание муниципального долга</t>
  </si>
  <si>
    <t>730</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</si>
  <si>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</si>
  <si>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</si>
  <si>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</si>
  <si>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</si>
  <si>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</si>
  <si>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2 18 05010 05 0000 180</t>
  </si>
  <si>
    <t>Доходы бюджетов муниципальных районов от возврата бюджетными учреждениями остатков субсидий прошлых лет</t>
  </si>
  <si>
    <t>2 18 05010 05 9965 180</t>
  </si>
  <si>
    <t>2 18 05010 05 9975 180</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</si>
  <si>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</si>
  <si>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</si>
  <si>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</si>
  <si>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</si>
  <si>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</si>
  <si>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</si>
  <si>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</si>
  <si>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</si>
  <si>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</si>
  <si>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</si>
  <si>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</si>
  <si>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</si>
  <si>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</si>
  <si>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</si>
  <si>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</si>
  <si>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</si>
  <si>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</si>
  <si>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</si>
  <si>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</si>
  <si>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</si>
  <si>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</si>
  <si>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</si>
  <si>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</si>
  <si>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</si>
  <si>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</si>
  <si>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</si>
  <si>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</si>
  <si>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</si>
  <si>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</si>
  <si>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</si>
  <si>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</si>
  <si>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</si>
  <si>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</si>
  <si>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</si>
  <si>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</si>
  <si>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</si>
  <si>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</si>
  <si>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</si>
  <si>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</si>
  <si>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</si>
  <si>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</si>
  <si>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</si>
  <si>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</si>
  <si>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</si>
  <si>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</si>
  <si>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</si>
  <si>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</si>
  <si>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</si>
  <si>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</si>
  <si>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</si>
  <si>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</si>
  <si>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</si>
  <si>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</si>
  <si>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</si>
  <si>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</si>
  <si>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</si>
  <si>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Решение районного Совета  от 24.04.2007г. № 19-296 А «Об утверждении Положения о стипендиях Главы района»</t>
  </si>
  <si>
    <t>852</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</si>
  <si>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</si>
  <si>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</si>
  <si>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</si>
  <si>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</si>
  <si>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</si>
  <si>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</si>
  <si>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</si>
  <si>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</si>
  <si>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</si>
  <si>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</si>
  <si>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</si>
  <si>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</si>
  <si>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</si>
  <si>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</si>
  <si>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</si>
  <si>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</si>
  <si>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</si>
  <si>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</si>
  <si>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</si>
  <si>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</si>
  <si>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</si>
  <si>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</si>
  <si>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</si>
  <si>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</si>
  <si>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</si>
  <si>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</si>
  <si>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</si>
  <si>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</si>
  <si>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</si>
  <si>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</si>
  <si>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</si>
  <si>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</si>
  <si>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</si>
  <si>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</si>
  <si>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</si>
  <si>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</si>
  <si>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</si>
  <si>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</si>
  <si>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</si>
  <si>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</si>
  <si>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</si>
  <si>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</si>
  <si>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</si>
  <si>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</si>
  <si>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</si>
  <si>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</si>
  <si>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</si>
  <si>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</si>
  <si>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9991</t>
  </si>
  <si>
    <t>25050</t>
  </si>
  <si>
    <t>43000</t>
  </si>
  <si>
    <t>180</t>
  </si>
  <si>
    <t>Дотации бюджетам субъектов Российской Федерации и муниципальных образований</t>
  </si>
  <si>
    <t>Дотации на выравнивание бюджетной обеспеченности</t>
  </si>
  <si>
    <t>2711</t>
  </si>
  <si>
    <t>Субсидии бюджетам муниципальных образований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</si>
  <si>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7429</t>
  </si>
  <si>
    <t>7570</t>
  </si>
  <si>
    <t>9904</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</si>
  <si>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</si>
  <si>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</si>
  <si>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</si>
  <si>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1 11 05013 10 0000 120</t>
  </si>
  <si>
    <t>1 11 05013 10 1000 120</t>
  </si>
  <si>
    <t>1 11 05013 10 2000 120</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</si>
  <si>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</si>
  <si>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</si>
  <si>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</si>
  <si>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</si>
  <si>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</si>
  <si>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1 14 06013 10 0000 430</t>
  </si>
  <si>
    <t>1 14 06013 10 1000 430</t>
  </si>
  <si>
    <t>1 14 06013 10 2000 430</t>
  </si>
  <si>
    <t>1 14 06025 05 0000 430</t>
  </si>
  <si>
    <t>1 14 06025 05 1000 430</t>
  </si>
  <si>
    <t>2 07 05020 05 9904 180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</si>
  <si>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</si>
  <si>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2 07 05030 05 9903 180</t>
  </si>
  <si>
    <t>2 07 05030 05 9904 180</t>
  </si>
  <si>
    <t>2 07 05030 05 9907 180</t>
  </si>
  <si>
    <t>Доходы бюджетов муниципальных районов от возврата бюджетными учреждениями остатков субсидий прошлых лет.</t>
  </si>
  <si>
    <t>2 07 05020 05 9902 180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</si>
  <si>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</si>
  <si>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2 07 05030 05 9902 180</t>
  </si>
  <si>
    <t>финансовое управление администрации Богучанского района ИНН2407006634 КПП240701001</t>
  </si>
  <si>
    <t>1 16 21050 05 0000 140</t>
  </si>
  <si>
    <t>2 07 05010 05 0000 180</t>
  </si>
  <si>
    <t xml:space="preserve">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  </t>
  </si>
  <si>
    <t>2 07 05020 05 0000 180</t>
  </si>
  <si>
    <t>Поступления от денежных пожертвований, предоставляемых физическими лицами получателям средств бюджетов муниципальных районов</t>
  </si>
  <si>
    <t>2 08 05000 05 0000 180</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</si>
  <si>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</si>
  <si>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Управление социальной защиты населения администрации Богучанского района ИНН 2407005969 КПП 240701001</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</si>
  <si>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</si>
  <si>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</si>
  <si>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</si>
  <si>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</si>
  <si>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</si>
  <si>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</si>
  <si>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</si>
  <si>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</si>
  <si>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</si>
  <si>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</si>
  <si>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</si>
  <si>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</si>
  <si>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</si>
  <si>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</si>
  <si>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</si>
  <si>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</si>
  <si>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</si>
  <si>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</si>
  <si>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</si>
  <si>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</si>
  <si>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</si>
  <si>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</si>
  <si>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</si>
  <si>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</si>
  <si>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</si>
  <si>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</si>
  <si>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</si>
  <si>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</si>
  <si>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</si>
  <si>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</si>
  <si>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</si>
  <si>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</si>
  <si>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</si>
  <si>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</si>
  <si>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</si>
  <si>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</si>
  <si>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</si>
  <si>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</si>
  <si>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</si>
  <si>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</si>
  <si>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</si>
  <si>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</si>
  <si>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</si>
  <si>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</si>
  <si>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</si>
  <si>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</si>
  <si>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</si>
  <si>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</si>
  <si>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Субсидии гражданам на приобретение жилья</t>
  </si>
  <si>
    <t xml:space="preserve"> 2 07 05030 05 9904 180</t>
  </si>
  <si>
    <t xml:space="preserve"> 2 07 05030 05 0000 180</t>
  </si>
  <si>
    <t>дата Нового решения</t>
  </si>
  <si>
    <t>№ Нового решения</t>
  </si>
  <si>
    <t>номер нового</t>
  </si>
  <si>
    <t>Богучанский районный Совет депутатов  ИНН 2407060889 КПП 240701001</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</si>
  <si>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</si>
  <si>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</si>
  <si>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</si>
  <si>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</si>
  <si>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</si>
  <si>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</si>
  <si>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</si>
  <si>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</si>
  <si>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</si>
  <si>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</si>
  <si>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2015 год и плановый период 2016 - 2017 годов</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</si>
  <si>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</si>
  <si>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</si>
  <si>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</si>
  <si>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</si>
  <si>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</si>
  <si>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</si>
  <si>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</si>
  <si>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2 18 05010 05 9954 180</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</si>
  <si>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</si>
  <si>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</si>
  <si>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</si>
  <si>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</si>
  <si>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</si>
  <si>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Субсидии бюджетам муниципальных районов на реализацию федеральных целевых программ</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</si>
  <si>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</si>
  <si>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</si>
  <si>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</si>
  <si>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</si>
  <si>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</si>
  <si>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</si>
  <si>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</si>
  <si>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09045</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</si>
  <si>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</si>
  <si>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</si>
  <si>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</si>
  <si>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08010</t>
  </si>
  <si>
    <t>Денежные взыскания (штрафы) за нарушение законодательства об охране и использовании животного мира</t>
  </si>
  <si>
    <t>Денежные взыскания (штрафы) за нарушение земельного законодательства</t>
  </si>
  <si>
    <t>25060</t>
  </si>
  <si>
    <t>Прочие денежные взыскания (штрафы) за правонарушения в области дорожного движения</t>
  </si>
  <si>
    <t>30030</t>
  </si>
  <si>
    <t>45000</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</si>
  <si>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</si>
  <si>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</si>
  <si>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</si>
  <si>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</si>
  <si>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</si>
  <si>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</si>
  <si>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</si>
  <si>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</si>
  <si>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</si>
  <si>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</si>
  <si>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</si>
  <si>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</si>
  <si>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</si>
  <si>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</si>
  <si>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</si>
  <si>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</si>
  <si>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</si>
  <si>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</si>
  <si>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</si>
  <si>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</si>
  <si>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</si>
  <si>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Прочие субвенции</t>
  </si>
  <si>
    <t>Прочие субвенции бюджетам муниципальных районов</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</si>
  <si>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</si>
  <si>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7408</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</si>
  <si>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</si>
  <si>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7409</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</si>
  <si>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</si>
  <si>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</si>
  <si>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</si>
  <si>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</si>
  <si>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</si>
  <si>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</si>
  <si>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</si>
  <si>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</si>
  <si>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</si>
  <si>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</si>
  <si>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</si>
  <si>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</si>
  <si>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</si>
  <si>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</si>
  <si>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</si>
  <si>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</si>
  <si>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</si>
  <si>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</si>
  <si>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</si>
  <si>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</si>
  <si>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</si>
  <si>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</si>
  <si>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</si>
  <si>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</si>
  <si>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</si>
  <si>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</si>
  <si>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</si>
  <si>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</si>
  <si>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</si>
  <si>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</si>
  <si>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</si>
  <si>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</si>
  <si>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</si>
  <si>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</si>
  <si>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</si>
  <si>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</si>
  <si>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</si>
  <si>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</si>
  <si>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</si>
  <si>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</si>
  <si>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</si>
  <si>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</si>
  <si>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</si>
  <si>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</si>
  <si>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</si>
  <si>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</si>
  <si>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</si>
  <si>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</si>
  <si>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</si>
  <si>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</si>
  <si>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</si>
  <si>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</si>
  <si>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</si>
  <si>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</si>
  <si>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</si>
  <si>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</si>
  <si>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</si>
  <si>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</si>
  <si>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</si>
  <si>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</si>
  <si>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</si>
  <si>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</si>
  <si>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</si>
  <si>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</si>
  <si>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</si>
  <si>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</si>
  <si>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</si>
  <si>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</si>
  <si>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</si>
  <si>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</si>
  <si>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</si>
  <si>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</si>
  <si>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</si>
  <si>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</si>
  <si>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</si>
  <si>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</si>
  <si>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</si>
  <si>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</si>
  <si>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</si>
  <si>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</si>
  <si>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</si>
  <si>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</si>
  <si>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</si>
  <si>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</si>
  <si>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</si>
  <si>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</si>
  <si>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</si>
  <si>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</si>
  <si>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</si>
  <si>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</si>
  <si>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</si>
  <si>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</si>
  <si>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</si>
  <si>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</si>
  <si>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</si>
  <si>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</si>
  <si>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</si>
  <si>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</si>
  <si>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</si>
  <si>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</si>
  <si>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</si>
  <si>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</si>
  <si>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</si>
  <si>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</si>
  <si>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</si>
  <si>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</si>
  <si>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</si>
  <si>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</si>
  <si>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</si>
  <si>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</si>
  <si>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</si>
  <si>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</si>
  <si>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</si>
  <si>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</si>
  <si>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</si>
  <si>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</si>
  <si>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</si>
  <si>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</si>
  <si>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</si>
  <si>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</si>
  <si>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</si>
  <si>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</si>
  <si>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</si>
  <si>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</si>
  <si>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</si>
  <si>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</si>
  <si>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</si>
  <si>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</si>
  <si>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</si>
  <si>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</si>
  <si>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</si>
  <si>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</si>
  <si>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</si>
  <si>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</si>
  <si>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</si>
  <si>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</si>
  <si>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</si>
  <si>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</si>
  <si>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</si>
  <si>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</si>
  <si>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</si>
  <si>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</si>
  <si>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</si>
  <si>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</si>
  <si>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</si>
  <si>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</si>
  <si>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</si>
  <si>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</si>
  <si>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</si>
  <si>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</si>
  <si>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</si>
  <si>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</si>
  <si>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</si>
  <si>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</si>
  <si>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</si>
  <si>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</si>
  <si>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</si>
  <si>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</si>
  <si>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</si>
  <si>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</si>
  <si>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</si>
  <si>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</si>
  <si>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</si>
  <si>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</si>
  <si>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</si>
  <si>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</si>
  <si>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</si>
  <si>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</si>
  <si>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</si>
  <si>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</si>
  <si>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</si>
  <si>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0000000000</t>
  </si>
  <si>
    <t>022</t>
  </si>
  <si>
    <t>026</t>
  </si>
  <si>
    <t>035</t>
  </si>
  <si>
    <t>80</t>
  </si>
  <si>
    <t>803</t>
  </si>
  <si>
    <t>804</t>
  </si>
  <si>
    <t>90</t>
  </si>
  <si>
    <t>901</t>
  </si>
  <si>
    <t>902</t>
  </si>
  <si>
    <t>904</t>
  </si>
  <si>
    <t>905</t>
  </si>
  <si>
    <t>906</t>
  </si>
  <si>
    <t>909</t>
  </si>
  <si>
    <t>условно-утверждаемые расходы</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</si>
  <si>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</si>
  <si>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</si>
  <si>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</si>
  <si>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</si>
  <si>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</si>
  <si>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</si>
  <si>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</si>
  <si>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</si>
  <si>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</si>
  <si>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</si>
  <si>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</si>
  <si>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</si>
  <si>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</si>
  <si>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</si>
  <si>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</si>
  <si>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</si>
  <si>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</si>
  <si>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</si>
  <si>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</si>
  <si>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</si>
  <si>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</si>
  <si>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</si>
  <si>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</si>
  <si>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</si>
  <si>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</si>
  <si>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</si>
  <si>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</si>
  <si>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</si>
  <si>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</si>
  <si>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</si>
  <si>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</si>
  <si>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</si>
  <si>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</si>
  <si>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</si>
  <si>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</si>
  <si>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</si>
  <si>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</si>
  <si>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</si>
  <si>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</si>
  <si>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</si>
  <si>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</si>
  <si>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</si>
  <si>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</si>
  <si>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</si>
  <si>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</si>
  <si>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</si>
  <si>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</si>
  <si>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</si>
  <si>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</si>
  <si>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</si>
  <si>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</si>
  <si>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</si>
  <si>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</si>
  <si>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</si>
  <si>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</si>
  <si>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</si>
  <si>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</si>
  <si>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</si>
  <si>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</si>
  <si>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</si>
  <si>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</si>
  <si>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</si>
  <si>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</si>
  <si>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</si>
  <si>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</si>
  <si>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</si>
  <si>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</si>
  <si>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</si>
  <si>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</si>
  <si>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</si>
  <si>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</si>
  <si>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</si>
  <si>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</si>
  <si>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</si>
  <si>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</si>
  <si>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</si>
  <si>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</si>
  <si>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</si>
  <si>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</si>
  <si>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</si>
  <si>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</si>
  <si>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</si>
  <si>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</si>
  <si>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</si>
  <si>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</si>
  <si>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</si>
  <si>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</si>
  <si>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</si>
  <si>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</si>
  <si>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</si>
  <si>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</si>
  <si>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</si>
  <si>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</si>
  <si>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</si>
  <si>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</si>
  <si>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</si>
  <si>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</si>
  <si>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</si>
  <si>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</si>
  <si>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</si>
  <si>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</si>
  <si>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</si>
  <si>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</si>
  <si>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</si>
  <si>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</si>
  <si>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</si>
  <si>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</si>
  <si>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</si>
  <si>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</si>
  <si>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</si>
  <si>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</si>
  <si>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</si>
  <si>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</si>
  <si>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</si>
  <si>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</si>
  <si>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</si>
  <si>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</si>
  <si>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</si>
  <si>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</si>
  <si>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</si>
  <si>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</si>
  <si>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</si>
  <si>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</si>
  <si>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</si>
  <si>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</si>
  <si>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</si>
  <si>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</si>
  <si>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</si>
  <si>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</si>
  <si>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</si>
  <si>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</si>
  <si>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</si>
  <si>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Муниципальное казенное учреждение "МПЧ №1" ИНН 2407010038 КПП 240701001</t>
  </si>
  <si>
    <t>880</t>
  </si>
  <si>
    <t>Фонд оплаты труда государственных (муниципальных) органов</t>
  </si>
  <si>
    <t>Расходы на приобретение основных средств в рамках непрограммных расходов органов местного самоуправления</t>
  </si>
  <si>
    <t>802006Ф000</t>
  </si>
  <si>
    <t>Уплата прочих налогов, сборов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</si>
  <si>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</si>
  <si>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</si>
  <si>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Отдельные мероприятия в рамках подпрограммы "Вовлечение молодежи Богучанского района в социальную практику" муниципальной программы "Молодежь Приангарья"</t>
  </si>
  <si>
    <t>0610080000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</si>
  <si>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</si>
  <si>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</si>
  <si>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</si>
  <si>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</si>
  <si>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Выполнение полномочий поселений по созданию условий для организации досуга и обеспечения жителей услугами организаций культуры в части оплаты за электроэнергию, в рамках подпрограммы "Культурное наследие" муниципальной программы Богучанского района "Развитие культуры"</t>
  </si>
  <si>
    <t>05100ЧЭ040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</si>
  <si>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</si>
  <si>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</si>
  <si>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Выполнение полномочий поселений по созданию условий для организации досуга и обеспечения жителей услугами организаций культуры в части оплаты за электроэнергию, в рамках подпрограммы "Искусство и народное творчество" муниципальной программы Богучанского района "Развитие культуры"</t>
  </si>
  <si>
    <t>05200ЧЭ030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</si>
  <si>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</si>
  <si>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</si>
  <si>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</si>
  <si>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</si>
  <si>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</si>
  <si>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</si>
  <si>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</si>
  <si>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</si>
  <si>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</si>
  <si>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</si>
  <si>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</si>
  <si>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</si>
  <si>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</si>
  <si>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</si>
  <si>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</si>
  <si>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</si>
  <si>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</si>
  <si>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0200000000</t>
  </si>
  <si>
    <t>0210000000</t>
  </si>
  <si>
    <t>0220000000</t>
  </si>
  <si>
    <t>0240000000</t>
  </si>
  <si>
    <t>0260000000</t>
  </si>
  <si>
    <t>0300000000</t>
  </si>
  <si>
    <t>0320000000</t>
  </si>
  <si>
    <t>0330000000</t>
  </si>
  <si>
    <t>0350000000</t>
  </si>
  <si>
    <t>0400000000</t>
  </si>
  <si>
    <t>0410000000</t>
  </si>
  <si>
    <t>0420000000</t>
  </si>
  <si>
    <t>0500000000</t>
  </si>
  <si>
    <t>0510000000</t>
  </si>
  <si>
    <t>0520000000</t>
  </si>
  <si>
    <t>0530000000</t>
  </si>
  <si>
    <t>0600000000</t>
  </si>
  <si>
    <t>0610000000</t>
  </si>
  <si>
    <t>0630000000</t>
  </si>
  <si>
    <t>0640000000</t>
  </si>
  <si>
    <t>0700000000</t>
  </si>
  <si>
    <t>0710000000</t>
  </si>
  <si>
    <t>0720000000</t>
  </si>
  <si>
    <t>0800000000</t>
  </si>
  <si>
    <t>0810000000</t>
  </si>
  <si>
    <t>0830000000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</si>
  <si>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</si>
  <si>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</si>
  <si>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</si>
  <si>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</si>
  <si>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</si>
  <si>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</si>
  <si>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</si>
  <si>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</si>
  <si>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</si>
  <si>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</si>
  <si>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</si>
  <si>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</si>
  <si>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</si>
  <si>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</si>
  <si>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</si>
  <si>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</si>
  <si>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</si>
  <si>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</si>
  <si>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</si>
  <si>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</si>
  <si>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</si>
  <si>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</si>
  <si>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</si>
  <si>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</si>
  <si>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</si>
  <si>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</si>
  <si>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</si>
  <si>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</si>
  <si>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</si>
  <si>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</si>
  <si>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</si>
  <si>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</si>
  <si>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</si>
  <si>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</si>
  <si>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</si>
  <si>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</si>
  <si>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</si>
  <si>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</si>
  <si>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</si>
  <si>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</si>
  <si>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</si>
  <si>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</si>
  <si>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</si>
  <si>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</si>
  <si>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</si>
  <si>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</si>
  <si>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</si>
  <si>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</si>
  <si>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</si>
  <si>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</si>
  <si>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</si>
  <si>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Денежные   взыскания   (штрафы)   за   нарушение законодательства   Российской    Федерации    о промышленной безопасности</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</si>
  <si>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</si>
  <si>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</si>
  <si>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</si>
  <si>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</si>
  <si>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</si>
  <si>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</si>
  <si>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</si>
  <si>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</si>
  <si>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</si>
  <si>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</si>
  <si>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</si>
  <si>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</si>
  <si>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</si>
  <si>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</si>
  <si>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12100R0550</t>
  </si>
  <si>
    <t>Уплата иных платежей</t>
  </si>
  <si>
    <t>853</t>
  </si>
  <si>
    <t>113</t>
  </si>
  <si>
    <t>переселение</t>
  </si>
  <si>
    <t>0360000000</t>
  </si>
  <si>
    <t xml:space="preserve">Администрация Богучанского сельсовета </t>
  </si>
  <si>
    <t>Администрация Артюгинского сельсовета</t>
  </si>
  <si>
    <t>Администрация Манзенского сельсовета</t>
  </si>
  <si>
    <t>Администрация Осиновомыского сельсовета</t>
  </si>
  <si>
    <t>Администрация Такучетского сельсовета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</si>
  <si>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</si>
  <si>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</si>
  <si>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</si>
  <si>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32000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</si>
  <si>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</si>
  <si>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33050</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</si>
  <si>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</si>
  <si>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0220006400</t>
  </si>
  <si>
    <t>06300L0200</t>
  </si>
  <si>
    <t>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</si>
  <si>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0110073970</t>
  </si>
  <si>
    <t>Дотации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</si>
  <si>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</si>
  <si>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</si>
  <si>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</si>
  <si>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2 18 05030 05 0000 180</t>
  </si>
  <si>
    <t>2 18 05030 05 9963 180</t>
  </si>
  <si>
    <t>2 18 05030 05 9964 180</t>
  </si>
  <si>
    <t>2 18 05030 05 9972 180</t>
  </si>
  <si>
    <t>2 18 05030 05 9965 180</t>
  </si>
  <si>
    <t>Доходы бюджетов муниципальных районов от возврата иными организациями остатков субсидий прошлых лет</t>
  </si>
  <si>
    <t>1 16 32000 10 0000 140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</si>
  <si>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поселений)</t>
  </si>
  <si>
    <t>2018-2019</t>
  </si>
  <si>
    <t>2019 год</t>
  </si>
  <si>
    <t>25085</t>
  </si>
  <si>
    <t>06025</t>
  </si>
  <si>
    <t>15001</t>
  </si>
  <si>
    <t>20000</t>
  </si>
  <si>
    <t>29999</t>
  </si>
  <si>
    <t>30000</t>
  </si>
  <si>
    <t>35118</t>
  </si>
  <si>
    <t>30024</t>
  </si>
  <si>
    <t>0640</t>
  </si>
  <si>
    <t>30029</t>
  </si>
  <si>
    <t>39999</t>
  </si>
  <si>
    <t>40000</t>
  </si>
  <si>
    <t>40014</t>
  </si>
  <si>
    <t>88**</t>
  </si>
  <si>
    <t>2 18 05030 05 9933 180</t>
  </si>
  <si>
    <t>2 18 05030 05 9934 180</t>
  </si>
  <si>
    <t>2 18 05030 05 9935 180</t>
  </si>
  <si>
    <t>2 18 05030 05 9936 180</t>
  </si>
  <si>
    <t>2 18 05030 05 9937 180</t>
  </si>
  <si>
    <t>2 18 05030 05 9939 180</t>
  </si>
  <si>
    <t>2 18 05030 05 9940 180</t>
  </si>
  <si>
    <t>2 18 05030 05 9941 180</t>
  </si>
  <si>
    <t>2 18 05030 05 9942 180</t>
  </si>
  <si>
    <t>2 18 05030 05 9943 180</t>
  </si>
  <si>
    <t>2 18 05030 05 9944 180</t>
  </si>
  <si>
    <t>2 18 05030 05 9945 180</t>
  </si>
  <si>
    <t>2 18 05030 05 9946 180</t>
  </si>
  <si>
    <t>2 18 05030 05 9947 180</t>
  </si>
  <si>
    <t>2 18 05030 05 9948 180</t>
  </si>
  <si>
    <t>2 18 05030 05 9949 180</t>
  </si>
  <si>
    <t>2 18 05030 05 9982 180</t>
  </si>
  <si>
    <t>2 18 05030 05 9983 180</t>
  </si>
  <si>
    <t>2 18 05030 05 9984 180</t>
  </si>
  <si>
    <t>2 18 05030 05 9985 180</t>
  </si>
  <si>
    <t>2 18 05030 05 9986 180</t>
  </si>
  <si>
    <t>2 18 05030 05 9967 180</t>
  </si>
  <si>
    <t>Управление образования администрации Богучанского района Красноярского края ИНН2407004860 КПП240701001</t>
  </si>
  <si>
    <t>2 18 05030 05 9954 180</t>
  </si>
  <si>
    <t>2 18 05030 05 9955 180</t>
  </si>
  <si>
    <t>2 18 05030 05 9956 180</t>
  </si>
  <si>
    <t>2 18 05030 05 9957 180</t>
  </si>
  <si>
    <t>2 02 15001 05 2711 151</t>
  </si>
  <si>
    <t>2 02 15002 05 0000 151</t>
  </si>
  <si>
    <t>2 02 15009 05 0000 151</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</si>
  <si>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</si>
  <si>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2 02 25064 05 9000 151</t>
  </si>
  <si>
    <t>2 02 20051 05 0000 151</t>
  </si>
  <si>
    <t xml:space="preserve"> 2 02 20299 05 0000 151</t>
  </si>
  <si>
    <t>2 02 20302 05 0000 151</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</si>
  <si>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</si>
  <si>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2 02 25097 05 9000 151</t>
  </si>
  <si>
    <t>2 02 25097 05 8000 151</t>
  </si>
  <si>
    <t>2 02 29999 05 1043 151</t>
  </si>
  <si>
    <t>2 02 29999 05 2654 151</t>
  </si>
  <si>
    <t>2 02 29999 05 5020 151</t>
  </si>
  <si>
    <t>2 02 29999 05 5018 151</t>
  </si>
  <si>
    <t>2 02 29999 05 7397 151</t>
  </si>
  <si>
    <t>2 02 29999 05 7398 151</t>
  </si>
  <si>
    <t>2 02 29999 05 7412 151</t>
  </si>
  <si>
    <t>2 02 29999 05 7413 151</t>
  </si>
  <si>
    <t>2 02 29999 05 7492 151</t>
  </si>
  <si>
    <t>2 02 29999 05 7488 151</t>
  </si>
  <si>
    <t>2 02 29999 05 7508 151</t>
  </si>
  <si>
    <t>2 02 29999 05 7509 151</t>
  </si>
  <si>
    <t>2 02 29999 05 7555 151</t>
  </si>
  <si>
    <t>2 02 29999 05 7562 151</t>
  </si>
  <si>
    <t>2 02 29999 05 7563 151</t>
  </si>
  <si>
    <t>2 02 29999 05 7571 151</t>
  </si>
  <si>
    <t>2 02 29999 05 7591 151</t>
  </si>
  <si>
    <t>2 02 29999 05 7602 151</t>
  </si>
  <si>
    <t>2 02 29999 05 7741 151</t>
  </si>
  <si>
    <t>2 02 29999 05 7746 151</t>
  </si>
  <si>
    <t>2 02 35120 05 0000 151</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</si>
  <si>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</si>
  <si>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2 02 35118 05 0000 151</t>
  </si>
  <si>
    <t>2 02 30024 05 0151 151</t>
  </si>
  <si>
    <t>2 02 30024 05 0640 151</t>
  </si>
  <si>
    <t>2 02 30024 05 7429 151</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</si>
  <si>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инвестиционной политики и внешних связей Красноярского края в рамках непрограммных расходов отдельных органов исполнительной власти</t>
  </si>
  <si>
    <t>2 02 30024 05 7467 151</t>
  </si>
  <si>
    <t>2 02 30024 05 7513 151</t>
  </si>
  <si>
    <t>2 02 30024 05 7514 151</t>
  </si>
  <si>
    <t>2 02 30024 05 7517 151</t>
  </si>
  <si>
    <t>2 02 30024 05 7518 151</t>
  </si>
  <si>
    <t>2 02 30024 05 7519 151</t>
  </si>
  <si>
    <t>2 02 30024 05 7552 151</t>
  </si>
  <si>
    <t>2 02 30024 05 7554 151</t>
  </si>
  <si>
    <t>2 02 30024 05 7564 151</t>
  </si>
  <si>
    <t>2 02 30024 05 7566 151</t>
  </si>
  <si>
    <t>2 02 30024 05 7570 151</t>
  </si>
  <si>
    <t>2 02 30024 05 7577 151</t>
  </si>
  <si>
    <t>2 02 30024 05 7588 151</t>
  </si>
  <si>
    <t>2 02 30024 05 7601 151</t>
  </si>
  <si>
    <t xml:space="preserve"> 2 02 30024 05 7604 151</t>
  </si>
  <si>
    <t>2 02 30029 05 0000 151</t>
  </si>
  <si>
    <t>2 02 35055 05 9000 151</t>
  </si>
  <si>
    <t>2 02 39999 05 7409 151</t>
  </si>
  <si>
    <t>2 02 39999 05 7408 151</t>
  </si>
  <si>
    <t>2 02 40014 05 0000 151</t>
  </si>
  <si>
    <t>2 02 45144 05 0000 151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</si>
  <si>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</si>
  <si>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2 02 45147 05 0000 151</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</si>
  <si>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</si>
  <si>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2 02 45148 05 0000 151</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</si>
  <si>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</si>
  <si>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2 02 49999 05 0000 151</t>
  </si>
  <si>
    <t>2 02 49999 05 7745 151</t>
  </si>
  <si>
    <t>2 02 90024 05 0000 151</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</si>
  <si>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</si>
  <si>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</si>
  <si>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</si>
  <si>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</si>
  <si>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</si>
  <si>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</si>
  <si>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</si>
  <si>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</si>
  <si>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</si>
  <si>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</si>
  <si>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 xml:space="preserve">за счет  средств субвенции на реализацию государственных  полномочий по расчету и предоставлению дотаций поселениям, входящим в состав  муниципального района края </t>
  </si>
  <si>
    <t>за счет собственных средств районного бюджета</t>
  </si>
  <si>
    <t>0620000000</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</si>
  <si>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</si>
  <si>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</si>
  <si>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</si>
  <si>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</si>
  <si>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</si>
  <si>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</si>
  <si>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</si>
  <si>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</si>
  <si>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</si>
  <si>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</si>
  <si>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</si>
  <si>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</si>
  <si>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</si>
  <si>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</si>
  <si>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</si>
  <si>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</si>
  <si>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</si>
  <si>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</si>
  <si>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ОКАЗАНИЯ ПЛАТНЫХ УСЛУГ (РАБОТ) И КОМПЕНСАЦИИ ЗАТРАТ ГОСУДАРСТВА</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</si>
  <si>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</si>
  <si>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</si>
  <si>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</si>
  <si>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</si>
  <si>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</si>
  <si>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</si>
  <si>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</si>
  <si>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</si>
  <si>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</si>
  <si>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</si>
  <si>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</si>
  <si>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</si>
  <si>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</si>
  <si>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06020</t>
  </si>
  <si>
    <t>Доходы от продажи земельных участков, находящихся в собственности муниципальных районов (за исключением земельных участков бюджетных и автономных учреждений)</t>
  </si>
  <si>
    <t>Денежные взыскания (штрафы) за нарушение законодательства о налогах и сборах</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</si>
  <si>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</si>
  <si>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08000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</si>
  <si>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</si>
  <si>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25000</t>
  </si>
  <si>
    <t>Денежные взыскания (штрафы) за нарушение водного законодательства</t>
  </si>
  <si>
    <t>25080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</si>
  <si>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</si>
  <si>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Денежные взыскания (штрафы) за правонарушения в области дорожного движения</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</si>
  <si>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</si>
  <si>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</si>
  <si>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33000</t>
  </si>
  <si>
    <t>Суммы по искам о возмещении вреда, причиненного окружающей среде</t>
  </si>
  <si>
    <t>35000</t>
  </si>
  <si>
    <t>Прочие поступления от денежных взысканий (штрафов) и иных сумм в возмещение ущерба</t>
  </si>
  <si>
    <t>90000</t>
  </si>
  <si>
    <t>1 13 02065 05 0000 130</t>
  </si>
  <si>
    <t xml:space="preserve">Доходы, поступающие в порядке возмещения расходов, понесенных в связи с эксплуатацией имущества муниципальных районов </t>
  </si>
  <si>
    <t>Прочие доходы от оказания платных услуг (работ) получателями средств бюджетов муниципальных районов(платные услуги муниципальных учреждений, находящимся в ведении органов местного самоуправления муниципальных районов)</t>
  </si>
  <si>
    <t>Прочие доходы от оказания платных услуг (работ) получателями средств бюджетов муниципальных районов (родительская плата муниципальных учреждений, находящимся в ведении органов местного самоуправления муниципальных районов)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</si>
  <si>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от поступления штрафов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</si>
  <si>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от поступления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</si>
  <si>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</si>
  <si>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</si>
  <si>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поступления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</si>
  <si>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поступления штрафов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</si>
  <si>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</si>
  <si>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 xml:space="preserve">Прочие доходы от оказания платных услуг (работ) получателями средств  бюджетов муниципальных районов </t>
  </si>
  <si>
    <t>Субвенции бюджетам муниципальных районов на осуществление первичного воинского учета на территориях, где отсутствуют военные комиссариаты</t>
  </si>
  <si>
    <t>01 03 01 00 05 0000 710</t>
  </si>
  <si>
    <t>01 03 01 00 05 0000 810</t>
  </si>
  <si>
    <t>Государственная пошлина за выдачу разрешения на установку рекламной конструкции (основной платеж)</t>
  </si>
  <si>
    <t>Государственная пошлина за выдачу разрешения на установку рекламной конструкции (прочие поступления)</t>
  </si>
  <si>
    <t>Прочие неналоговые доходы бюджетов муниципальных районов (основной платеж)</t>
  </si>
  <si>
    <t>Доходы бюджетов муниципальных районов от возврата бюджетными учреждениями остатков субсидий прошлых лет (Восстановление в доход бюджета кассового расхода по целевым средствам прошлых лет).</t>
  </si>
  <si>
    <t>Доходы бюджетов муниципальных районов от возврата иными организациями остатков субсидий прошлых лет (восстановление кассового расхода по целевым средствам прошлых лет)</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</si>
  <si>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</si>
  <si>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учреждений)(по пени)</t>
  </si>
  <si>
    <t>Прочие неналоговые доходы бюджетов муниципальных районов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</si>
  <si>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</si>
  <si>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 от поступления пени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</si>
  <si>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</si>
  <si>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от поступления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</si>
  <si>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</si>
  <si>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</si>
  <si>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поселений,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</si>
  <si>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поселений, по пени</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</si>
  <si>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</si>
  <si>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</si>
  <si>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</si>
  <si>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иными организациями остатков субсидий прошлых лет(Поступление в доход бюджета средств прошлых лет по ЦСР 0220074080)</t>
  </si>
  <si>
    <t>Доходы бюджетов муниципальных районов от возврата иными организациями остатков субсидий прошлых лет (Поступление в доход бюджета средств прошлых лет по ЦСР 0220074090)</t>
  </si>
  <si>
    <t>Доходы бюджетов муниципальных районов от возврата иными организациями остатков субсидий прошлых лет(по целевым средствам прошлых лет (ЦСР 5210252))</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</si>
  <si>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t>
  </si>
  <si>
    <t>Доходы бюджетов муниципальных районов от возврата иными организациями остатков субсидий прошлых лет(по целевым средствам прошлых лет (ЦСР 4310101, 1017456, 1010074560))</t>
  </si>
  <si>
    <t>Доходы бюджетов муниципальных районов от возврата иными организациями остатков субсидий прошлых лет(по целевым средствам прошлых лет (ЦСР 8210000, 0497577, 0490075770))</t>
  </si>
  <si>
    <t>Доходы бюджетов муниципальных районов от возврата иными организациями остатков субсидий прошлых лет(по целевым средствам прошлых лет (ЦСР 5056504, 0340192))</t>
  </si>
  <si>
    <t>Доходы бюджетов муниципальных районов от возврата иными организациями остатков субсидий прошлых лет(по целевым средствам прошлых лет (ЦСР 5056501, 0340191))</t>
  </si>
  <si>
    <t>Доходы бюджетов муниципальных районов от возврата иными организациями остатков субсидий прошлых лет(по целевым средствам прошлых лет (ЦСР 5056608, 5056610, 0310212 2014 год))</t>
  </si>
  <si>
    <t>Доходы бюджетов муниципальных районов от возврата иными организациями остатков субсидий прошлых лет(по целевым средствам прошлых лет (ЦСР 5056602 (2009 год), 5056609 (2010 год), 0310211(2014год))</t>
  </si>
  <si>
    <t>Доходы бюджетов муниципальных районов от возврата иными организациями остатков субсидий прошлых лет(по целевым средствам прошлых лет (ЦСР 5056604))</t>
  </si>
  <si>
    <t>Доходы бюджетов муниципальных районов от возврата иными организациями остатков субсидий прошлых лет(по целевым средствам прошлых лет (ЦСР 5055301, 0320171 2014год))</t>
  </si>
  <si>
    <t>Доходы бюджетов муниципальных районов от возврата иными организациями остатков субсидий прошлых лет(по целевым средствам прошлых лет (ЦСР 5057805, 0320272 2014г.))</t>
  </si>
  <si>
    <t>Доходы бюджетов муниципальных районов от возврата иными организациями остатков субсидий прошлых лет(по целевым средствам прошлых лет (ЦСР 5057806, 0320273 2014г))</t>
  </si>
  <si>
    <t>Доходы бюджетов муниципальных районов от возврата иными организациями остатков субсидий прошлых лет(по целевым средствам прошлых лет (ЦСР 5210230, 5223738, 5227410, 0227561))</t>
  </si>
  <si>
    <t>Доходы бюджетов муниципальных районов от возврата иными организациями остатков субсидий прошлых лет( по целевым средствам прошлых лет (ЦСР 5210202))</t>
  </si>
  <si>
    <t>Доходы бюджетов муниципальных районов от возврата иными организациями остатков субсидий прошлых лет(по целевым средствам прошлых лет (ЦСР 5056801, 0340231 2014г))</t>
  </si>
  <si>
    <t>Доходы бюджетов муниципальных районов от возврата иными организациями остатков субсидий прошлых лет(по целевым средствам прошлых лет (ЦСР 5056005, 0310181 2014г))</t>
  </si>
  <si>
    <t>Доходы бюджетов муниципальных районов от возврата иными организациями остатков субсидий прошлых лет(по целевым средствам прошлых лет (ЦСР 5221701 (2010 год)))</t>
  </si>
  <si>
    <t>Доходы бюджетов муниципальных районов от возврата иными организациями остатков субсидий прошлых лет(по целевым средствам прошлых лет (ЦСР 5201003 ))</t>
  </si>
  <si>
    <t>Доходы бюджетов муниципальных районов от возврата иными организациями остатков субсидий прошлых лет(по целевым средствам прошлых лет (ЦСР 5057904))</t>
  </si>
  <si>
    <t>Доходы бюджетов муниципальных районов от возврата иными организациями остатков субсидий прошлых лет(по целевым средствам прошлых лет (ЦСР 0312696))</t>
  </si>
  <si>
    <t>Доходы бюджетов муниципальных районов от возврата иными организациями остатков субсидий прошлых лет( по целевым средствам прошлых лет (ЦСР 0320461))</t>
  </si>
  <si>
    <t>Доходы бюджетов муниципальных районов от возврата иными организациями остатков субсидий прошлых лет(по целевым средствам прошлых лет (ЦСР 0310286))</t>
  </si>
  <si>
    <t>Доходы бюджетов муниципальных районов от возврата иными организациями остатков субсидий прошлых лет(по целевым средствам прошлых лет (ЦСР0320276))</t>
  </si>
  <si>
    <t>Доходы бюджетов муниципальных районов от возврата иными организациями остатков субсидий прошлых лет(по целевым средствам прошлых лет (ЦСР 0310288))</t>
  </si>
  <si>
    <t>Доходы бюджетов муниципальных районов от возврата бюджетными учреждениями остатков субсидий прошлых лет( по целевым средствам прошлых лет (ЦСР 5225108))</t>
  </si>
  <si>
    <t>Доходы бюджетов муниципальных районов от возврата иными организациями остатков субсидий прошлых лет(выплаты по программе "Жилище")</t>
  </si>
  <si>
    <t>Доходы бюджетов муниципальных районов от возврата иными организациями остатков субсидий прошлых лет(по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</si>
  <si>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лет(по целевым средствам прошлых лет (ЦСР4367500, 0110075880))</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</si>
  <si>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</si>
  <si>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лет(по целевым средствам прошлых лет (ЦСР 8160000, 0497578, 0497570, 049007570))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</si>
  <si>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</si>
  <si>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</si>
  <si>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2 18 60010 05 0000 151</t>
  </si>
  <si>
    <t>2 18 60010 05 5118 151</t>
  </si>
  <si>
    <t>2 18 60010 05 7514 151</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</si>
  <si>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поселений(осуществление первичного воинского учета на территориях, где отсутствуют военные комиссариаты)</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</si>
  <si>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 на выполнение государственных полномочий по созданию и обеспечению деятельности административных комиссий)</t>
  </si>
  <si>
    <t>2 18 60010 05 7412 151</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</si>
  <si>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</si>
  <si>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2 18 60010 05 7393 151</t>
  </si>
  <si>
    <t>2 19 25020 05 0000 151</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</si>
  <si>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районов</t>
  </si>
  <si>
    <t>2 19 25097 05 0000 151</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</si>
  <si>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муниципальных районов</t>
  </si>
  <si>
    <t xml:space="preserve">2 19 45148 05 0000 151 </t>
  </si>
  <si>
    <t>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муниципальных районов</t>
  </si>
  <si>
    <t>2 19 60010 05 0000 151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</si>
  <si>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</si>
  <si>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2 19 60010 05 9911 151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</si>
  <si>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</si>
  <si>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</si>
  <si>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</si>
  <si>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</si>
  <si>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0130080000</t>
  </si>
  <si>
    <t>013008П000</t>
  </si>
  <si>
    <t>0130040000</t>
  </si>
  <si>
    <t>0130041000</t>
  </si>
  <si>
    <t>0130047000</t>
  </si>
  <si>
    <t>013004Г000</t>
  </si>
  <si>
    <t>0130060000</t>
  </si>
  <si>
    <t>0130067000</t>
  </si>
  <si>
    <t>0130040050</t>
  </si>
  <si>
    <t>0120000000</t>
  </si>
  <si>
    <t>0100</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</si>
  <si>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</si>
  <si>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</si>
  <si>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Функционирование высшего должностного лица субъекта Российской Федерации и муниципального образования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</si>
  <si>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</si>
  <si>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</si>
  <si>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</si>
  <si>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</si>
  <si>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</si>
  <si>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</si>
  <si>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</si>
  <si>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</si>
  <si>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</si>
  <si>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</si>
  <si>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</si>
  <si>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t>
  </si>
  <si>
    <t>907004Б000</t>
  </si>
  <si>
    <t>Расходы на приобретение основных средств муниципального казенного учреждения в рамках непрограммных расходов</t>
  </si>
  <si>
    <t>907004Ф000</t>
  </si>
  <si>
    <t>Иные выплаты персоналу учреждений, за исключением фонда оплаты труда</t>
  </si>
  <si>
    <t>0800</t>
  </si>
  <si>
    <t>Иные выплаты, за исключением фонда оплаты труда учреждений, лицам, привлекаемым согласно законодательству для выполнения отдельных полномочий</t>
  </si>
  <si>
    <t>Расходы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</si>
  <si>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071008Ф020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</si>
  <si>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</si>
  <si>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</si>
  <si>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</si>
  <si>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</si>
  <si>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</si>
  <si>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Муниципальное бюджетное учреждение "Муниципальная пожарная часть № 1"</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</si>
  <si>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</si>
  <si>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</si>
  <si>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0200</t>
  </si>
  <si>
    <t>0900</t>
  </si>
  <si>
    <t>Другие вопросы в области здравоохранения</t>
  </si>
  <si>
    <t>1300</t>
  </si>
  <si>
    <t>МЕЖБЮДЖЕТНЫЕ ТРАНСФЕРТЫ ОБЩЕГО ХАРАКТЕРА БЮДЖЕТАМ БЮДЖЕТНОЙ СИСТЕМЫ РОССИЙСКОЙ ФЕДЕРАЦИИ</t>
  </si>
  <si>
    <t>1400</t>
  </si>
  <si>
    <t>2 02 29999 05 7454 151</t>
  </si>
  <si>
    <t>2 02 29999 05 7456 151</t>
  </si>
  <si>
    <t>2 02 29999 05 7558 151</t>
  </si>
  <si>
    <t>2 02 29999 05 7560 151</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</si>
  <si>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</si>
  <si>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</si>
  <si>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</si>
  <si>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</si>
  <si>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</si>
  <si>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Субсидии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края, согласно статье 15 Закона Красноярского края от 21 декабря 2010 года № 11-5566 "О физической культуре и спорте в Красноярском крае" в рамках подпрограммы "Развитие спорта высших достижений" государственной программы Красноярского края "Развитие физической культуры и спорта"</t>
  </si>
  <si>
    <t>Субсидии на софинансирование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договору найма жилого помещения,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</si>
  <si>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</si>
  <si>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организацию отдыха детей в каникулярное время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</si>
  <si>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</si>
  <si>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</si>
  <si>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</si>
  <si>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</si>
  <si>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</si>
  <si>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</si>
  <si>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реализацию мероприятий, направленных на повышение безопасности дорожного движения, в рамках подпрограммы "Повышение безопасности дорожного движения" государственной программы Красноярского края "Развитие транспортной системы"</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</si>
  <si>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</si>
  <si>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</si>
  <si>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</si>
  <si>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Субсидии бюджетам муниципальных образований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</si>
  <si>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проведение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</si>
  <si>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развитие инфраструктуры общеобразовательных учреждений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</si>
  <si>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</si>
  <si>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</si>
  <si>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Субсидии бюджетам муниципальных образований на обеспечение мероприятий по переселению граждан из аварийного жилищного фонда,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</si>
  <si>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</si>
  <si>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Субсидии бюджетам муниципальных образований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"Содействие созданию безопасных и комфортных для населения условий функционирования объектов муниципальной собственности" государственной программы Красноярского края "Содействие развитию местного самоуправления"</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</si>
  <si>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</si>
  <si>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</si>
  <si>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</si>
  <si>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</si>
  <si>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</si>
  <si>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</si>
  <si>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</si>
  <si>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</si>
  <si>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</si>
  <si>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</si>
  <si>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</si>
  <si>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</si>
  <si>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</si>
  <si>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</si>
  <si>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</si>
  <si>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</si>
  <si>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</si>
  <si>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</si>
  <si>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</si>
  <si>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</si>
  <si>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7397</t>
  </si>
  <si>
    <t>Субсидии бюджетам муниципальных образований на организацию отдыха детей в каникулярное время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</si>
  <si>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35543</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</si>
  <si>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</si>
  <si>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20299</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</si>
  <si>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</si>
  <si>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</si>
  <si>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7412</t>
  </si>
  <si>
    <t>7413</t>
  </si>
  <si>
    <t>Поддержка отрасли культуры за счет средств федерального бюджета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</si>
  <si>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25519</t>
  </si>
  <si>
    <t>Субсидия бюджетам на развитие отрасли культуры</t>
  </si>
  <si>
    <t>7492</t>
  </si>
  <si>
    <t>Субсидии бюджетам муниципальных образований на реализацию мероприятий, направленных на повышение безопасности дорожного движения, в рамках подпрограммы «Повышение безопасности дорожного движения» государственной программы Красноярского края «Развитие транспортной системы»</t>
  </si>
  <si>
    <t>7508</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</si>
  <si>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</si>
  <si>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2 02 25519 05 0000 151</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</si>
  <si>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</si>
  <si>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2 02 35543 05 9000 151</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</si>
  <si>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</si>
  <si>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</si>
  <si>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1043</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</si>
  <si>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</si>
  <si>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</si>
  <si>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</si>
  <si>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</si>
  <si>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</si>
  <si>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</si>
  <si>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</si>
  <si>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</si>
  <si>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</si>
  <si>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t>
  </si>
  <si>
    <t>1044</t>
  </si>
  <si>
    <t>17</t>
  </si>
  <si>
    <t>05050</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</si>
  <si>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</si>
  <si>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</si>
  <si>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</si>
  <si>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</si>
  <si>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дороги с</t>
  </si>
  <si>
    <t>дороги кап</t>
  </si>
  <si>
    <t>пожарка</t>
  </si>
  <si>
    <t>Отдельные мероприятия в рамках подпрограммы "Профилактика терроризма, а также минимизации и (или)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</si>
  <si>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</si>
  <si>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</si>
  <si>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0410074130</t>
  </si>
  <si>
    <t>Софинансирование за счет средств местного бюджета расходов на содержание единых дежурно-диспетчерских служб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</si>
  <si>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04100S4130</t>
  </si>
  <si>
    <t>Средства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</si>
  <si>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0420074120</t>
  </si>
  <si>
    <t>Софинансирование за счет средст местного бюджета расходов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</si>
  <si>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</si>
  <si>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12100R543Б</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</si>
  <si>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</si>
  <si>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814</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</si>
  <si>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</si>
  <si>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</si>
  <si>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повышение размеров оплаты труда работников бюджетной сферы по молодежной политики, в рамках подпрограммы "Обеспечение реализации муниципальной программы и прочие мероприятия" муниципальной программы "Молодежь Приангарья"</t>
  </si>
  <si>
    <t>0640010430</t>
  </si>
  <si>
    <t>Средства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</si>
  <si>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0350075710</t>
  </si>
  <si>
    <t>Бюджетные инвестиции в объекты капитального строительства государственной (муниципальной) собственности</t>
  </si>
  <si>
    <t>414</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</si>
  <si>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</si>
  <si>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</si>
  <si>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Софинансирование за счет средств местного бюжджета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</si>
  <si>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</si>
  <si>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</si>
  <si>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</si>
  <si>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Исполнение судебных решений в рамках непрограммных расходов органов местного самоуправления</t>
  </si>
  <si>
    <t>9090080010</t>
  </si>
  <si>
    <t>Исполнение судебных актов Российской Федерации и мировых соглашений по возмещению причиненного вреда</t>
  </si>
  <si>
    <t>За содействие развитию налогового потенциала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</si>
  <si>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0530077450</t>
  </si>
  <si>
    <t>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подпрограммы "Культурное наследие" муниципальной программы Богучанского района "Развитие культуры"</t>
  </si>
  <si>
    <t>0510010440</t>
  </si>
  <si>
    <t>Софинансирование за счет средств местного бюджета расходов на поддержку отрасли культуры в рамках подпрограммы "Культурное наследие" муниципальной программы Богучанского района "Развитие культуры"</t>
  </si>
  <si>
    <t>05100L5190</t>
  </si>
  <si>
    <t>Поддержка отрасли культуры в рамках подпрограммы "Культурное наследие" муниципальной программы Богучанского района "Развитие культуры"</t>
  </si>
  <si>
    <t>05100R5190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</si>
  <si>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</si>
  <si>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</si>
  <si>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Расходы на развитие системы образования Богучанского района за счет средств гранта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</si>
  <si>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0110084020</t>
  </si>
  <si>
    <t>Расходы на приобретение основных средств в рамках подпрограммы "Обеспечение реализации муниципальной программы" муниципальной программы "Управление муниципальными финансами"</t>
  </si>
  <si>
    <t>112006Ф000</t>
  </si>
  <si>
    <t>Расходы на содержание автомобильных дорог общего пользования местного значения городских округов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</si>
  <si>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</si>
  <si>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0910075090</t>
  </si>
  <si>
    <t>Межбюджетные трансферты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</si>
  <si>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0930074920</t>
  </si>
  <si>
    <t>Межбюджетные трансферты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</si>
  <si>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1010009502</t>
  </si>
  <si>
    <t>Межбюджетные трансферты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</si>
  <si>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1010009602</t>
  </si>
  <si>
    <t>Подпрограмма "Профилактика терроризма, а также минимизации и (или) ликвидации последствий его проявлений"</t>
  </si>
  <si>
    <t>0430000000</t>
  </si>
  <si>
    <t>1010000000</t>
  </si>
  <si>
    <t>Администрация Таежнинского сельсовета Богучанского района Красноярского края</t>
  </si>
  <si>
    <t>Межбюджетные трансферты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t>
  </si>
  <si>
    <t>2 02 29999 05 1044 151</t>
  </si>
  <si>
    <t>Субсидии бюджетам муниципальных образований на развитие инфраструктуры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</si>
  <si>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7563</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</si>
  <si>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</si>
  <si>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7398</t>
  </si>
  <si>
    <t>Дотации бюджетам на поддержку мер по обеспечению сбалансированности бюджетов</t>
  </si>
  <si>
    <t>15002</t>
  </si>
  <si>
    <t>Субсидии бюджетам на реализацию федеральных целевых программ</t>
  </si>
  <si>
    <t>20051</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</si>
  <si>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</si>
  <si>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</si>
  <si>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</si>
  <si>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05099</t>
  </si>
  <si>
    <t>2  04 05099 05 9904 180</t>
  </si>
  <si>
    <t>Ведомственная 17 год</t>
  </si>
  <si>
    <t>Ведомственная 18-19 год</t>
  </si>
  <si>
    <t>Функц разрез 17 год</t>
  </si>
  <si>
    <t>Функц разрез 18-19 год</t>
  </si>
  <si>
    <t>ЦСР 17 год</t>
  </si>
  <si>
    <t>ЦСР 18-19 год</t>
  </si>
  <si>
    <t>Отдельные мероприятия в рамках подпрограммы "Профилактика терроризма и экстремизма, а также минимизация и ликвидация последствий его проявлений на территории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</si>
  <si>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Мероприятия по проектированию, реконструкции, строительству и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</si>
  <si>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0110080060</t>
  </si>
  <si>
    <t>Софинансирование за счет средств местного бюджета расходов на поддержку отрасли культуры (к краевым средствам) в рамках подпрограммы "Культурное наследие" муниципальной программы Богучанского района "Развитие культуры"</t>
  </si>
  <si>
    <t>05100S5190</t>
  </si>
  <si>
    <t>05100Ч0440</t>
  </si>
  <si>
    <t>Софинансирование за счет средств местного бюджета расходов на 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тысяч человек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</si>
  <si>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05300S5580</t>
  </si>
  <si>
    <t>06300R0200</t>
  </si>
  <si>
    <t>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</si>
  <si>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0110075630</t>
  </si>
  <si>
    <t>Софинансирование за счет средств местного бюджета расходов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</si>
  <si>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</si>
  <si>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Расходы на проведение мероприятий, направленных на обеспечение безопасности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</si>
  <si>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0930073980</t>
  </si>
  <si>
    <t>Софинансирование за счет средств местного бюджета расходов на проведение мероприятий, направленных на обеспечение безопасности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</si>
  <si>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09300S3980</t>
  </si>
  <si>
    <t>Муниципальное казенное учреждение "Муниципальная пожарная часть № 1"</t>
  </si>
  <si>
    <t>Подпрограмма "Профилактика терроризма и экстремизма, а также минимизация и ликвидация последствий его проявлений на территории Богучанского района"</t>
  </si>
  <si>
    <t>государств гарантии</t>
  </si>
  <si>
    <t>Субсидии бюджетам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</si>
  <si>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25558</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</si>
  <si>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</si>
  <si>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</si>
  <si>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</si>
  <si>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тысяч человек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</si>
  <si>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05300R5580</t>
  </si>
  <si>
    <t>2 02 25558 05 0000 151</t>
  </si>
  <si>
    <t>9965</t>
  </si>
  <si>
    <t>9964</t>
  </si>
  <si>
    <t>9972</t>
  </si>
  <si>
    <t>2 02 35543 05 0000 151</t>
  </si>
  <si>
    <t>2 02 29999 05 1021 151</t>
  </si>
  <si>
    <t>2 02 29999 05 1031 151</t>
  </si>
  <si>
    <t xml:space="preserve">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 </t>
  </si>
  <si>
    <t xml:space="preserve">Персональные выплаты, установленные в целях повышения оплаты труда молодым специалистам, персональные выплаты, устанавливаемые с учетом опыта работы при наличии учетной степени, почетного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 </t>
  </si>
  <si>
    <t>2 02 29999 05 7840 151</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</si>
  <si>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</si>
  <si>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2 02 25097 05 0000 151</t>
  </si>
  <si>
    <t>2 02 29999 05 7749 151</t>
  </si>
  <si>
    <t>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</si>
  <si>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</si>
  <si>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25097</t>
  </si>
  <si>
    <t>7840</t>
  </si>
  <si>
    <t>1021</t>
  </si>
  <si>
    <t>Персональные выплаты, установленные в целях повышения оплаты труда молодым специалистам, персональные выплаты, устанавливаемые с учетом опыта работы при наличии учетной степени, почетного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t>
  </si>
  <si>
    <t>1031</t>
  </si>
  <si>
    <t>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</si>
  <si>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7741</t>
  </si>
  <si>
    <t>7749</t>
  </si>
  <si>
    <t>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</si>
  <si>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01100R0970</t>
  </si>
  <si>
    <t>Межбюджетные трансферты для реализации проектов по решению вопросов местного значения сельских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</si>
  <si>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1110077490</t>
  </si>
  <si>
    <t>Средства на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</si>
  <si>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1110078400</t>
  </si>
  <si>
    <t>Софинансирование за счет средств местного бюджета расходов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</si>
  <si>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01100L0970</t>
  </si>
  <si>
    <t>Выполнение полномочий поселений по созданию условий для организации досуга и обеспечения жителей услугами организаций культуры в части приобретения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</si>
  <si>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05300ЧФ030</t>
  </si>
  <si>
    <t>Обеспечение деятельности (содержание технического персонала) подведомственных учреждений,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</si>
  <si>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053004000П</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</si>
  <si>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</si>
  <si>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053004100П</t>
  </si>
  <si>
    <t>Выполнение полномочий поселений по созданию условий для организации досуга и обеспечения жителей услугами организаций культуры (содержание технического персонала)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</si>
  <si>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05300Ч003П</t>
  </si>
  <si>
    <t>Выполнение полномочий поселений по библиотечному обслуживанию населения (содержание технического персонала)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</si>
  <si>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05300Ч004П</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</si>
  <si>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</si>
  <si>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05300Ч103П</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</si>
  <si>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</si>
  <si>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05300Ч104П</t>
  </si>
  <si>
    <t>2 02 29999 05 1042 151</t>
  </si>
  <si>
    <t>Средства на повышение размеров оплаты труда отдельным категориям работников бюджетной сферы края, в том числе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</si>
  <si>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2 02 29999 05 1046 151</t>
  </si>
  <si>
    <t>Средства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по министерству культуры Красноярского края в рамках непрограммных расходов отдельных органов исполнительной власти</t>
  </si>
  <si>
    <t>Функционирование высшего должностного лица субъекта Российской  Федерации и муниципального образования</t>
  </si>
  <si>
    <t>Выполнение полномочий поселений по созданию условий для организации досуга и обеспечения жителей услугами организаций культуры в части повышения размеров оплаты труда основного персонала библиотек и музеев Красноярского края в рамках подпрограммы "Культурное наследие" муниципальной программы Богучанского района "Развитие культуры"</t>
  </si>
  <si>
    <t>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</si>
  <si>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0620074540</t>
  </si>
  <si>
    <t>Софинансирование за счет средств местного бюджета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</si>
  <si>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</si>
  <si>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Связь и информатика</t>
  </si>
  <si>
    <t>0410</t>
  </si>
  <si>
    <t>Средства на создание условий для развития услуг связи в малочисленных и труднодоступных населенных пунктах Красноярского края в рамках подпрограммы "Развитие информационного общества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</si>
  <si>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0380076450</t>
  </si>
  <si>
    <t>Софинансирование за счет средств местного бюджета расходов на создание условий для развития услуг связи в малочисленных и труднодоступных населенных пунктах Красноярского края в рамках подпрограммы "Развитие информационного общества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</si>
  <si>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03800S6450</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</si>
  <si>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</si>
  <si>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Средства на повышение размеров оплаты труда отдельным категориям работников бюджетной сферы края, в том числе для которых указами Президента Российской Федерации предусмотрено повышение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</si>
  <si>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0530010420</t>
  </si>
  <si>
    <t>Средства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по министерству культуры Красноярского края в рамках подпрограммы "Культурное наследие" муниципальной программы Богучанского района "Развитие культуры"</t>
  </si>
  <si>
    <t>0510010460</t>
  </si>
  <si>
    <t>Средства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по министерству культуры Красноярского края в рамках подпрограммы "Искусство и народное творчество"муниципальной программы Богучанского района "Развитие культуры"</t>
  </si>
  <si>
    <t>0520010460</t>
  </si>
  <si>
    <t>Средства на повышение размеров оплаты труда отдельным категориям работников бюджетной сферы края, в том числе для которых указами Президента Российской Федерации предусмотрено повышение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</si>
  <si>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0110010420</t>
  </si>
  <si>
    <t>Средства на повышение размеров оплаты труда методистов муниципальных методических кабинетов (центров) сферы «Образование»,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</si>
  <si>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0130010450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</si>
  <si>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</si>
  <si>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</si>
  <si>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Подпрограмма "Развитие информационного общества Богучанского района"</t>
  </si>
  <si>
    <t>0380000000</t>
  </si>
  <si>
    <t xml:space="preserve">Средства на повышение размеров оплаты труда отдельным категориям работников бюджетной сферы края, в том числе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 </t>
  </si>
  <si>
    <t>1042</t>
  </si>
  <si>
    <t>Средства на повышение размеров оплаты труда методистов муниципальных методических кабинетов (центров) сферы «Образование»,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 по министерству образования Красноярского края в рамках непрограммных расходов отдельных органов исполнительной власти</t>
  </si>
  <si>
    <t>1045</t>
  </si>
  <si>
    <t xml:space="preserve">Средства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по министерству культуры Красноярского края в рамках непрограммных расходов отдельных органов исполнительной власти </t>
  </si>
  <si>
    <t>1046</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</si>
  <si>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</si>
  <si>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</si>
  <si>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7645</t>
  </si>
  <si>
    <t>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</si>
  <si>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2 02 29999 05 1045 151</t>
  </si>
  <si>
    <t xml:space="preserve">Средства на повышение размеров оплаты труда методистов муниципальных методических кабинетов (центров) сферы «Образование»,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 по министерству образования Красноярского края в рамках непрограммных расходов отдельных органов исполнительной власти </t>
  </si>
  <si>
    <t>2 02 29999 05 7645 151</t>
  </si>
  <si>
    <t>2 18 05030 05 9938 180</t>
  </si>
  <si>
    <t>Доходы бюджетов муниципальных районов от возврата иными организациями остатков субсидий прошлых лет(по целевым средствам прошлых лет (ЦСР  5054681, 5054682, 5054683 2012-2013 гг, 023525082 2014год))</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</si>
  <si>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</si>
  <si>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</si>
  <si>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</si>
  <si>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</si>
  <si>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</si>
  <si>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7745</t>
  </si>
  <si>
    <t>Предоставление иных межбюджетных трансяфертов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</si>
  <si>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зп ДК</t>
  </si>
  <si>
    <t>налог потенц</t>
  </si>
  <si>
    <t>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</si>
  <si>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7591</t>
  </si>
  <si>
    <t>9934</t>
  </si>
  <si>
    <t>2 02 29999 05 7607 151</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</si>
  <si>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</si>
  <si>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7607</t>
  </si>
  <si>
    <t>Администрация Пинчугского  сельсовета</t>
  </si>
  <si>
    <t>капитальный ремонт по замене участка кровли в МКОУ  Артюгинская СОШ № 8</t>
  </si>
  <si>
    <t>капитальный ремонт здания  МКДОУ  детский сад Солнышко  п.Артюгино (замена окон)</t>
  </si>
  <si>
    <t>капитальный ремонт здания СДК  в п.Красногорьевский (замена окон)</t>
  </si>
  <si>
    <t>капитальный ремонт здания  МКДОУ  детский сад Солнышко  п.Октябрьский (замена окон)</t>
  </si>
  <si>
    <t>ремонт кровли  детский сад  п.Красногорьевский</t>
  </si>
  <si>
    <t>ремонт кровли  МБУК "Богучанский  межпоселенческий  РДК Янтарь" с.Богучаны</t>
  </si>
  <si>
    <t>ремонт кровли  МБУК "Богучанский  межпоселенческий  РДК Янтарь" филиал п.Такучет</t>
  </si>
  <si>
    <t xml:space="preserve">замена дверных проемов МБУ ДО Пинчугская ДШИ </t>
  </si>
  <si>
    <t>Софинансирование за счет средств местного бюджета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</si>
  <si>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08100S6070</t>
  </si>
  <si>
    <t>Софинансирование за счет средств местного бюджета расходов, направленных за содействие развитию налогового потенциала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</si>
  <si>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05300S7450</t>
  </si>
  <si>
    <t>На актуализацию документов территориального планирования и градостроительного зонирования муниципальных образований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</si>
  <si>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Софинансирование за счет средств местного бюджета расходов на актуализацию документов территориального планирования и градостроительного зонирования муниципальных образований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</si>
  <si>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10400S5910</t>
  </si>
  <si>
    <t>Расходы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</si>
  <si>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035008Ф000</t>
  </si>
  <si>
    <t>1040075910</t>
  </si>
  <si>
    <t>Подпрограмма "Осуществление градостроительной деятельности в Богучанском районе"</t>
  </si>
  <si>
    <t>1040000000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</si>
  <si>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</si>
  <si>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</si>
  <si>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Расходы на приобретение основных средств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</si>
  <si>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013006Ф000</t>
  </si>
  <si>
    <t>Субсидии бюджетам муниципальных образований края,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2017 год,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</si>
  <si>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7464</t>
  </si>
  <si>
    <t>2 02 29999 05 7464 151</t>
  </si>
  <si>
    <t>Доходы бюджетов муниципальных районов от возврата бюджетными учреждениями остатков субсидий прошлых лет средств местного бюджета</t>
  </si>
  <si>
    <t>2 18 05010 05 9009 180</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</si>
  <si>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введения сводного  реестра  лиц,  являющихся получателями пенсии за выслугу лет выплачиваемой  за счет средств  районного бюджета" 
</t>
  </si>
  <si>
    <t>Пенсия за выслугу лет  лицам, замещавшим должности муниципальной службы в муниципальном образования  Богучанский район</t>
  </si>
  <si>
    <t>2 02 49999 05 9944 151</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</si>
  <si>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</si>
  <si>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9933</t>
  </si>
  <si>
    <t>2 02 49999 05 7744 151</t>
  </si>
  <si>
    <t>Предоставление иных межбюджетных трансфертов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</si>
  <si>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</si>
  <si>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0320074640</t>
  </si>
  <si>
    <t>9943</t>
  </si>
  <si>
    <t>7744</t>
  </si>
  <si>
    <t>наил показ</t>
  </si>
  <si>
    <t xml:space="preserve">Распределение иного межбюджетного трансферта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t>
  </si>
  <si>
    <t>Направление использования средств, наименование объекта</t>
  </si>
  <si>
    <t>капитальный ремонт зданий МБУК БМ РДК "Янтарь" (филиалы в п. Беляки, п. Красногорьевский, п. Такучет, п. Невонка, п. Чунояр, п. Пинчуга, п. Таежный, с. Карабула)</t>
  </si>
  <si>
    <t>приобретение микрофонов и подставок для них 
в МБУК БМ РДК "Янтарь" (филиалы в с.Богучаны, п Артюгино)</t>
  </si>
  <si>
    <t>приобретение осветительного  обрудования 
в МБУК БМ РДК "Янтарь" в с.Богучаны</t>
  </si>
  <si>
    <t>приобретение компьютерного оборудования (ноутбук, принтер) в МБУК БМ РДК "Янтарь" (филиалы  в п.Богучаны, д.Ярки)</t>
  </si>
  <si>
    <t>капитальный ремонт здания МБУ ДО "Пинчугская ДШИ"</t>
  </si>
  <si>
    <t>приобретение  оборудования в  общеобразовательные учреждения</t>
  </si>
  <si>
    <t xml:space="preserve">капитальный ремонт кабинета психологической разгрузки для детей ОВЗ, МКОУ "Богучанская школа № 1" </t>
  </si>
  <si>
    <t>капитальный ремонт кабинета логопеда и дифектолога МКОУ "Богучанская школа № 2"</t>
  </si>
  <si>
    <t>приобретение оборудования  в дошкольные учреждения</t>
  </si>
  <si>
    <t>ремонт здания в  МКОУ ДОУ п.Шиверский</t>
  </si>
  <si>
    <t>ремонт электропроводки в МКУ ДОУ  "Рябинушка"</t>
  </si>
  <si>
    <t>приобретение  компьютерного оборудования  в  учреждение дополнительного образования  МКУ ДО  ЦДО (компьютер в сборе)</t>
  </si>
  <si>
    <t>ремонт отопительной системы  в учреждении дополнительного образования  МБУ ДО ДЮСШ</t>
  </si>
  <si>
    <t xml:space="preserve">материальное поощрение муниципальных служащих администрации Богучанского района </t>
  </si>
  <si>
    <t xml:space="preserve">страховые взносы на материальное поощрение муниципальных служащих администрации Богучанского района </t>
  </si>
  <si>
    <t xml:space="preserve">материальное поощрение муниципальных служащих финансового управления администрации Богучанского района </t>
  </si>
  <si>
    <t xml:space="preserve">страховые взносы на материальное поощрение муниципальных служащих финансового управления администрации Богучанского района </t>
  </si>
  <si>
    <t xml:space="preserve">материальное поощрение работников МКУ Управление культуры Богучанского района </t>
  </si>
  <si>
    <t xml:space="preserve">страховые взносы на материальное поощрение работников МКУ Управление культуры Богучанского района </t>
  </si>
  <si>
    <r>
      <t>Софинансирование за счет средств местного бюджета с</t>
    </r>
    <r>
      <rPr>
        <sz val="11"/>
        <color rgb="FF000000"/>
        <rFont val="Arial"/>
        <family val="2"/>
        <charset val="204"/>
      </rPr>
      <t>убсидии бюджетам муниципальных образований края,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2017 год,</t>
    </r>
    <r>
      <rPr>
        <sz val="11"/>
        <rFont val="Arial"/>
        <family val="2"/>
        <charset val="204"/>
      </rPr>
      <t xml:space="preserve">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r>
  </si>
  <si>
    <t>Средства на реализацию гранта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в рамках непрограммных расходов органов местного самоуправления</t>
  </si>
  <si>
    <t>8020077440</t>
  </si>
  <si>
    <t>Софинансирование за счет средств местного бюджета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</si>
  <si>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03200S4640</t>
  </si>
  <si>
    <t>Средства на реализацию гранта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</si>
  <si>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0530077440</t>
  </si>
  <si>
    <t>Средства на реализацию гранта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</si>
  <si>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0110077440</t>
  </si>
  <si>
    <t>Средства на реализацию гранта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в рамках подпрограммы "Обеспечение реализации муниципальной программы" муниципальной программы "Управление муниципальными финансами"</t>
  </si>
  <si>
    <t>1120077440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</si>
  <si>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</si>
  <si>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</si>
  <si>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07150</t>
  </si>
  <si>
    <t>Доходы от продажи квартир</t>
  </si>
  <si>
    <t>01050</t>
  </si>
  <si>
    <t>01020</t>
  </si>
  <si>
    <t>Денежные взыскания (штрафы) и иные суммы, взыскиваемые с лиц, виновных в совершении преступлений, и в возмещение ущерба имуществу</t>
  </si>
  <si>
    <t>21000</t>
  </si>
  <si>
    <t>21050</t>
  </si>
  <si>
    <t>Денежные взыскания (штрафы) за нарушение законодательства Российской Федерации об электроэнергетике</t>
  </si>
  <si>
    <t>41000</t>
  </si>
  <si>
    <t>030</t>
  </si>
  <si>
    <t>Министерство природных ресурсов и экологии Красноярского края</t>
  </si>
  <si>
    <t>1 4 0</t>
  </si>
  <si>
    <t>1 16 90 05 0 05 0 000</t>
  </si>
  <si>
    <t>Федеральная служба по надзору в сфере природопользования</t>
  </si>
  <si>
    <t>1 12 01 01 0 01 6 000</t>
  </si>
  <si>
    <t>1 2 0</t>
  </si>
  <si>
    <t>1 12 01 02 0 01 6 000</t>
  </si>
  <si>
    <t>1 12 01 03 0 01 6 000</t>
  </si>
  <si>
    <t>Плата за сбросы загрязняющих веществ в водные объекты(прочие поступления)</t>
  </si>
  <si>
    <t>1 12 01 04 0 01 6 000</t>
  </si>
  <si>
    <t>1 16 35 03 0 05 6 000</t>
  </si>
  <si>
    <t>069</t>
  </si>
  <si>
    <t>Министерство строительства и жилищно-коммунального хозяйства Российской Федерации</t>
  </si>
  <si>
    <t>076</t>
  </si>
  <si>
    <t>Федеральное агентство по рыболовству</t>
  </si>
  <si>
    <t>1 16 90 05 0 05 6 000</t>
  </si>
  <si>
    <t>Прочие поступления от денежных взысканий (штрафов) и иных сумм в возмещение ущерба, зачисляемые в бюджеты территориальных фондов обязательного медицинского страхования</t>
  </si>
  <si>
    <t>Федеральная служба по ветеринарному и фитосанитарному надзору</t>
  </si>
  <si>
    <t>Федеральное казначейство</t>
  </si>
  <si>
    <t>1 03 02 23 0 01 0 000</t>
  </si>
  <si>
    <t>1 03 02 24 0 01 0 000</t>
  </si>
  <si>
    <t>1 03 02 25 0 01 0 000</t>
  </si>
  <si>
    <t>1 03 02 26 0 01 0 000</t>
  </si>
  <si>
    <t>1 16 32 00 0 05 0 000</t>
  </si>
  <si>
    <t>141</t>
  </si>
  <si>
    <t>Федеральная служба по надзору в сфере защиты прав потребителей и благополучия человека</t>
  </si>
  <si>
    <t>1 16 25 05 0 01 6 000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</si>
  <si>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</si>
  <si>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1 16 25 08 5 05 6 000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</si>
  <si>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</si>
  <si>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1 16 28 00 0 01 6 000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</si>
  <si>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</si>
  <si>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</si>
  <si>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t>
  </si>
  <si>
    <t>Федеральная антимонопольная служба</t>
  </si>
  <si>
    <t>1 16 33 05 0 05 6 000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</si>
  <si>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</si>
  <si>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177</t>
  </si>
  <si>
    <t>Министерство Российской Федерации по делам гражданской обороны, чрезвычайным ситуациям и ликвидации последствий стихийных бедствий</t>
  </si>
  <si>
    <t>1 16 43 00 0 01 6 000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</si>
  <si>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</si>
  <si>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1 16 90 05 0 05 7 000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</si>
  <si>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</si>
  <si>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Федеральная налоговая служба</t>
  </si>
  <si>
    <t>1 01 01 01 2 02 1 000</t>
  </si>
  <si>
    <t>1 1 0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</si>
  <si>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</si>
  <si>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1 01 01 01 2 02 2 100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</si>
  <si>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</si>
  <si>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1 01 01 01 2 02 3 000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</si>
  <si>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</si>
  <si>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1 01 02 01 0 01 1 000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</si>
  <si>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</si>
  <si>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1 01 02 01 0 01 2 100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</si>
  <si>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</si>
  <si>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1 01 02 01 0 01 3 000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</si>
  <si>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</si>
  <si>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1 01 02 01 0 01 4 000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</si>
  <si>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</si>
  <si>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1 01 02 02 0 01 1 000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</si>
  <si>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</si>
  <si>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1 01 02 02 0 01 2 100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</si>
  <si>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</si>
  <si>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1 01 02 02 0 01 3 000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</si>
  <si>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</si>
  <si>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1 01 02 03 0 01 1 000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</si>
  <si>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</si>
  <si>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1 01 02 03 0 01 2 100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</si>
  <si>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</si>
  <si>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1 01 02 03 0 01 3 000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</si>
  <si>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</si>
  <si>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1 01 02 03 0 01 4 000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</si>
  <si>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</si>
  <si>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1 01 02 04 0 01 1 000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</si>
  <si>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</si>
  <si>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1 05 02 01 0 02 1 000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</si>
  <si>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</si>
  <si>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1 05 02 01 0 02 2 100</t>
  </si>
  <si>
    <t>Единый налог на вмененный доход для отдельных видов деятельности (пени по соответствующему платежу)</t>
  </si>
  <si>
    <t>1 05 02 01 0 02 3 000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</si>
  <si>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</si>
  <si>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1 05 02 01 0 02 4 000</t>
  </si>
  <si>
    <t>Единый налог на вмененный доход для отдельных видов деятельности (прочие поступления)</t>
  </si>
  <si>
    <t>1 05 02 02 0 02 1 000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</si>
  <si>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</si>
  <si>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1 05 02 02 0 02 2 100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</si>
  <si>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</si>
  <si>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1 05 02 02 0 02 3 000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</si>
  <si>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</si>
  <si>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1 05 03 01 0 01 1 000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</si>
  <si>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</si>
  <si>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(за налоговые периоды, истекшие до 1 января 2011 года) (пени по соответствующему платежу)</t>
  </si>
  <si>
    <t>1 05 04 02 0 02 1 000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</si>
  <si>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</si>
  <si>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1 06 01 03 0 05 1 000</t>
  </si>
  <si>
    <t>Налог на имущество физических лиц, взимаемый по ставкам, применяемым к объектам налогообложения, расположенным в границах межселенных территорий (сумма платежа (перерасчеты, недоимка и задолженность по соответствующему платежу, в том числе по отмененному)</t>
  </si>
  <si>
    <t>1 06 01 03 0 05 2 100</t>
  </si>
  <si>
    <t>Налог на имущество физических лиц, взимаемый по ставкам, применяемым к объектам налогообложения, расположенным в границах межселенных территорий (пени по соответствующему платежу)</t>
  </si>
  <si>
    <t>1 06 06 03 3 05 1 000</t>
  </si>
  <si>
    <t>Земельный налог с организаций, обладающих земельным участком, расположенным в границах межселенных территорий (сумма платежа (перерасчеты, недоимка и задолженность по соответствующему платежу, в том числе по отмененному)</t>
  </si>
  <si>
    <t>1 06 06 03 3 05 2 100</t>
  </si>
  <si>
    <t>Земельный налог с организаций, обладающих земельным участком, расположенным в границах межселенных территорий (пени по соответствующему платежу)</t>
  </si>
  <si>
    <t>1 06 06 03 3 05 3 000</t>
  </si>
  <si>
    <t>Земельный налог с организаций, обладающих земельным участком, расположенным в границах межселенных территорий (суммы денежных взысканий (штрафов) по соответствующему платежу согласно законодательству Российской Федерации)</t>
  </si>
  <si>
    <t>1 06 06 04 3 05 1 000</t>
  </si>
  <si>
    <t>Земельный налог с физических лиц, обладающих земельным участком, расположенным в границах межселенных территорий (сумма платежа (перерасчеты, недоимка и задолженность по соответствующему платежу, в том числе по отмененному)</t>
  </si>
  <si>
    <t>1 06 06 04 3 05 2 100</t>
  </si>
  <si>
    <t>Земельный налог с физических лиц, обладающих земельным участком, расположенным в границах межселенных территорий (пени по соответствующему платежу)</t>
  </si>
  <si>
    <t>1 06 06 04 3 05 4 000</t>
  </si>
  <si>
    <t>Земельный налог с физических лиц, обладающих земельным участком, расположенным в границах межселенных территорий (прочие поступления)</t>
  </si>
  <si>
    <t>1 08 03 01 0 01 1 000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</si>
  <si>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</si>
  <si>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1 16 03 01 0 01 6 000</t>
  </si>
  <si>
    <t>1 16 03 03 0 01 6 000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</si>
  <si>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</si>
  <si>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t>
  </si>
  <si>
    <t>Министерство внутренних дел Российской Федерации</t>
  </si>
  <si>
    <t>1 16 08 01 0 01 6 000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</si>
  <si>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</si>
  <si>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1 16 30 03 0 01 6 000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</si>
  <si>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</si>
  <si>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государственной регистрации, кадастра и картографии</t>
  </si>
  <si>
    <t>1 16 25 06 0 01 6 000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</si>
  <si>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</si>
  <si>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498</t>
  </si>
  <si>
    <t>Федеральная служба по экологическому, технологическому и атомному надзору</t>
  </si>
  <si>
    <t>1 16 41 00 0 01 6 000</t>
  </si>
  <si>
    <t>Денежные взыскания (штрафы) за нарушение законодательства Российской Федерации об электроэнергетике (общая сумма)</t>
  </si>
  <si>
    <t>1 16 45 00 0 01 6 000</t>
  </si>
  <si>
    <t>Денежные взыскания (штрафы) за нарушения законодательства Российской Федерации о промышленной безопасности(прочие)</t>
  </si>
  <si>
    <t>1 11 05 03 5 05 0 000</t>
  </si>
  <si>
    <t>1 13 02 06 5 05 9 991</t>
  </si>
  <si>
    <t>1 3 0</t>
  </si>
  <si>
    <t>1 16 90 05 0 05 3 000</t>
  </si>
  <si>
    <t>1 17 01 05 0 05 0 000</t>
  </si>
  <si>
    <t>1 8 0</t>
  </si>
  <si>
    <t>2 18 05 01 0 05 0 000</t>
  </si>
  <si>
    <t>2 18 05 01 0 05 9 965</t>
  </si>
  <si>
    <t>1 13 01 99 5 05 0 000</t>
  </si>
  <si>
    <t>1 11 05 01 3 05 0 000</t>
  </si>
  <si>
    <t>1 11 05 01 3 05 1 000</t>
  </si>
  <si>
    <t>1 11 05 01 3 05 2 000</t>
  </si>
  <si>
    <t>1 11 05 01 3 10 0 000</t>
  </si>
  <si>
    <t>1 11 05 01 3 10 1 000</t>
  </si>
  <si>
    <t>1 11 05 01 3 10 2 000</t>
  </si>
  <si>
    <t>1 11 05 02 5 05 0 000</t>
  </si>
  <si>
    <t>1 11 05 02 5 05 2 000</t>
  </si>
  <si>
    <t>1 11 05 03 5 05 1 000</t>
  </si>
  <si>
    <t>1 11 05 03 5 05 2 000</t>
  </si>
  <si>
    <t>1 11 05 03 5 05 9 960</t>
  </si>
  <si>
    <t>1 11 07 01 5 05 1 000</t>
  </si>
  <si>
    <t>1 11 09 04 5 05 0 000</t>
  </si>
  <si>
    <t>1 14 01 05 0 05 0 000</t>
  </si>
  <si>
    <t>4 1 0</t>
  </si>
  <si>
    <t>1 14 02 05 3 05 0 000</t>
  </si>
  <si>
    <t>1 14 02 05 3 05 1 000</t>
  </si>
  <si>
    <t>4 3 0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</si>
  <si>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</si>
  <si>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1 14 06 01 3 05 1 000</t>
  </si>
  <si>
    <t>1 14 06 01 3 10 0 000</t>
  </si>
  <si>
    <t>1 13 01 99 5 05 9 902</t>
  </si>
  <si>
    <t>1 13 01 99 5 05 9 992</t>
  </si>
  <si>
    <t>2 07 05 03 0 05 9 904</t>
  </si>
  <si>
    <t xml:space="preserve">1 3 0 </t>
  </si>
  <si>
    <t>1 5 1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</si>
  <si>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</si>
  <si>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Код классификации доходов бюджета</t>
  </si>
  <si>
    <t>Наименование групп, подгрупп, статей, подстатей, элементов, программ (подпрограмм)</t>
  </si>
  <si>
    <t>% исполнения</t>
  </si>
  <si>
    <t>8 50 00000 00 0000</t>
  </si>
  <si>
    <t>1 00 00000 00 0000</t>
  </si>
  <si>
    <t>1 01 00000 00 0000</t>
  </si>
  <si>
    <t>1 01 01000 00 0000</t>
  </si>
  <si>
    <t>Налог на прибыль организаций</t>
  </si>
  <si>
    <t>1 01 01010 00 0000</t>
  </si>
  <si>
    <t>1 01 01012 02 0000</t>
  </si>
  <si>
    <t xml:space="preserve">Налог на прибыль организаций, зачисляемый в бюджеты субъектов Российской Федерации </t>
  </si>
  <si>
    <t>1 01 01012 02 1000</t>
  </si>
  <si>
    <t>1 01 01012 02 2100</t>
  </si>
  <si>
    <t>1 01 01012 02 3000</t>
  </si>
  <si>
    <t>1 01 02000 01 0000</t>
  </si>
  <si>
    <t>Налог на доходы физических лиц</t>
  </si>
  <si>
    <t>1 01 02010 01 0000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</si>
  <si>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228 Налогового кодекса РФ</t>
  </si>
  <si>
    <t>1 01 02010 01 1000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</si>
  <si>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228 Налогового кодекса РФ(сумма платежа)</t>
  </si>
  <si>
    <t>1 01 0201001 2100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</si>
  <si>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228 Налогового кодекса РФ(пени,проценты)</t>
  </si>
  <si>
    <t>1 01 02010 01 3000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</si>
  <si>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228 Налогового кодекса РФ(взыскания)</t>
  </si>
  <si>
    <t>1 01 02010 01 4000</t>
  </si>
  <si>
    <t>1 01 02020 01 0000</t>
  </si>
  <si>
    <t>1 01 02020 01 1000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</si>
  <si>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 (сумма платежа)</t>
  </si>
  <si>
    <t>1 01 02020 01 2100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</si>
  <si>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РФ(пени, проценты)</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</si>
  <si>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</si>
  <si>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РФ(взыскания)</t>
  </si>
  <si>
    <t>1 01 02030 01 0000</t>
  </si>
  <si>
    <t>1 01 02030 01 1000</t>
  </si>
  <si>
    <t>Налог на доходы физических лиц с доходов, полученных физическими лицами в соответствии со статьей 228 Налогового Кодекса Российской Федерации(сумма платежа)</t>
  </si>
  <si>
    <t>1 01 02030 01 2100</t>
  </si>
  <si>
    <t>Налог на доходы физических лиц с доходов, полученных физическими лицами в соответствии со статьей 228 Налогового Кодекса Российской Федерации(пени, проценты)</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</si>
  <si>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</si>
  <si>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(взыскания)</t>
  </si>
  <si>
    <t>1 01 02030 01 4000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</si>
  <si>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</si>
  <si>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1 01 02040 01 1000</t>
  </si>
  <si>
    <t>1 03 02200 01 0000</t>
  </si>
  <si>
    <t>1 03 02230 01 0000</t>
  </si>
  <si>
    <t>1 03 02240 01 0000</t>
  </si>
  <si>
    <t>1 03 02250 01 0000</t>
  </si>
  <si>
    <t>1 03 02260 01 0000</t>
  </si>
  <si>
    <t>1 05 00000 00 0000</t>
  </si>
  <si>
    <t>1 05 02000 00 0000</t>
  </si>
  <si>
    <t>1 05 02010 02 0000</t>
  </si>
  <si>
    <t>Единый налог на вмененный доход для отдельных видов деятельности(сумма платежа)</t>
  </si>
  <si>
    <t>1 05 02010 02 1000</t>
  </si>
  <si>
    <t>1 05 02010 02 2100</t>
  </si>
  <si>
    <t>Единый налог на вмененный доход для отдельных видов деятельности(пени,штрафы)</t>
  </si>
  <si>
    <t>1 05 02010 02 3000</t>
  </si>
  <si>
    <t>Единый налог на вмененный доход для отдельных видов деятельности(взыскания)</t>
  </si>
  <si>
    <t>1 05 02010 02 4000</t>
  </si>
  <si>
    <t>1 05 02020 02 0000</t>
  </si>
  <si>
    <t>Единый налог на вмененный доход для отдельных видов деятельности (за налоговые периоды, истекшие до 1 января 2011 года)</t>
  </si>
  <si>
    <t>1 05 02020 02 1000</t>
  </si>
  <si>
    <t>Единый налог на вмененный доход для отдельных видов деятельности (за налоговые периоды, истекшие до 1 января 2011 года) (сумма платежа)</t>
  </si>
  <si>
    <t>1 05 02020 02 2100</t>
  </si>
  <si>
    <t>1 05 02020 02 3000</t>
  </si>
  <si>
    <t>1 05 03000 00 0000</t>
  </si>
  <si>
    <t>1 05 03010 01 0000</t>
  </si>
  <si>
    <t>1 05 03010 01 1000</t>
  </si>
  <si>
    <t>Единый сельскохозяйственный налог (сумма платежа)</t>
  </si>
  <si>
    <t>1 05 03020 01 0000</t>
  </si>
  <si>
    <t>Единый сельскохозяйственный налог (за налоговые периоды, истекшие до 1 января 2011 года)</t>
  </si>
  <si>
    <t>1 05 03020 01 2100</t>
  </si>
  <si>
    <t>1 05 04000 00 0000</t>
  </si>
  <si>
    <t>1 05 04020 02 0000</t>
  </si>
  <si>
    <t>1 05 04020 02 1000</t>
  </si>
  <si>
    <t>Налог, взимаемый в связи с применением патентной системы налогообложения, зачисляемый в бюджеты муниципальных районов(сумма платежа)</t>
  </si>
  <si>
    <t>1 05 04020 02 2100</t>
  </si>
  <si>
    <t>Налог, взимаемый в связи с применением патентной системы налогообложения, зачисляемый в бюджеты муниципальных районов(сумма платежа) (пени по соответствующему платежу)</t>
  </si>
  <si>
    <t>1 06 00000 00 0000</t>
  </si>
  <si>
    <t>1 06 01000 00 0000</t>
  </si>
  <si>
    <t>1 06 01030 05 0000</t>
  </si>
  <si>
    <t>1 06 01030 05 1000</t>
  </si>
  <si>
    <t>Налог на имущество физических лиц, взимаемый по ставкам, применяемым к объектам налогообложения, расположенным в границах межселенных территорий(сумма платежа)</t>
  </si>
  <si>
    <t>1 06 01030 05 2100</t>
  </si>
  <si>
    <t>1 06 06000 00 0000</t>
  </si>
  <si>
    <t>1 06 06033 05 0000</t>
  </si>
  <si>
    <t>1 06 06033 05 1000</t>
  </si>
  <si>
    <t>Земельный налог с организаций, обладающих земельным участком, расположенным в границах межселенных территорий(сумма платежа)</t>
  </si>
  <si>
    <t>1 06 06033 05 2100</t>
  </si>
  <si>
    <t>Земельный налог с организаций, обладающих земельным участком, расположенным в границах межселенных территорий(пени, проценты)</t>
  </si>
  <si>
    <t>1 06 06033 05 3000</t>
  </si>
  <si>
    <t>Земельный налог с организаций, обладающих земельным участком, расположенным в границах межселенных территорий(штрафы)</t>
  </si>
  <si>
    <t>1 06 06043 05 0000</t>
  </si>
  <si>
    <t>Земельный налог с физических лиц, обладающих земельным участком, расположенным в границах межселенных территорий</t>
  </si>
  <si>
    <t>1 06 06043 05 1000</t>
  </si>
  <si>
    <t>Земельный налог с физических лиц, обладающих земельным участком, расположенным в границах межселенных территорий(сумма платежа)</t>
  </si>
  <si>
    <t>1 06 06043 05 2100</t>
  </si>
  <si>
    <t>Земельный налог с физических лиц, обладающих земельным участком, расположенным в границах межселенных территорий(пени, проценты)</t>
  </si>
  <si>
    <t>1 06 06043 05 4000</t>
  </si>
  <si>
    <t>Земельный налог с физических лиц, обладающих земельным участком, расположенным в границах межселенных территорий(прочие поступления)</t>
  </si>
  <si>
    <t>1 08 00000 00 0000</t>
  </si>
  <si>
    <t>1 08 03000 01 0000</t>
  </si>
  <si>
    <t>1 08 03010 01 0000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</si>
  <si>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</si>
  <si>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1 08 03010 01 1000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</si>
  <si>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Федерации)(сумма платежа)</t>
  </si>
  <si>
    <t>1 11 00000 00 0000</t>
  </si>
  <si>
    <t>1 11 05000 00 0000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</si>
  <si>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</si>
  <si>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1 11 05010 00 0000</t>
  </si>
  <si>
    <t>1 11 05013 05 0000</t>
  </si>
  <si>
    <t>1 11 05013 05 1000</t>
  </si>
  <si>
    <t>1 11 05013 05 2000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</si>
  <si>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участков(пени,штрафы)</t>
  </si>
  <si>
    <t>1 11 05013 05 3000</t>
  </si>
  <si>
    <t>1 11 05013 10 0000</t>
  </si>
  <si>
    <t>1 11 05013 10 1000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</si>
  <si>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участков(сумма платежа)</t>
  </si>
  <si>
    <t>1 11 05013 10 2000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</si>
  <si>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участков(пени, штрафы)</t>
  </si>
  <si>
    <t>1 11 05020 00 0000</t>
  </si>
  <si>
    <t>1 11 05025 05 0000</t>
  </si>
  <si>
    <t>1 11 05025 05 2000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</si>
  <si>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учреждений)(пени, штрафы)</t>
  </si>
  <si>
    <t>1 11 05030 00 0000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</si>
  <si>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</si>
  <si>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1 11 05035 05 0000</t>
  </si>
  <si>
    <t>1 11 05035 05 1000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</si>
  <si>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учреждений)(сумма платежа)</t>
  </si>
  <si>
    <t>1 11 05035 05 2000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</si>
  <si>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учреждений)(пени,штрафы)</t>
  </si>
  <si>
    <t>1 11 05035 05 9960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</si>
  <si>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учреждений)(соц.найм жилых помещений)</t>
  </si>
  <si>
    <t>1 11 07000 00 0000</t>
  </si>
  <si>
    <t>1 11 07010 00 0000</t>
  </si>
  <si>
    <t>1 11 07015 05 1000</t>
  </si>
  <si>
    <t>1 11 09000 05 0000</t>
  </si>
  <si>
    <t>Прочие поступления от  использования  имущества</t>
  </si>
  <si>
    <t>1 11 09045 05 0000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</si>
  <si>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</si>
  <si>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t>
  </si>
  <si>
    <t>1 12 01010 01 0000</t>
  </si>
  <si>
    <t>1 12 01010 01 6000</t>
  </si>
  <si>
    <t>1 12 01020 01 0000</t>
  </si>
  <si>
    <t>1 12 01020 01 6000</t>
  </si>
  <si>
    <t>1 12 01030 01 0000</t>
  </si>
  <si>
    <t>1 12 01030 01 6000</t>
  </si>
  <si>
    <t>1 12 01040 01 0000</t>
  </si>
  <si>
    <t>1 12 01040 01 6000</t>
  </si>
  <si>
    <t>1 13 00000 00 0000</t>
  </si>
  <si>
    <t>ДОХОДЫ ОТ ОКАЗАНИЯ ПЛАТНЫХ УСЛУГ И КОМПЕНСАЦИИ ЗАТРАТ ГОСУДАРСТВА</t>
  </si>
  <si>
    <t>1 13 01000 00 0000</t>
  </si>
  <si>
    <t>Прочие доходы от оказания платных услуг и компенсации затрат государства</t>
  </si>
  <si>
    <t>1 13 01995 05 0000</t>
  </si>
  <si>
    <t>1 13 01995 05 9902</t>
  </si>
  <si>
    <t>1 13 01995 05 9992</t>
  </si>
  <si>
    <t>1 13 02065 05 0000</t>
  </si>
  <si>
    <t>1 13 02065 05 9991</t>
  </si>
  <si>
    <t>1 14 00000 00 0000</t>
  </si>
  <si>
    <t>1 14 01000 00 0000</t>
  </si>
  <si>
    <t>1 14 01050 00 0000</t>
  </si>
  <si>
    <t>1 14 01050 05 0000</t>
  </si>
  <si>
    <t>1 14 02000 00 0000</t>
  </si>
  <si>
    <t>Доходы от реализации имущества, находящегося в государственной и муниципальной собственности(за исключением имущества автономных учреждений, а также имущества государственных и муниципальных унитарных предприятий, в том числе казенных)</t>
  </si>
  <si>
    <t>1 14 02050 05 0000</t>
  </si>
  <si>
    <t>1 14 02053 05 0000</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</si>
  <si>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</si>
  <si>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1 14 02053 05 1000</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</si>
  <si>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имуществу(сумма платежа)</t>
  </si>
  <si>
    <t>1 14 06000 00 0000</t>
  </si>
  <si>
    <t>Доходы от продаж земельных участков, находящихся в государственной и муниципальной собственности (за исключением земельных участков автономных учреждений)</t>
  </si>
  <si>
    <t>1 14 06010 00 0000</t>
  </si>
  <si>
    <t>Доходы от продажи земельных участков, государственная собственность на которые не разграничена</t>
  </si>
  <si>
    <t>1 14 06013 05 0000</t>
  </si>
  <si>
    <t>1 14 06013 05 1000</t>
  </si>
  <si>
    <t>1 14 06013 10 0000</t>
  </si>
  <si>
    <t>1 16 00000 00 0000</t>
  </si>
  <si>
    <t>1 16 03010 01 0000</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</si>
  <si>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</si>
  <si>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1 16 03010 01 6000</t>
  </si>
  <si>
    <t>1 16 03030 01 0000</t>
  </si>
  <si>
    <t>1 16 03030 01 6000</t>
  </si>
  <si>
    <t>1 16 08010 01 0000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</si>
  <si>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</si>
  <si>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1 16 08010 01 6000</t>
  </si>
  <si>
    <t>1 16 08020 01 0000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</si>
  <si>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</si>
  <si>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1 16 08020 01 6000</t>
  </si>
  <si>
    <t>1 16 25030 01 0000</t>
  </si>
  <si>
    <t>1 16 25050 01 0000</t>
  </si>
  <si>
    <t>1 16 25050 01 6000</t>
  </si>
  <si>
    <t>1 16 25060 01 0000</t>
  </si>
  <si>
    <t>1 16 25060 01 6000</t>
  </si>
  <si>
    <t>1 16 25080 01 0000</t>
  </si>
  <si>
    <t>1 16 25085 01 6000</t>
  </si>
  <si>
    <t>1 16 28000 01 0000</t>
  </si>
  <si>
    <t>1 16 28000 01 6000</t>
  </si>
  <si>
    <t>1 16 30030 01 0000</t>
  </si>
  <si>
    <t>1 16 32000 05 0000</t>
  </si>
  <si>
    <t>1 16 33050 05 0000</t>
  </si>
  <si>
    <t>1 16 33050 05 6000</t>
  </si>
  <si>
    <t>1 16 35030 05 0000</t>
  </si>
  <si>
    <t>1 16 35030 05 6000</t>
  </si>
  <si>
    <t>1 16 41000 01 0000</t>
  </si>
  <si>
    <t>1 16 41000 01 6000</t>
  </si>
  <si>
    <t>1 16 43000 01 0000</t>
  </si>
  <si>
    <t>1 16 43000 01 6000</t>
  </si>
  <si>
    <t>1 16 45000 01 0000</t>
  </si>
  <si>
    <t>Денежные   взыскания   (штрафы)   за   нарушение законодательства   Российской    Федерации    опромышленной безопасности</t>
  </si>
  <si>
    <t>1 16 45000 01 6000</t>
  </si>
  <si>
    <t>1 16 90050 05 0000</t>
  </si>
  <si>
    <t>1 16 90050 05 3000</t>
  </si>
  <si>
    <t>1 16 90050 05 6000</t>
  </si>
  <si>
    <t>1 16 90050 05 7000</t>
  </si>
  <si>
    <t>1 17 00000 00 0000</t>
  </si>
  <si>
    <t>ПРОЧИЕ НЕНАЛОГОВЫЕ ДОХОДЫ</t>
  </si>
  <si>
    <t>1 17 01050 05 0000</t>
  </si>
  <si>
    <t>1 17 05050 05 0000</t>
  </si>
  <si>
    <t>1 17 05050 05 9934</t>
  </si>
  <si>
    <t>1 17 05050 05 9935</t>
  </si>
  <si>
    <t>1 17 05050 05 9936</t>
  </si>
  <si>
    <t>1 17 05050 05 9942</t>
  </si>
  <si>
    <t>1 17 05050 05 9944</t>
  </si>
  <si>
    <t>1 17 05050 05 9954</t>
  </si>
  <si>
    <t>1 17 05050 05 9955</t>
  </si>
  <si>
    <t>1 17 05050 05 9964</t>
  </si>
  <si>
    <t>1 17 05050 05 9972</t>
  </si>
  <si>
    <t>2 00 00000 00 0000</t>
  </si>
  <si>
    <t>2 02 00000 00 0000</t>
  </si>
  <si>
    <t>2 02 02089 05 0002</t>
  </si>
  <si>
    <t>2 02 02215 05 8000</t>
  </si>
  <si>
    <t>2 07 05030 05 0000</t>
  </si>
  <si>
    <t>2 07 05030 05 9904</t>
  </si>
  <si>
    <t>2 18 05010 05 0000</t>
  </si>
  <si>
    <t>2 18 05010 05 9965</t>
  </si>
  <si>
    <t>1 01 01012 02 4000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</si>
  <si>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</si>
  <si>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проценты)</t>
  </si>
  <si>
    <t>Налог на прибыль организаций (за исключением консолидированных групп налогоплательщиков), зачисляемый в бюджеты субъектов Российской Федерации (взыскания)</t>
  </si>
  <si>
    <t>Налог на прибыль организаций (за исключением консолидированных групп налогоплательщиков), зачисляемый в бюджеты субъектов Российской Федерации (прочие поступления)</t>
  </si>
  <si>
    <t>1 05 02020 02 4000</t>
  </si>
  <si>
    <t>Единый налог на вмененный доход для отдельных видов деятельности (за налоговые периоды, истекшие до 1 января 2011 года)(пени, проценты)(прочие поступления)</t>
  </si>
  <si>
    <t>Единый налог на вмененный доход для отдельных видов деятельности (за налоговые периоды, истекшие до 1 января 2011 года)(пени)</t>
  </si>
  <si>
    <t>Единый налог на вмененный доход для отдельных видов деятельности (за налоговые периоды, истекшие до 1 января 2011 года)(взыскания)</t>
  </si>
  <si>
    <t>1 05 03010 01 2100</t>
  </si>
  <si>
    <t>Единый сельскохозяйственный налог (пени по соответствующему платежу)</t>
  </si>
  <si>
    <t>Налог на имущество физических лиц, взимаемый по ставкам, применяемым к объектам налогообложения, расположенным в границах межселенных территорий(пени по соответствующему платежу)</t>
  </si>
  <si>
    <t>1 08 07150 01 0000</t>
  </si>
  <si>
    <t>1 08 07150 01 1000</t>
  </si>
  <si>
    <t>1 11 05025 05 1000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</si>
  <si>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учреждений)(по основному платежу)</t>
  </si>
  <si>
    <t>1 11 05300 00 0000</t>
  </si>
  <si>
    <t>1 11 05326 00 0000</t>
  </si>
  <si>
    <t>1 11 05326 05 0000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</si>
  <si>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</si>
  <si>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</si>
  <si>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на межселенных территориях,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</si>
  <si>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1 12 01010 01 2100</t>
  </si>
  <si>
    <t>Плата за выбросы загрязняющих веществ в атмосферный воздух стационарными объектами (пени по соответствующему налогу)</t>
  </si>
  <si>
    <t>1 14 06020 00 0000</t>
  </si>
  <si>
    <t>1 14 06025 05 1000</t>
  </si>
  <si>
    <t>1 16 21050 05 0000</t>
  </si>
  <si>
    <t>1 16 21000 00 0000</t>
  </si>
  <si>
    <t>1 16 30030 01 6000</t>
  </si>
  <si>
    <t>План 2017 год</t>
  </si>
  <si>
    <t>Исполнено 2017 год</t>
  </si>
  <si>
    <t>План на 2017 год</t>
  </si>
  <si>
    <t>Исполнено за 2017 год</t>
  </si>
  <si>
    <t>2 02 15001 00 0000</t>
  </si>
  <si>
    <t>2 02 15001 05 2711</t>
  </si>
  <si>
    <t>2 02 15002 00 0000</t>
  </si>
  <si>
    <t>2 02 15002 05 0000</t>
  </si>
  <si>
    <t>2 02 20299 05 0000</t>
  </si>
  <si>
    <t>2 02 25097 05 0000</t>
  </si>
  <si>
    <t>2 02 25519 05 0000</t>
  </si>
  <si>
    <t>2 02 25558 05 0000</t>
  </si>
  <si>
    <t>2 02 20000 00 0000</t>
  </si>
  <si>
    <t>2 02 29999 00 0000</t>
  </si>
  <si>
    <t>2 02 29999 05 0000</t>
  </si>
  <si>
    <t>2 02 29999 05 1021</t>
  </si>
  <si>
    <t>2 02 29999 05 1031</t>
  </si>
  <si>
    <t>2 02 29999 05 1042</t>
  </si>
  <si>
    <t>2 02 29999 05 1043</t>
  </si>
  <si>
    <t>2 02 29999 05 1046</t>
  </si>
  <si>
    <t>2 02 29999 05 7397</t>
  </si>
  <si>
    <t>2 02 29999 05 7398</t>
  </si>
  <si>
    <t>2 02 29999 05 7412</t>
  </si>
  <si>
    <t>2 02 29999 05 7413</t>
  </si>
  <si>
    <t>2 02 29999 05 7454</t>
  </si>
  <si>
    <t>2 02 29999 05 7456</t>
  </si>
  <si>
    <t>2 02 29999 05 7464</t>
  </si>
  <si>
    <t>2 02 29999 05 7488</t>
  </si>
  <si>
    <t>2 02 29999 05 7492</t>
  </si>
  <si>
    <t>2 02 29999 05 7509</t>
  </si>
  <si>
    <t>2 02 29999 05 7555</t>
  </si>
  <si>
    <t>2 02 29999 05 7563</t>
  </si>
  <si>
    <t>2 02 29999 05 7571</t>
  </si>
  <si>
    <t>2 02 29999 05 7591</t>
  </si>
  <si>
    <t>2 02 29999 05 7607</t>
  </si>
  <si>
    <t>2 02 29999 05 7645</t>
  </si>
  <si>
    <t>2 02 29999 05 7741</t>
  </si>
  <si>
    <t>2 02 29999 05 7749</t>
  </si>
  <si>
    <t>2 02 29999 05 7840</t>
  </si>
  <si>
    <t>2 02 29999 05 1044</t>
  </si>
  <si>
    <t>2 02 29999 05 1045</t>
  </si>
  <si>
    <t>2 02 29999 05 7508</t>
  </si>
  <si>
    <t xml:space="preserve">2 02 20051 05 0000 </t>
  </si>
  <si>
    <t>2 02 30000 00 0000</t>
  </si>
  <si>
    <t>2 02 30024 00 0000</t>
  </si>
  <si>
    <t>2 02 30024 05 0000</t>
  </si>
  <si>
    <t>2 02 30024 05 0151</t>
  </si>
  <si>
    <t>2 02 30024 05 0640</t>
  </si>
  <si>
    <t>2 02 30024 05 7429</t>
  </si>
  <si>
    <t>2 02 30024 05 7467</t>
  </si>
  <si>
    <t>2 02 30024 05 7513</t>
  </si>
  <si>
    <t>2 02 30024 05 7514</t>
  </si>
  <si>
    <t>2 02 30024 05 7517</t>
  </si>
  <si>
    <t>2 02 30024 05 7518</t>
  </si>
  <si>
    <t>2 02 30024 05 7519</t>
  </si>
  <si>
    <t>2 02 30024 05 7552</t>
  </si>
  <si>
    <t>2 02 30024 05 7554</t>
  </si>
  <si>
    <t>2 02 30024 05 7564</t>
  </si>
  <si>
    <t>2 02 30024 05 7566</t>
  </si>
  <si>
    <t>2 02 30024 05 7570</t>
  </si>
  <si>
    <t>2 02 30024 05 7577</t>
  </si>
  <si>
    <t>2 02 30024 05 7588</t>
  </si>
  <si>
    <t>2 02 30024 05 7601</t>
  </si>
  <si>
    <t>2 02 30024 05 7604</t>
  </si>
  <si>
    <t>2 02 40000 00 0000</t>
  </si>
  <si>
    <t>2 02 40014 05 0000</t>
  </si>
  <si>
    <t>2 02 49999 05 0000</t>
  </si>
  <si>
    <t>2 02 49999 05 7744</t>
  </si>
  <si>
    <t>2 02 49999 05 7745</t>
  </si>
  <si>
    <t>2 07 05000 05 0000</t>
  </si>
  <si>
    <t>2 18 00000 05 0000</t>
  </si>
  <si>
    <t>2 18 60010 05 5118</t>
  </si>
  <si>
    <t>2 18 60010 05 7412</t>
  </si>
  <si>
    <t>2 18 00000 00 0000</t>
  </si>
  <si>
    <t>2 18 05000 05 0000</t>
  </si>
  <si>
    <t>2 18 05030 05 9964</t>
  </si>
  <si>
    <t>2 18 05030 05 9972</t>
  </si>
  <si>
    <t>2 18 05030 05 9934</t>
  </si>
  <si>
    <t>2 18 05030 05 9933</t>
  </si>
  <si>
    <t>2 18 05030 05 9943</t>
  </si>
  <si>
    <t>2 19 00000 00 0000</t>
  </si>
  <si>
    <t>2 19 60010 05 0000</t>
  </si>
  <si>
    <t xml:space="preserve">2 02 49999 05 0000 </t>
  </si>
  <si>
    <t>Прочие межбюджетные трансфертым, передаваемые бюджетам муниципальных районов</t>
  </si>
  <si>
    <t>2 02 30029 00 0000</t>
  </si>
  <si>
    <t>2 02 30029 05 0000</t>
  </si>
  <si>
    <t>2 02 35118 00 0000</t>
  </si>
  <si>
    <t>2 02 35118 05 0000</t>
  </si>
  <si>
    <t>2 02 35543 00 0000</t>
  </si>
  <si>
    <t>2 02 35543 05 0000</t>
  </si>
  <si>
    <t>2 02 39999 00 0000</t>
  </si>
  <si>
    <t>2 02 39999 05 0000</t>
  </si>
  <si>
    <t>2 02 39999 05 7408</t>
  </si>
  <si>
    <t>2 02 39999 05 7409</t>
  </si>
  <si>
    <t>2 18 05030 05 9944</t>
  </si>
  <si>
    <t>План на 2017 год всего, в том числе:</t>
  </si>
  <si>
    <t xml:space="preserve"> % исполнения, в том числе:</t>
  </si>
  <si>
    <t xml:space="preserve">План на 2017 год </t>
  </si>
  <si>
    <t xml:space="preserve">% исполнения </t>
  </si>
  <si>
    <t>План за  2017 год</t>
  </si>
  <si>
    <t xml:space="preserve"> Исполнено за 2017 год</t>
  </si>
  <si>
    <t xml:space="preserve"> План на 2017 год всего, в том числе:</t>
  </si>
  <si>
    <t>% исполнения всего, в том числе:</t>
  </si>
  <si>
    <t xml:space="preserve"> Исполнено за 2017 год всего, в том числе:</t>
  </si>
  <si>
    <t>План на  2017 год</t>
  </si>
  <si>
    <t xml:space="preserve">Исполнено за 2017 год </t>
  </si>
  <si>
    <t>1 01 01 01 2 02 4 000</t>
  </si>
  <si>
    <t>1 05 02 02 0 02 4 000</t>
  </si>
  <si>
    <t>1 05 03 01 0 01 2 100</t>
  </si>
  <si>
    <t>1 16 21 05 0 05 0 000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</si>
  <si>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участков(сумма платежа)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</si>
  <si>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участков(пени,штрафы)</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</si>
  <si>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(сума платежа)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</si>
  <si>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(сумма пени)</t>
  </si>
  <si>
    <t>1 11 05 02 5 05 1 000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</si>
  <si>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учреждений)(сумма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</si>
  <si>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учреждений)(сумма платежа)</t>
  </si>
  <si>
    <t xml:space="preserve">1 14 06 02 5 05 0 000 </t>
  </si>
  <si>
    <t xml:space="preserve">4 3 0 </t>
  </si>
  <si>
    <t>2 18 05 03 0 05 9 933</t>
  </si>
  <si>
    <t>2 18 05 03 0 05 9 934</t>
  </si>
  <si>
    <t>2 18 05 03 0 05 9 943</t>
  </si>
  <si>
    <t>2 18 05 03 0 05 9 944</t>
  </si>
  <si>
    <t>Наименование кода</t>
  </si>
  <si>
    <t>КФСР</t>
  </si>
  <si>
    <t>Ассигнования 2017 год</t>
  </si>
  <si>
    <t>Расход по ЛС</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</si>
  <si>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</si>
  <si>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t>
  </si>
  <si>
    <t>Отдельные мероприятия в рамках подпрограммы "Профилактика терроризма и экстремизма, а также минимизация и ликвидация последствий его проявлений на территории Богучанского района" муниципальной программы "Защита населения и территории Богучанского района о</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</si>
  <si>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</si>
  <si>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</si>
  <si>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t>
  </si>
  <si>
    <t>Софинансирование за счет средств местного бюджета расходов на содержание единых дежурно-диспетчерских служб в рамках подпрограммы "Предупреждение и помощь населению района в чрезвычайных ситуациях, а также использование информационно-коммуникационных техн</t>
  </si>
  <si>
    <t>Средства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</si>
  <si>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</si>
  <si>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t>
  </si>
  <si>
    <t>Софинансирование за счет средст местного бюджета расходов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</si>
  <si>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</si>
  <si>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t>
  </si>
  <si>
    <t>Средства на создание условий для развития услуг связи в малочисленных и труднодоступных населенных пунктах Красноярского края в рамках подпрограммы "Развитие информационного общества Богучанского района" муниципальной программы "Реформирование и модерниза</t>
  </si>
  <si>
    <t>Софинансирование за счет средств местного бюджета расходов на создание условий для развития услуг связи в малочисленных и труднодоступных населенных пунктах Красноярского края в рамках подпрограммы "Развитие информационного общества Богучанского района" м</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</si>
  <si>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</si>
  <si>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</si>
  <si>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t>
  </si>
  <si>
    <t>Софинансирование за счет средств местного бюджета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</si>
  <si>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</si>
  <si>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t>
  </si>
  <si>
    <t>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</si>
  <si>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</si>
  <si>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t>
  </si>
  <si>
    <t>Софинансирование за счет средств местного бюджета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</si>
  <si>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t>
  </si>
  <si>
    <t>Софинансирование за счет средств местного бюджета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</si>
  <si>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</si>
  <si>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</si>
  <si>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</si>
  <si>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t>
  </si>
  <si>
    <t xml:space="preserve">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</si>
  <si>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t>
  </si>
  <si>
    <t>Средства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</si>
  <si>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</si>
  <si>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t>
  </si>
  <si>
    <t>Мероприятия по проектированию, реконструкции, строительству и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</si>
  <si>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t>
  </si>
  <si>
    <t>Софинансирование за счет средств местного бюджета расходов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t>
  </si>
  <si>
    <t>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</si>
  <si>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</si>
  <si>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рамках подпрограммы "Социальная поддержка семей, имеющих детей" муниципальной программы "Система со</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</si>
  <si>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t>
  </si>
  <si>
    <t>Средства на повышение размеров оплаты труда отдельным категориям работников бюджетной сферы края, в том числе для которых указами Президента Российской Федерации предусмотрено повышение оплаты труда в рамках подпрограммы "Обеспечение условий реализации пр</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</si>
  <si>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</si>
  <si>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</si>
  <si>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t>
  </si>
  <si>
    <t xml:space="preserve">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</si>
  <si>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t>
  </si>
  <si>
    <t>Средства на реализацию гранта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в рамках подпрограммы "Обеспечение условий реализации программы и пр</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</si>
  <si>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t>
  </si>
  <si>
    <t xml:space="preserve">Средства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по министерству культуры Красноярского края в рамках подпрограммы </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</si>
  <si>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</si>
  <si>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</si>
  <si>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</si>
  <si>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</si>
  <si>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t>
  </si>
  <si>
    <t>Выполнение полномочий поселений по созданию условий для организации досуга и обеспечения жителей услугами организаций культуры в части повышения размеров оплаты труда основного персонала библиотек и музеев Красноярского края в рамках подпрограммы "Культур</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</si>
  <si>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</si>
  <si>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</si>
  <si>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t>
  </si>
  <si>
    <t>Выполнение полномочий поселений по созданию условий для организации досуга и обеспечения жителей услугами организаций культуры в части оплаты за электроэнергию, в рамках подпрограммы "Культурное наследие" муниципальной программы Богучанского района "Разви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</si>
  <si>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</si>
  <si>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</si>
  <si>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</si>
  <si>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</si>
  <si>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</si>
  <si>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</si>
  <si>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t>
  </si>
  <si>
    <t>Выполнение полномочий поселений по созданию условий для организации досуга и обеспечения жителей услугами организаций культуры в части оплаты за электроэнергию, в рамках подпрограммы "Искусство и народное творчество" муниципальной программы Богучанского р</t>
  </si>
  <si>
    <t>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тысяч человек в рамках подпрограммы «Обеспечение условий реализа</t>
  </si>
  <si>
    <t>Софинансирование за счет средств местного бюджета расходов на 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t>
  </si>
  <si>
    <t>Софинансирование за счет средств местного бюджета расходов, направленных за содействие развитию налогового потенциала в рамках подпрограммы "Обеспечение условий реализации программы и прочие мероприятия" муниципальной программы Богучанского района "Развит</t>
  </si>
  <si>
    <t>Выполнение полномочий поселений по созданию условий для организации досуга и обеспечения жителей услугами организаций культуры в части приобретения основных средств в рамках подпрограммы "Обеспечение условий реализации программы и прочие мероприятия" муни</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</si>
  <si>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t>
  </si>
  <si>
    <t>Выполнение полномочий поселений по созданию условий для организации досуга и обеспечения жителей услугами организаций культуры (содержание технического персонала) в рамках подпрограммы "Обеспечение условий реализации программы и прочие мероприятия" муници</t>
  </si>
  <si>
    <t>Выполнение полномочий поселений по библиотечному обслуживанию населения (содержание технического персонала) в рамках подпрограммы "Обеспечение условий реализации программы и прочие мероприятия" муниципальной программы Богучанского района "Развитие культур</t>
  </si>
  <si>
    <t xml:space="preserve">На актуализацию документов территориального планирования и градостроительного зонирования муниципальных образований в рамках подпрограммы "Осуществление градостроительной деятельности в Богучанском районе" муниципальной программы "Обеспечение доступным и </t>
  </si>
  <si>
    <t>Софинансирование за счет средств местного бюджета расходов на актуализацию документов территориального планирования и градостроительного зонирования муниципальных образований в рамках подпрограммы "Осуществление градостроительной деятельности в Богучанско</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</si>
  <si>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t>
  </si>
  <si>
    <t>Расходы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</si>
  <si>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</si>
  <si>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</si>
  <si>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</si>
  <si>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</si>
  <si>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</si>
  <si>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</si>
  <si>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</si>
  <si>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t>
  </si>
  <si>
    <t xml:space="preserve">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t>
  </si>
  <si>
    <t>Средства на реализацию гранта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в рамках подпрограммы "Развитие дошкольного, общего и дополнительног</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</si>
  <si>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</si>
  <si>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</si>
  <si>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</si>
  <si>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</si>
  <si>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</si>
  <si>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t>
  </si>
  <si>
    <t xml:space="preserve">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</si>
  <si>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</si>
  <si>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</si>
  <si>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t>
  </si>
  <si>
    <t>Софинансирование за счет средств местного бюджета расходов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t>
  </si>
  <si>
    <t>Расходы на проведение мероприятий, направленных на обеспечение безопасности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t>
  </si>
  <si>
    <t>Софинансирование за счет средств местного бюджета расходов на проведение мероприятий, направленных на обеспечение безопасности участия детей в дорожном движении, в рамках подпрограммы "Безопасность дорожного движения в Богучанском районе" муниципальной пр</t>
  </si>
  <si>
    <t>Средства на повышение размеров оплаты труда отдельным категориям работников бюджетной сферы края, в том числе для которых указами Президента Российской Федерации предусмотрено повышение оплаты труда в рамках подпрограммы "Развитие дошкольного, общего и до</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</si>
  <si>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</si>
  <si>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</si>
  <si>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</si>
  <si>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</si>
  <si>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</si>
  <si>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</si>
  <si>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</si>
  <si>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</si>
  <si>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t>
  </si>
  <si>
    <t xml:space="preserve">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</si>
  <si>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t>
  </si>
  <si>
    <t xml:space="preserve">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</si>
  <si>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t>
  </si>
  <si>
    <t>Средства на повышение размеров оплаты труда методистов муниципальных методических кабинетов (центров) сферы «Образование», созданных в виде муниципальных учреждений или являющихся структурными подразделениями муниципальных учреждений либо органов местного</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</si>
  <si>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</si>
  <si>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</si>
  <si>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</si>
  <si>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</si>
  <si>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</si>
  <si>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</si>
  <si>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</si>
  <si>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</si>
  <si>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</si>
  <si>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</si>
  <si>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</si>
  <si>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</si>
  <si>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</si>
  <si>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</si>
  <si>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</si>
  <si>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</si>
  <si>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t>
  </si>
  <si>
    <t>Средства на реализацию гранта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в рамках подпрограммы "Обеспечение реализации муниципальной программ</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</si>
  <si>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</si>
  <si>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t>
  </si>
  <si>
    <t>Расходы на содержание автомобильных дорог общего пользования местного значения городских округов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</si>
  <si>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t>
  </si>
  <si>
    <t>Межбюджетные трансферты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"Безопасность дорожного движения в Богучанском районе" муниципальной программы "</t>
  </si>
  <si>
    <t>Межбюджетные трансферты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t>
  </si>
  <si>
    <t>Межбюджетные трансферты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</si>
  <si>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t>
  </si>
  <si>
    <t>Межбюджетные трансферты для реализации проектов по решению вопросов местного значения сельских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</si>
  <si>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</si>
  <si>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Дотации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</si>
  <si>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t>
  </si>
  <si>
    <t xml:space="preserve">Средства на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"Создание условий для эффективного и </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</si>
  <si>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t>
  </si>
  <si>
    <t>1 08 07 15 5 01 0 000</t>
  </si>
  <si>
    <t>2 18 05 03 0 05 9 964</t>
  </si>
  <si>
    <t>2 18 05 01 0 05 9 972</t>
  </si>
  <si>
    <t>1 12 01 01 0 01 2 100</t>
  </si>
  <si>
    <t>1 11 05 32 6 05 0 000</t>
  </si>
  <si>
    <t>Министерство лесного хозяйства Красноярского края</t>
  </si>
  <si>
    <t>160</t>
  </si>
  <si>
    <t>Федеральная служба по регулированию алкогольного рынка</t>
  </si>
  <si>
    <t>1 17 05 05 0 05 0 000</t>
  </si>
  <si>
    <t>01 00 00 00 00 0000 000</t>
  </si>
  <si>
    <t>01 03 00 00 00 0000 000</t>
  </si>
  <si>
    <t>01 03 00 00 00 0000 700</t>
  </si>
  <si>
    <t>01 03 00 00 00 0000 800</t>
  </si>
  <si>
    <t>01 05 00 00 00 0000 000</t>
  </si>
  <si>
    <t>01 05 00 00 00 0000 500</t>
  </si>
  <si>
    <t>01 05 02 00 00 0000 500</t>
  </si>
  <si>
    <t>01 05 02 01 00 0000 510</t>
  </si>
  <si>
    <t>01 05 00 00 00 0000 600</t>
  </si>
  <si>
    <t>01 05 02 00 00 0000 600</t>
  </si>
  <si>
    <t>01 05 02 01 00 0000 610</t>
  </si>
  <si>
    <t>890 01 03 00 00 00 0000 000</t>
  </si>
  <si>
    <t xml:space="preserve">    " " 2018</t>
  </si>
  <si>
    <t>Исполнение за 2017 год</t>
  </si>
  <si>
    <t xml:space="preserve">Межбюджетные трансферты по переселению граждан из аварийного жилищного фонда в рамках подпрограммы «Переселение граждан из аврийного жилищного фонда в муниципальных образованиях Богучанского района»     муниципальной программы « Обеспечение доступным и комфортным жильем граждан Богучанского района»  за 2017 год
</t>
  </si>
  <si>
    <t xml:space="preserve">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Богучанского района  «Развитие транспортной системы Богучанского района» за 2017 год </t>
  </si>
  <si>
    <t xml:space="preserve">Межбюджетные трансферты на реализацию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 за 2017 год </t>
  </si>
  <si>
    <t>05300</t>
  </si>
  <si>
    <t>05326</t>
  </si>
  <si>
    <t>9944</t>
  </si>
  <si>
    <t xml:space="preserve">Межбюджетные трансферты  на содержание автомобильных дорог общего пользования местного значения городских округов за счет средств дорожного фонда Красноярского края  в рамках подпрограммы «Дороги Богучанского района» муниципальной  программы Богучанского района  «Развитие транспортной системы Богучанского района» за 2017 год </t>
  </si>
  <si>
    <t>Исполнено на 2017 год всего, в том числе:</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</si>
</sst>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 &quot;-&quot;??_);_(@_)"/>
    <numFmt numFmtId="176" formatCode="_(* #,##0.000_);_(* \(#,##0.000\);_(* &quot;-&quot;??_);_(@_)"/>
  </numFmts>
  <fonts count="41">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b/>
      <sz val="14"/>
      <name val="Arial"/>
      <family val="2"/>
      <charset val="204"/>
    </font>
    <font>
      <sz val="10"/>
      <color indexed="8"/>
      <name val="Arial"/>
      <family val="2"/>
      <charset val="204"/>
    </font>
    <font>
      <sz val="10"/>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2"/>
      <name val="Times New Roman"/>
      <family val="1"/>
      <charset val="204"/>
    </font>
    <font>
      <sz val="9"/>
      <name val="Arial Cyr"/>
      <charset val="204"/>
    </font>
    <font>
      <sz val="11"/>
      <color rgb="FF000000"/>
      <name val="Arial"/>
      <family val="2"/>
      <charset val="204"/>
    </font>
    <font>
      <b/>
      <sz val="10"/>
      <color indexed="8"/>
      <name val="Arial"/>
      <family val="2"/>
      <charset val="204"/>
    </font>
    <font>
      <sz val="11"/>
      <color rgb="FF000000"/>
      <name val="Calibri"/>
      <family val="2"/>
      <scheme val="minor"/>
    </font>
    <font>
      <b/>
      <sz val="11"/>
      <color theme="1"/>
      <name val="Arial"/>
      <family val="2"/>
      <charset val="204"/>
    </font>
    <font>
      <sz val="8"/>
      <name val="Arial Cyr"/>
    </font>
    <font>
      <b/>
      <sz val="8.5"/>
      <name val="MS Sans Serif"/>
      <family val="2"/>
      <charset val="204"/>
    </font>
    <font>
      <b/>
      <sz val="8"/>
      <name val="Arial Cyr"/>
    </font>
  </fonts>
  <fills count="6">
    <fill>
      <patternFill patternType="none"/>
    </fill>
    <fill>
      <patternFill patternType="gray125"/>
    </fill>
    <fill>
      <patternFill patternType="solid">
        <fgColor theme="3" tint="0.39997558519241921"/>
        <bgColor indexed="64"/>
      </patternFill>
    </fill>
    <fill>
      <patternFill patternType="solid">
        <fgColor rgb="FF00B0F0"/>
        <bgColor indexed="64"/>
      </patternFill>
    </fill>
    <fill>
      <patternFill patternType="solid">
        <fgColor rgb="FFFFFF00"/>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26">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28" fillId="0" borderId="0"/>
    <xf numFmtId="0" fontId="36" fillId="0" borderId="0"/>
    <xf numFmtId="0" fontId="5" fillId="0" borderId="0"/>
    <xf numFmtId="0" fontId="5" fillId="0" borderId="0"/>
  </cellStyleXfs>
  <cellXfs count="588">
    <xf numFmtId="0" fontId="0" fillId="0" borderId="0" xfId="0"/>
    <xf numFmtId="0" fontId="0" fillId="0" borderId="0" xfId="0" applyAlignment="1">
      <alignment horizontal="right"/>
    </xf>
    <xf numFmtId="49" fontId="0" fillId="0" borderId="0" xfId="0" applyNumberFormat="1" applyAlignment="1">
      <alignment horizontal="right"/>
    </xf>
    <xf numFmtId="14" fontId="0" fillId="0" borderId="0" xfId="0" applyNumberFormat="1"/>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Border="1" applyAlignment="1">
      <alignment horizontal="center"/>
    </xf>
    <xf numFmtId="0" fontId="5" fillId="0" borderId="1" xfId="0" applyFont="1" applyFill="1" applyBorder="1"/>
    <xf numFmtId="0" fontId="5" fillId="0" borderId="1" xfId="0" applyFont="1" applyFill="1" applyBorder="1" applyAlignment="1">
      <alignment wrapText="1"/>
    </xf>
    <xf numFmtId="0" fontId="5" fillId="0" borderId="1" xfId="0" applyFont="1" applyBorder="1" applyAlignment="1">
      <alignment horizontal="right"/>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0" fontId="5" fillId="0" borderId="1" xfId="0" applyFont="1" applyBorder="1" applyAlignment="1">
      <alignment horizontal="center" vertical="center" wrapText="1"/>
    </xf>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4" fontId="8" fillId="0" borderId="1" xfId="0" applyNumberFormat="1" applyFont="1" applyFill="1" applyBorder="1" applyAlignment="1">
      <alignment horizontal="right" vertical="center"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0" fontId="9" fillId="0" borderId="1" xfId="0" applyFont="1" applyFill="1" applyBorder="1" applyAlignment="1">
      <alignment horizontal="center" vertical="top" wrapTex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49" fontId="9" fillId="0" borderId="1" xfId="0" applyNumberFormat="1" applyFont="1" applyBorder="1" applyAlignment="1">
      <alignment vertical="top"/>
    </xf>
    <xf numFmtId="0" fontId="9" fillId="0" borderId="1" xfId="0" applyNumberFormat="1" applyFont="1" applyBorder="1" applyAlignment="1">
      <alignment vertical="top" wrapText="1"/>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0" fontId="9" fillId="0" borderId="1" xfId="0" applyFont="1" applyBorder="1" applyAlignment="1">
      <alignment horizontal="center"/>
    </xf>
    <xf numFmtId="165" fontId="10" fillId="0" borderId="1" xfId="18" applyFont="1" applyBorder="1" applyAlignment="1">
      <alignment horizontal="center" vertical="center" wrapText="1"/>
    </xf>
    <xf numFmtId="0" fontId="9" fillId="0" borderId="1" xfId="0" applyFont="1" applyBorder="1" applyAlignment="1">
      <alignment vertical="top"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Border="1" applyAlignment="1">
      <alignment vertical="top" wrapText="1"/>
    </xf>
    <xf numFmtId="0" fontId="14" fillId="0" borderId="1" xfId="0" applyFont="1" applyBorder="1" applyAlignment="1">
      <alignment vertical="top" wrapText="1"/>
    </xf>
    <xf numFmtId="4" fontId="14" fillId="0" borderId="1" xfId="0" applyNumberFormat="1" applyFont="1" applyBorder="1" applyAlignment="1"/>
    <xf numFmtId="4" fontId="13" fillId="0" borderId="1" xfId="0" applyNumberFormat="1" applyFont="1" applyBorder="1" applyAlignment="1"/>
    <xf numFmtId="0" fontId="13" fillId="0" borderId="1" xfId="0" applyFont="1" applyBorder="1" applyAlignment="1">
      <alignment horizontal="left" vertical="top" wrapText="1"/>
    </xf>
    <xf numFmtId="4" fontId="13" fillId="0" borderId="1" xfId="0" applyNumberFormat="1" applyFont="1" applyBorder="1" applyAlignment="1">
      <alignment horizontal="right"/>
    </xf>
    <xf numFmtId="0" fontId="13" fillId="0" borderId="1" xfId="0" applyFont="1" applyBorder="1" applyAlignment="1">
      <alignment horizontal="left"/>
    </xf>
    <xf numFmtId="0" fontId="13" fillId="0" borderId="1" xfId="0" applyFont="1" applyFill="1" applyBorder="1" applyAlignment="1">
      <alignment wrapText="1"/>
    </xf>
    <xf numFmtId="4" fontId="13" fillId="0" borderId="1" xfId="0" applyNumberFormat="1" applyFont="1" applyBorder="1"/>
    <xf numFmtId="4" fontId="5" fillId="0" borderId="1" xfId="0" applyNumberFormat="1" applyFont="1" applyFill="1" applyBorder="1" applyAlignment="1">
      <alignment horizontal="right" vertical="top"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8" fillId="0" borderId="0" xfId="0"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49"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center" vertical="center" wrapText="1"/>
    </xf>
    <xf numFmtId="4" fontId="5" fillId="0" borderId="1" xfId="0" applyNumberFormat="1" applyFont="1" applyBorder="1" applyAlignment="1">
      <alignment horizontal="right" wrapText="1"/>
    </xf>
    <xf numFmtId="0" fontId="5" fillId="0" borderId="1" xfId="0" applyFont="1" applyBorder="1" applyAlignment="1">
      <alignment horizontal="left" wrapText="1"/>
    </xf>
    <xf numFmtId="49" fontId="5" fillId="0" borderId="1" xfId="0" applyNumberFormat="1" applyFont="1" applyBorder="1" applyAlignment="1">
      <alignment horizontal="left" wrapText="1"/>
    </xf>
    <xf numFmtId="4" fontId="5" fillId="0" borderId="1" xfId="17" applyNumberFormat="1" applyFont="1" applyBorder="1" applyAlignment="1">
      <alignment horizontal="right"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2" fontId="5" fillId="0"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xf>
    <xf numFmtId="174" fontId="0" fillId="0" borderId="0" xfId="0" applyNumberFormat="1"/>
    <xf numFmtId="4" fontId="5" fillId="0" borderId="1" xfId="0" applyNumberFormat="1" applyFont="1" applyBorder="1" applyAlignment="1">
      <alignment wrapText="1"/>
    </xf>
    <xf numFmtId="0" fontId="5" fillId="0" borderId="0" xfId="0" applyNumberFormat="1" applyFont="1" applyAlignment="1">
      <alignment horizontal="left"/>
    </xf>
    <xf numFmtId="0" fontId="5" fillId="0" borderId="1" xfId="0" applyNumberFormat="1" applyFont="1" applyFill="1" applyBorder="1" applyAlignment="1">
      <alignment horizontal="left" vertical="center" wrapText="1"/>
    </xf>
    <xf numFmtId="0" fontId="5" fillId="0" borderId="1" xfId="0" applyNumberFormat="1" applyFont="1" applyBorder="1" applyAlignment="1">
      <alignment horizontal="left" wrapText="1"/>
    </xf>
    <xf numFmtId="0" fontId="5" fillId="0" borderId="1" xfId="0" applyNumberFormat="1" applyFont="1" applyBorder="1" applyAlignment="1">
      <alignment wrapText="1"/>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0" fontId="5" fillId="0" borderId="1" xfId="0" applyFont="1" applyBorder="1" applyAlignment="1">
      <alignment horizontal="center"/>
    </xf>
    <xf numFmtId="4" fontId="8" fillId="0" borderId="1" xfId="0" applyNumberFormat="1" applyFont="1" applyFill="1" applyBorder="1" applyAlignment="1">
      <alignment horizontal="right"/>
    </xf>
    <xf numFmtId="4" fontId="5" fillId="0" borderId="1" xfId="0" applyNumberFormat="1" applyFont="1" applyFill="1" applyBorder="1" applyAlignment="1">
      <alignment horizontal="right"/>
    </xf>
    <xf numFmtId="4" fontId="8" fillId="0" borderId="1" xfId="0" applyNumberFormat="1" applyFont="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49" fontId="13" fillId="0" borderId="7" xfId="0" applyNumberFormat="1" applyFont="1" applyFill="1" applyBorder="1" applyAlignment="1">
      <alignment horizontal="center" vertical="center" wrapText="1"/>
    </xf>
    <xf numFmtId="49" fontId="5" fillId="0" borderId="1" xfId="0" applyNumberFormat="1" applyFont="1" applyBorder="1" applyAlignment="1">
      <alignment horizontal="center" vertical="center" textRotation="90"/>
    </xf>
    <xf numFmtId="49" fontId="5" fillId="0" borderId="1" xfId="0" applyNumberFormat="1" applyFont="1" applyBorder="1" applyAlignment="1">
      <alignment horizontal="center" vertical="center" textRotation="90"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8" fillId="0" borderId="1" xfId="0" applyNumberFormat="1" applyFont="1" applyFill="1" applyBorder="1" applyAlignment="1">
      <alignment wrapText="1"/>
    </xf>
    <xf numFmtId="49" fontId="8" fillId="0" borderId="1" xfId="0" applyNumberFormat="1" applyFont="1" applyFill="1" applyBorder="1" applyAlignment="1">
      <alignment horizontal="center" wrapText="1"/>
    </xf>
    <xf numFmtId="4" fontId="8" fillId="0" borderId="1" xfId="0" applyNumberFormat="1" applyFont="1" applyFill="1" applyBorder="1"/>
    <xf numFmtId="0" fontId="8" fillId="0" borderId="1" xfId="0" applyFont="1" applyFill="1" applyBorder="1" applyAlignment="1">
      <alignment wrapText="1"/>
    </xf>
    <xf numFmtId="49" fontId="8" fillId="0" borderId="1" xfId="0" applyNumberFormat="1" applyFont="1" applyBorder="1" applyAlignment="1">
      <alignment horizont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8" fillId="0" borderId="1" xfId="0" applyNumberFormat="1" applyFont="1" applyBorder="1" applyAlignment="1">
      <alignment wrapText="1"/>
    </xf>
    <xf numFmtId="49" fontId="5" fillId="0" borderId="1" xfId="0" applyNumberFormat="1" applyFont="1" applyBorder="1" applyAlignment="1">
      <alignment wrapText="1"/>
    </xf>
    <xf numFmtId="0" fontId="8" fillId="0" borderId="1" xfId="0" applyFont="1" applyFill="1" applyBorder="1" applyAlignment="1">
      <alignment horizontal="left" wrapText="1"/>
    </xf>
    <xf numFmtId="0" fontId="5" fillId="0" borderId="1" xfId="0" applyFont="1" applyFill="1" applyBorder="1" applyAlignment="1">
      <alignment horizontal="left" wrapText="1"/>
    </xf>
    <xf numFmtId="0" fontId="8" fillId="0" borderId="1" xfId="0" applyNumberFormat="1" applyFont="1" applyFill="1" applyBorder="1" applyAlignment="1">
      <alignment horizontal="left" vertical="top" wrapText="1"/>
    </xf>
    <xf numFmtId="2" fontId="5" fillId="0" borderId="1" xfId="0" applyNumberFormat="1" applyFont="1" applyBorder="1" applyAlignment="1">
      <alignment horizontal="justify" vertical="top" wrapText="1"/>
    </xf>
    <xf numFmtId="0" fontId="8" fillId="0" borderId="1" xfId="0" applyNumberFormat="1" applyFont="1" applyFill="1" applyBorder="1" applyAlignment="1">
      <alignment vertical="top" wrapText="1"/>
    </xf>
    <xf numFmtId="0" fontId="8" fillId="0" borderId="1" xfId="0" applyNumberFormat="1" applyFont="1" applyFill="1" applyBorder="1" applyAlignment="1">
      <alignment horizontal="left" wrapText="1"/>
    </xf>
    <xf numFmtId="0" fontId="8" fillId="0" borderId="1" xfId="0" applyFont="1" applyFill="1" applyBorder="1" applyAlignment="1">
      <alignment horizontal="justify" vertical="top" wrapText="1"/>
    </xf>
    <xf numFmtId="4" fontId="8" fillId="0" borderId="0" xfId="0" applyNumberFormat="1" applyFont="1"/>
    <xf numFmtId="0" fontId="25" fillId="0" borderId="0" xfId="0" applyFont="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49" fontId="8" fillId="0" borderId="1" xfId="0" applyNumberFormat="1" applyFont="1" applyFill="1" applyBorder="1" applyAlignment="1">
      <alignment horizontal="center"/>
    </xf>
    <xf numFmtId="49" fontId="8"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4" fillId="0" borderId="1" xfId="0" applyNumberFormat="1" applyFont="1" applyFill="1" applyBorder="1" applyAlignment="1"/>
    <xf numFmtId="0" fontId="5" fillId="0" borderId="1" xfId="0" applyFont="1" applyFill="1" applyBorder="1" applyAlignment="1"/>
    <xf numFmtId="0" fontId="8" fillId="0" borderId="1" xfId="0" applyFont="1" applyFill="1" applyBorder="1" applyAlignment="1"/>
    <xf numFmtId="0" fontId="13" fillId="0" borderId="1" xfId="22" applyNumberFormat="1" applyFont="1" applyFill="1" applyBorder="1" applyAlignment="1">
      <alignment horizontal="left" vertical="top" wrapText="1"/>
    </xf>
    <xf numFmtId="49" fontId="5" fillId="0" borderId="1" xfId="0" applyNumberFormat="1" applyFont="1" applyFill="1" applyBorder="1" applyAlignment="1">
      <alignment horizontal="center" vertical="center" wrapText="1"/>
    </xf>
    <xf numFmtId="167" fontId="8" fillId="0" borderId="1" xfId="20" applyNumberFormat="1" applyFont="1" applyBorder="1" applyAlignment="1">
      <alignment horizontal="right" vertical="center"/>
    </xf>
    <xf numFmtId="49" fontId="5" fillId="0" borderId="1" xfId="0" applyNumberFormat="1" applyFont="1" applyFill="1" applyBorder="1" applyAlignment="1">
      <alignment horizontal="left" wrapText="1"/>
    </xf>
    <xf numFmtId="0" fontId="5" fillId="0" borderId="1" xfId="0" applyNumberFormat="1" applyFont="1" applyBorder="1" applyAlignment="1">
      <alignment horizontal="left" vertical="top" wrapText="1"/>
    </xf>
    <xf numFmtId="2" fontId="5" fillId="0" borderId="1" xfId="0" applyNumberFormat="1" applyFont="1" applyBorder="1" applyAlignment="1">
      <alignment wrapText="1"/>
    </xf>
    <xf numFmtId="49" fontId="5"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4" fontId="5" fillId="0" borderId="1" xfId="0" applyNumberFormat="1" applyFont="1" applyBorder="1" applyAlignment="1">
      <alignment horizontal="right" vertical="top" wrapText="1"/>
    </xf>
    <xf numFmtId="4" fontId="5" fillId="0" borderId="1" xfId="0" applyNumberFormat="1" applyFont="1" applyFill="1" applyBorder="1" applyAlignment="1">
      <alignment horizontal="right" wrapText="1"/>
    </xf>
    <xf numFmtId="4" fontId="5" fillId="0" borderId="1" xfId="0" applyNumberFormat="1" applyFont="1" applyBorder="1" applyAlignment="1"/>
    <xf numFmtId="4" fontId="8" fillId="0" borderId="1" xfId="19" applyNumberFormat="1" applyFont="1" applyBorder="1" applyAlignment="1">
      <alignment horizontal="right" vertical="center"/>
    </xf>
    <xf numFmtId="2" fontId="5" fillId="0" borderId="1" xfId="0" applyNumberFormat="1" applyFont="1" applyFill="1" applyBorder="1" applyAlignment="1">
      <alignment horizontal="left" vertical="top" wrapText="1"/>
    </xf>
    <xf numFmtId="4" fontId="5" fillId="0" borderId="5" xfId="0" applyNumberFormat="1" applyFont="1" applyBorder="1" applyAlignment="1">
      <alignment horizontal="right"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11" fontId="5" fillId="0" borderId="1" xfId="0" applyNumberFormat="1" applyFont="1" applyFill="1" applyBorder="1" applyAlignment="1">
      <alignment horizontal="left" vertical="top" wrapText="1"/>
    </xf>
    <xf numFmtId="49" fontId="29" fillId="0" borderId="1" xfId="0" applyNumberFormat="1" applyFont="1" applyFill="1" applyBorder="1" applyAlignment="1">
      <alignment horizontal="center" vertical="top" wrapText="1"/>
    </xf>
    <xf numFmtId="49" fontId="29" fillId="0" borderId="1" xfId="0" applyNumberFormat="1" applyFont="1" applyFill="1" applyBorder="1" applyAlignment="1">
      <alignment horizontal="left" vertical="top" wrapText="1"/>
    </xf>
    <xf numFmtId="49" fontId="30" fillId="0" borderId="10" xfId="0" applyNumberFormat="1" applyFont="1" applyFill="1" applyBorder="1" applyAlignment="1">
      <alignment horizontal="center" vertical="top" wrapText="1"/>
    </xf>
    <xf numFmtId="172" fontId="30" fillId="0" borderId="10" xfId="0" applyNumberFormat="1" applyFont="1" applyFill="1" applyBorder="1" applyAlignment="1">
      <alignment horizontal="left" vertical="top" wrapText="1"/>
    </xf>
    <xf numFmtId="49" fontId="30" fillId="0" borderId="10" xfId="0" applyNumberFormat="1" applyFont="1" applyFill="1" applyBorder="1" applyAlignment="1">
      <alignment horizontal="left" vertical="top" wrapText="1"/>
    </xf>
    <xf numFmtId="172" fontId="29" fillId="0" borderId="1" xfId="0" applyNumberFormat="1" applyFont="1" applyFill="1" applyBorder="1" applyAlignment="1">
      <alignment horizontal="left" vertical="top" wrapText="1"/>
    </xf>
    <xf numFmtId="49" fontId="30" fillId="0" borderId="11" xfId="0" applyNumberFormat="1" applyFont="1" applyFill="1" applyBorder="1" applyAlignment="1">
      <alignment horizontal="center" vertical="top" wrapText="1"/>
    </xf>
    <xf numFmtId="172" fontId="30"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7" fillId="0" borderId="1" xfId="0" applyFont="1" applyBorder="1" applyAlignment="1">
      <alignment wrapText="1"/>
    </xf>
    <xf numFmtId="0" fontId="27" fillId="0" borderId="1" xfId="0" applyNumberFormat="1" applyFont="1" applyBorder="1" applyAlignment="1">
      <alignment wrapText="1"/>
    </xf>
    <xf numFmtId="49" fontId="0" fillId="0" borderId="0" xfId="0" applyNumberFormat="1"/>
    <xf numFmtId="0" fontId="27" fillId="0" borderId="0" xfId="0" applyFont="1" applyAlignment="1">
      <alignment wrapText="1"/>
    </xf>
    <xf numFmtId="0" fontId="27"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5" fillId="0" borderId="1" xfId="0" applyFont="1" applyBorder="1" applyAlignment="1">
      <alignment horizontal="center"/>
    </xf>
    <xf numFmtId="0" fontId="5" fillId="0" borderId="1" xfId="0" applyNumberFormat="1" applyFont="1" applyFill="1" applyBorder="1" applyAlignment="1">
      <alignment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0" fontId="5" fillId="0" borderId="1" xfId="0" applyNumberFormat="1" applyFont="1" applyBorder="1"/>
    <xf numFmtId="0" fontId="5" fillId="0" borderId="1" xfId="0" applyNumberFormat="1" applyFont="1" applyFill="1" applyBorder="1"/>
    <xf numFmtId="11" fontId="5" fillId="0" borderId="1" xfId="0" applyNumberFormat="1" applyFont="1" applyBorder="1" applyAlignment="1">
      <alignment wrapText="1"/>
    </xf>
    <xf numFmtId="49" fontId="5" fillId="0" borderId="1" xfId="0" applyNumberFormat="1" applyFont="1" applyFill="1" applyBorder="1" applyAlignment="1">
      <alignment horizontal="center" vertical="top" wrapText="1"/>
    </xf>
    <xf numFmtId="2" fontId="5" fillId="0" borderId="1" xfId="0" applyNumberFormat="1" applyFont="1" applyFill="1" applyBorder="1" applyAlignment="1">
      <alignment wrapText="1"/>
    </xf>
    <xf numFmtId="165" fontId="9" fillId="0" borderId="1" xfId="17" applyFont="1" applyBorder="1" applyAlignment="1">
      <alignment vertical="center"/>
    </xf>
    <xf numFmtId="167" fontId="31" fillId="0" borderId="1" xfId="0" applyNumberFormat="1" applyFont="1" applyFill="1" applyBorder="1" applyAlignment="1">
      <alignment wrapText="1"/>
    </xf>
    <xf numFmtId="167" fontId="5" fillId="0" borderId="1" xfId="0" applyNumberFormat="1" applyFont="1" applyFill="1" applyBorder="1" applyAlignment="1">
      <alignment horizontal="right" vertical="center" wrapText="1"/>
    </xf>
    <xf numFmtId="0" fontId="16" fillId="0" borderId="0" xfId="0" applyFont="1" applyBorder="1" applyAlignment="1">
      <alignment horizontal="center" vertical="center" wrapText="1"/>
    </xf>
    <xf numFmtId="49" fontId="9" fillId="0" borderId="1" xfId="0" applyNumberFormat="1" applyFont="1" applyBorder="1" applyAlignment="1">
      <alignment horizontal="center" vertical="center"/>
    </xf>
    <xf numFmtId="0" fontId="8" fillId="0" borderId="1" xfId="0" applyFont="1" applyFill="1" applyBorder="1" applyAlignment="1">
      <alignment horizontal="center" vertical="center" wrapText="1"/>
    </xf>
    <xf numFmtId="0" fontId="13" fillId="0" borderId="1" xfId="0" applyFont="1" applyFill="1" applyBorder="1" applyAlignment="1">
      <alignment horizontal="center"/>
    </xf>
    <xf numFmtId="0" fontId="32" fillId="0" borderId="1" xfId="0" applyFont="1" applyBorder="1"/>
    <xf numFmtId="4" fontId="5" fillId="0" borderId="1" xfId="17" applyNumberFormat="1" applyFont="1" applyBorder="1" applyAlignment="1"/>
    <xf numFmtId="4" fontId="5" fillId="0" borderId="1" xfId="17" applyNumberFormat="1" applyFont="1" applyBorder="1" applyAlignment="1">
      <alignment horizontal="right"/>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4" fontId="8" fillId="0" borderId="1" xfId="0" applyNumberFormat="1" applyFont="1" applyFill="1" applyBorder="1" applyAlignment="1">
      <alignment vertical="center" wrapText="1"/>
    </xf>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172" fontId="8" fillId="0" borderId="1" xfId="0" applyNumberFormat="1" applyFont="1" applyFill="1" applyBorder="1" applyAlignment="1">
      <alignment horizontal="left" vertical="center" wrapText="1"/>
    </xf>
    <xf numFmtId="49" fontId="8" fillId="0" borderId="1" xfId="0" applyNumberFormat="1" applyFont="1" applyBorder="1" applyAlignment="1">
      <alignment horizontal="center"/>
    </xf>
    <xf numFmtId="49" fontId="8" fillId="0" borderId="1" xfId="0" applyNumberFormat="1" applyFont="1" applyBorder="1"/>
    <xf numFmtId="0" fontId="8" fillId="0" borderId="5" xfId="0" applyFont="1" applyBorder="1" applyAlignment="1">
      <alignment wrapText="1"/>
    </xf>
    <xf numFmtId="0" fontId="5" fillId="0" borderId="1" xfId="0" applyFont="1" applyBorder="1" applyAlignment="1">
      <alignment horizontal="left"/>
    </xf>
    <xf numFmtId="4" fontId="5" fillId="0" borderId="1" xfId="0" applyNumberFormat="1" applyFont="1" applyBorder="1" applyAlignment="1">
      <alignment horizontal="center" wrapText="1"/>
    </xf>
    <xf numFmtId="4" fontId="5" fillId="0" borderId="1" xfId="17" applyNumberFormat="1" applyFont="1" applyBorder="1" applyAlignment="1">
      <alignment horizontal="center" wrapText="1"/>
    </xf>
    <xf numFmtId="165" fontId="5" fillId="0" borderId="1" xfId="17" applyFont="1" applyBorder="1" applyAlignment="1">
      <alignment horizontal="center" wrapText="1"/>
    </xf>
    <xf numFmtId="165" fontId="5" fillId="0" borderId="1" xfId="17" applyFont="1" applyBorder="1" applyAlignment="1">
      <alignment horizontal="center" vertical="center"/>
    </xf>
    <xf numFmtId="165" fontId="5" fillId="0" borderId="1" xfId="17" applyFont="1" applyBorder="1" applyAlignment="1">
      <alignment horizontal="center"/>
    </xf>
    <xf numFmtId="4" fontId="5" fillId="0" borderId="1" xfId="0" applyNumberFormat="1" applyFont="1" applyBorder="1" applyAlignment="1">
      <alignment horizontal="center"/>
    </xf>
    <xf numFmtId="4" fontId="5" fillId="0" borderId="1" xfId="17" applyNumberFormat="1" applyFont="1" applyBorder="1" applyAlignment="1">
      <alignment horizontal="center"/>
    </xf>
    <xf numFmtId="0" fontId="8" fillId="0" borderId="1" xfId="0" applyNumberFormat="1" applyFont="1" applyFill="1" applyBorder="1" applyAlignment="1">
      <alignment wrapText="1"/>
    </xf>
    <xf numFmtId="0" fontId="5" fillId="0" borderId="1" xfId="0" applyNumberFormat="1" applyFont="1" applyFill="1" applyBorder="1" applyAlignment="1">
      <alignment vertical="top" wrapText="1"/>
    </xf>
    <xf numFmtId="0" fontId="8" fillId="0" borderId="0" xfId="0" applyFont="1" applyAlignment="1">
      <alignment horizontal="justify" vertical="top" wrapText="1"/>
    </xf>
    <xf numFmtId="0" fontId="8" fillId="0" borderId="1" xfId="0" applyFont="1" applyFill="1" applyBorder="1"/>
    <xf numFmtId="165" fontId="5" fillId="0" borderId="1" xfId="17" applyFont="1" applyBorder="1" applyAlignment="1">
      <alignment horizontal="right"/>
    </xf>
    <xf numFmtId="169" fontId="5" fillId="0" borderId="1" xfId="0" applyNumberFormat="1" applyFont="1" applyFill="1" applyBorder="1" applyAlignment="1">
      <alignment horizontal="right" wrapText="1"/>
    </xf>
    <xf numFmtId="169" fontId="5" fillId="0" borderId="1" xfId="17" applyNumberFormat="1" applyFont="1" applyBorder="1" applyAlignment="1">
      <alignment horizontal="right" wrapText="1"/>
    </xf>
    <xf numFmtId="169" fontId="5" fillId="0" borderId="1" xfId="17" applyNumberFormat="1" applyFont="1" applyBorder="1" applyAlignment="1">
      <alignment horizontal="right"/>
    </xf>
    <xf numFmtId="0" fontId="10" fillId="0" borderId="1" xfId="0" applyFont="1" applyBorder="1" applyAlignment="1">
      <alignment horizontal="center" vertical="center" wrapText="1"/>
    </xf>
    <xf numFmtId="0" fontId="10" fillId="0" borderId="0" xfId="0" applyFont="1"/>
    <xf numFmtId="0" fontId="10" fillId="0" borderId="1" xfId="0" applyFont="1" applyBorder="1" applyAlignment="1">
      <alignment wrapText="1"/>
    </xf>
    <xf numFmtId="4" fontId="10" fillId="0" borderId="1" xfId="0" applyNumberFormat="1" applyFont="1" applyBorder="1" applyAlignment="1" applyProtection="1">
      <alignment horizontal="right" vertical="top" wrapText="1"/>
    </xf>
    <xf numFmtId="49" fontId="10" fillId="0" borderId="1" xfId="0" applyNumberFormat="1" applyFont="1" applyBorder="1" applyAlignment="1" applyProtection="1">
      <alignment horizontal="left" vertical="center" wrapText="1"/>
    </xf>
    <xf numFmtId="167" fontId="10" fillId="0" borderId="1" xfId="0" applyNumberFormat="1" applyFont="1" applyFill="1" applyBorder="1" applyAlignment="1">
      <alignment horizontal="right" vertical="center" wrapText="1"/>
    </xf>
    <xf numFmtId="4" fontId="9" fillId="0" borderId="1" xfId="0" applyNumberFormat="1" applyFont="1" applyBorder="1"/>
    <xf numFmtId="2" fontId="5" fillId="0" borderId="0" xfId="0" applyNumberFormat="1" applyFont="1" applyBorder="1" applyAlignment="1">
      <alignment wrapText="1"/>
    </xf>
    <xf numFmtId="2" fontId="5" fillId="0" borderId="0" xfId="0" applyNumberFormat="1" applyFont="1" applyBorder="1"/>
    <xf numFmtId="49" fontId="5" fillId="0" borderId="0" xfId="0" applyNumberFormat="1" applyFont="1" applyBorder="1"/>
    <xf numFmtId="4" fontId="5" fillId="0" borderId="0" xfId="0" applyNumberFormat="1" applyFont="1" applyBorder="1"/>
    <xf numFmtId="165" fontId="5" fillId="0" borderId="1" xfId="17" applyFont="1" applyBorder="1"/>
    <xf numFmtId="0" fontId="5" fillId="0" borderId="0" xfId="0" applyFont="1" applyBorder="1" applyAlignment="1">
      <alignment wrapText="1"/>
    </xf>
    <xf numFmtId="0" fontId="5" fillId="0" borderId="0" xfId="0" applyNumberFormat="1" applyFont="1" applyBorder="1" applyAlignment="1">
      <alignment horizontal="left"/>
    </xf>
    <xf numFmtId="0" fontId="5" fillId="0" borderId="0" xfId="0" applyFont="1" applyBorder="1"/>
    <xf numFmtId="4" fontId="5" fillId="0" borderId="0" xfId="17" applyNumberFormat="1" applyFont="1" applyBorder="1"/>
    <xf numFmtId="0" fontId="8" fillId="0" borderId="1" xfId="0" applyFont="1" applyBorder="1" applyAlignment="1">
      <alignment horizontal="justify" vertical="top" wrapText="1"/>
    </xf>
    <xf numFmtId="0" fontId="5" fillId="2" borderId="1" xfId="0" applyFont="1" applyFill="1" applyBorder="1"/>
    <xf numFmtId="0" fontId="26" fillId="0" borderId="1" xfId="0" applyFont="1" applyBorder="1"/>
    <xf numFmtId="0" fontId="26" fillId="0" borderId="1" xfId="0" applyFont="1" applyFill="1" applyBorder="1"/>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5" fillId="3" borderId="1" xfId="0" applyFont="1" applyFill="1" applyBorder="1" applyAlignment="1">
      <alignment horizontal="right"/>
    </xf>
    <xf numFmtId="0" fontId="5" fillId="4" borderId="1" xfId="0" applyFont="1" applyFill="1" applyBorder="1"/>
    <xf numFmtId="0" fontId="5" fillId="4" borderId="1" xfId="0" applyFont="1" applyFill="1" applyBorder="1" applyAlignment="1">
      <alignment horizontal="right"/>
    </xf>
    <xf numFmtId="172" fontId="5" fillId="0" borderId="1" xfId="0" applyNumberFormat="1" applyFont="1" applyFill="1" applyBorder="1" applyAlignment="1" applyProtection="1">
      <alignment horizontal="left" vertical="center" wrapText="1"/>
    </xf>
    <xf numFmtId="165" fontId="5" fillId="0" borderId="0" xfId="17" applyFont="1" applyAlignment="1">
      <alignment horizontal="right" vertical="center"/>
    </xf>
    <xf numFmtId="165" fontId="5" fillId="0" borderId="0" xfId="17" applyFont="1" applyAlignment="1">
      <alignment horizontal="right"/>
    </xf>
    <xf numFmtId="165" fontId="5" fillId="0" borderId="1" xfId="17" applyFont="1" applyFill="1" applyBorder="1"/>
    <xf numFmtId="165" fontId="5" fillId="0" borderId="1" xfId="17" applyFont="1" applyFill="1" applyBorder="1" applyAlignment="1">
      <alignment horizontal="right"/>
    </xf>
    <xf numFmtId="0" fontId="33" fillId="0" borderId="0" xfId="0" applyFont="1"/>
    <xf numFmtId="0" fontId="16" fillId="0" borderId="0" xfId="0" applyFont="1" applyBorder="1" applyAlignment="1">
      <alignment horizontal="center" vertical="center" wrapText="1"/>
    </xf>
    <xf numFmtId="49" fontId="9" fillId="0" borderId="1" xfId="0" applyNumberFormat="1" applyFont="1" applyBorder="1" applyAlignment="1">
      <alignment horizontal="center" vertical="center"/>
    </xf>
    <xf numFmtId="165" fontId="9" fillId="0" borderId="1" xfId="17" applyFont="1" applyBorder="1" applyAlignment="1">
      <alignment horizontal="center" vertical="center" wrapText="1"/>
    </xf>
    <xf numFmtId="49" fontId="14" fillId="0" borderId="1" xfId="0" applyNumberFormat="1" applyFont="1" applyBorder="1" applyAlignment="1">
      <alignment horizontal="center" vertical="center"/>
    </xf>
    <xf numFmtId="167" fontId="14" fillId="0" borderId="1" xfId="20" applyNumberFormat="1" applyFont="1" applyBorder="1" applyAlignment="1">
      <alignment horizontal="right" vertical="center"/>
    </xf>
    <xf numFmtId="167" fontId="19" fillId="0" borderId="1" xfId="3" applyNumberFormat="1" applyFont="1" applyFill="1" applyBorder="1" applyAlignment="1">
      <alignment horizontal="center"/>
    </xf>
    <xf numFmtId="4" fontId="10" fillId="0" borderId="1" xfId="0" applyNumberFormat="1" applyFont="1" applyFill="1" applyBorder="1" applyAlignment="1" applyProtection="1">
      <alignment horizontal="center" wrapText="1"/>
    </xf>
    <xf numFmtId="0" fontId="10" fillId="0" borderId="1" xfId="0" applyNumberFormat="1" applyFont="1" applyBorder="1" applyAlignment="1">
      <alignment wrapText="1"/>
    </xf>
    <xf numFmtId="175" fontId="10" fillId="0" borderId="1" xfId="17" applyNumberFormat="1" applyFont="1" applyFill="1" applyBorder="1" applyAlignment="1">
      <alignment vertical="top" wrapText="1"/>
    </xf>
    <xf numFmtId="49" fontId="10" fillId="0" borderId="1" xfId="0" applyNumberFormat="1" applyFont="1" applyBorder="1" applyAlignment="1">
      <alignment vertical="top" wrapText="1"/>
    </xf>
    <xf numFmtId="49" fontId="10" fillId="5" borderId="1" xfId="0" applyNumberFormat="1" applyFont="1" applyFill="1" applyBorder="1" applyAlignment="1">
      <alignment vertical="top" wrapText="1"/>
    </xf>
    <xf numFmtId="175" fontId="10" fillId="5" borderId="1" xfId="17" applyNumberFormat="1" applyFont="1" applyFill="1" applyBorder="1" applyAlignment="1">
      <alignment vertical="top" wrapText="1"/>
    </xf>
    <xf numFmtId="49" fontId="10" fillId="0" borderId="1" xfId="0" applyNumberFormat="1" applyFont="1" applyFill="1" applyBorder="1" applyAlignment="1">
      <alignment vertical="top" wrapText="1"/>
    </xf>
    <xf numFmtId="176" fontId="10" fillId="0" borderId="1" xfId="17" applyNumberFormat="1" applyFont="1" applyFill="1" applyBorder="1" applyAlignment="1">
      <alignment vertical="top" wrapText="1"/>
    </xf>
    <xf numFmtId="49" fontId="9" fillId="0" borderId="1" xfId="0" applyNumberFormat="1" applyFont="1" applyBorder="1" applyAlignment="1">
      <alignment horizontal="center" vertical="center"/>
    </xf>
    <xf numFmtId="169" fontId="9" fillId="0" borderId="1" xfId="20" applyNumberFormat="1" applyFont="1" applyBorder="1" applyAlignment="1">
      <alignment horizontal="right" vertical="center"/>
    </xf>
    <xf numFmtId="0" fontId="8" fillId="0"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0" fontId="12" fillId="0" borderId="8" xfId="0" applyFont="1" applyBorder="1" applyAlignment="1">
      <alignment horizontal="center" vertical="center" wrapText="1"/>
    </xf>
    <xf numFmtId="0" fontId="5" fillId="0" borderId="8" xfId="0" applyFont="1" applyBorder="1" applyAlignment="1">
      <alignment horizontal="right"/>
    </xf>
    <xf numFmtId="49"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right" vertical="center"/>
    </xf>
    <xf numFmtId="49" fontId="5" fillId="0" borderId="1" xfId="0" applyNumberFormat="1" applyFont="1" applyBorder="1" applyAlignment="1">
      <alignment horizontal="left" vertical="center" wrapText="1"/>
    </xf>
    <xf numFmtId="4" fontId="5" fillId="0"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4" fontId="8" fillId="0" borderId="1" xfId="0" applyNumberFormat="1" applyFont="1" applyBorder="1" applyAlignment="1">
      <alignment horizontal="right" vertical="center" wrapText="1"/>
    </xf>
    <xf numFmtId="4" fontId="5" fillId="0" borderId="1" xfId="0" applyNumberFormat="1" applyFont="1" applyBorder="1" applyAlignment="1">
      <alignment horizontal="right" vertical="center" wrapText="1"/>
    </xf>
    <xf numFmtId="0" fontId="5" fillId="0" borderId="1" xfId="0" applyFont="1" applyFill="1" applyBorder="1" applyAlignment="1">
      <alignment horizontal="center" vertical="center"/>
    </xf>
    <xf numFmtId="49" fontId="5" fillId="0" borderId="1" xfId="0" applyNumberFormat="1" applyFont="1" applyBorder="1" applyAlignment="1">
      <alignment horizontal="center" vertical="center"/>
    </xf>
    <xf numFmtId="11" fontId="5" fillId="0" borderId="1" xfId="0" applyNumberFormat="1" applyFont="1" applyBorder="1" applyAlignment="1">
      <alignment horizontal="left" vertical="center" wrapText="1"/>
    </xf>
    <xf numFmtId="2" fontId="5" fillId="0" borderId="1" xfId="0" applyNumberFormat="1" applyFont="1" applyFill="1" applyBorder="1" applyAlignment="1">
      <alignment horizontal="left" vertical="center" wrapText="1"/>
    </xf>
    <xf numFmtId="172" fontId="5" fillId="0" borderId="1" xfId="0" applyNumberFormat="1" applyFont="1" applyBorder="1" applyAlignment="1">
      <alignment horizontal="left" vertical="center" wrapText="1"/>
    </xf>
    <xf numFmtId="0" fontId="24" fillId="0" borderId="1" xfId="0" applyFont="1" applyFill="1" applyBorder="1" applyAlignment="1">
      <alignment horizontal="left" vertical="center"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10" fillId="0" borderId="0" xfId="0" applyFont="1" applyFill="1" applyAlignment="1">
      <alignment horizontal="center" vertical="center"/>
    </xf>
    <xf numFmtId="0" fontId="10" fillId="0" borderId="0" xfId="0" applyFont="1" applyFill="1" applyAlignment="1">
      <alignment horizontal="left" vertical="center" wrapText="1"/>
    </xf>
    <xf numFmtId="0" fontId="13" fillId="0" borderId="0" xfId="0" applyFont="1" applyFill="1" applyAlignment="1">
      <alignment horizontal="right" vertical="center"/>
    </xf>
    <xf numFmtId="0" fontId="12" fillId="0" borderId="0" xfId="0" applyFont="1" applyFill="1"/>
    <xf numFmtId="167" fontId="5" fillId="0" borderId="0" xfId="0" applyNumberFormat="1" applyFont="1" applyFill="1" applyBorder="1" applyAlignment="1">
      <alignment horizontal="left" wrapText="1"/>
    </xf>
    <xf numFmtId="4"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xf>
    <xf numFmtId="40" fontId="5" fillId="0" borderId="0" xfId="0" applyNumberFormat="1" applyFont="1" applyFill="1"/>
    <xf numFmtId="0" fontId="8" fillId="0" borderId="1" xfId="0" applyFont="1" applyFill="1" applyBorder="1" applyAlignment="1">
      <alignment horizontal="center"/>
    </xf>
    <xf numFmtId="49" fontId="8" fillId="0" borderId="1" xfId="0" applyNumberFormat="1" applyFont="1" applyFill="1" applyBorder="1" applyAlignment="1">
      <alignment horizontal="left" vertical="center" wrapText="1"/>
    </xf>
    <xf numFmtId="2" fontId="8" fillId="0" borderId="1" xfId="0" applyNumberFormat="1" applyFont="1" applyBorder="1" applyAlignment="1">
      <alignment horizontal="left" vertical="center" wrapText="1"/>
    </xf>
    <xf numFmtId="2" fontId="5" fillId="0" borderId="1" xfId="0" applyNumberFormat="1" applyFont="1" applyBorder="1" applyAlignment="1">
      <alignment horizontal="left" vertical="center" wrapText="1"/>
    </xf>
    <xf numFmtId="0" fontId="5" fillId="0" borderId="1" xfId="0" applyFont="1" applyFill="1" applyBorder="1" applyAlignment="1">
      <alignment horizontal="justify" vertical="top" wrapText="1"/>
    </xf>
    <xf numFmtId="49" fontId="8" fillId="0" borderId="1" xfId="0" applyNumberFormat="1" applyFont="1" applyBorder="1" applyAlignment="1">
      <alignment horizontal="left" vertical="center" wrapText="1"/>
    </xf>
    <xf numFmtId="0" fontId="8" fillId="0" borderId="1" xfId="0" applyFont="1" applyBorder="1" applyAlignment="1">
      <alignment wrapText="1"/>
    </xf>
    <xf numFmtId="0" fontId="35"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35" fillId="0" borderId="1" xfId="0" applyFont="1" applyFill="1" applyBorder="1" applyAlignment="1">
      <alignment wrapText="1"/>
    </xf>
    <xf numFmtId="0" fontId="24" fillId="0" borderId="1" xfId="0" applyFont="1" applyFill="1" applyBorder="1" applyAlignment="1">
      <alignment wrapText="1"/>
    </xf>
    <xf numFmtId="0" fontId="16" fillId="0" borderId="0" xfId="0" applyFont="1" applyBorder="1" applyAlignment="1">
      <alignment horizontal="center" wrapText="1"/>
    </xf>
    <xf numFmtId="0" fontId="5" fillId="0" borderId="0" xfId="0" applyFont="1" applyAlignment="1">
      <alignment horizontal="right" wrapText="1"/>
    </xf>
    <xf numFmtId="49" fontId="5" fillId="0" borderId="0" xfId="0" applyNumberFormat="1" applyFont="1" applyFill="1" applyBorder="1" applyAlignment="1">
      <alignment horizontal="center" vertical="center" wrapText="1"/>
    </xf>
    <xf numFmtId="167" fontId="8" fillId="0" borderId="0" xfId="20" applyNumberFormat="1" applyFont="1" applyBorder="1" applyAlignment="1">
      <alignment horizontal="right" vertical="center"/>
    </xf>
    <xf numFmtId="4" fontId="5" fillId="0" borderId="0" xfId="0" applyNumberFormat="1" applyFont="1" applyBorder="1" applyAlignment="1">
      <alignment horizontal="right" vertical="top" wrapText="1"/>
    </xf>
    <xf numFmtId="0" fontId="10" fillId="0" borderId="1" xfId="0" applyFont="1" applyBorder="1" applyAlignment="1">
      <alignment horizontal="center" vertical="center" wrapText="1"/>
    </xf>
    <xf numFmtId="49" fontId="9" fillId="0" borderId="1" xfId="0" applyNumberFormat="1" applyFont="1" applyBorder="1" applyAlignment="1">
      <alignment horizontal="center" vertical="center"/>
    </xf>
    <xf numFmtId="4" fontId="5" fillId="0" borderId="1" xfId="0" applyNumberFormat="1" applyFont="1" applyFill="1" applyBorder="1"/>
    <xf numFmtId="0" fontId="12" fillId="0" borderId="8" xfId="0" applyFont="1" applyBorder="1" applyAlignment="1">
      <alignment horizontal="center" vertical="center" wrapText="1"/>
    </xf>
    <xf numFmtId="169" fontId="37" fillId="0" borderId="2" xfId="3" applyNumberFormat="1" applyFont="1" applyFill="1" applyBorder="1"/>
    <xf numFmtId="167" fontId="37" fillId="0" borderId="2" xfId="3" applyNumberFormat="1" applyFont="1" applyFill="1" applyBorder="1"/>
    <xf numFmtId="169" fontId="37" fillId="0" borderId="1" xfId="3" applyNumberFormat="1" applyFont="1" applyFill="1" applyBorder="1"/>
    <xf numFmtId="167" fontId="5" fillId="0" borderId="0" xfId="0" applyNumberFormat="1" applyFont="1" applyFill="1" applyBorder="1" applyAlignment="1">
      <alignment horizontal="right" vertical="center" wrapText="1"/>
    </xf>
    <xf numFmtId="165" fontId="9" fillId="0" borderId="1" xfId="17" applyFont="1" applyBorder="1" applyAlignment="1">
      <alignment horizontal="right" vertical="center"/>
    </xf>
    <xf numFmtId="167" fontId="5" fillId="0" borderId="1" xfId="0" applyNumberFormat="1"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0" fontId="0" fillId="0" borderId="1" xfId="0" applyBorder="1" applyAlignment="1">
      <alignment horizontal="center" wrapText="1"/>
    </xf>
    <xf numFmtId="0" fontId="9" fillId="0" borderId="1" xfId="0" applyFont="1" applyBorder="1" applyAlignment="1">
      <alignment horizontal="left"/>
    </xf>
    <xf numFmtId="0" fontId="10" fillId="0" borderId="1" xfId="0" applyFont="1" applyBorder="1" applyAlignment="1">
      <alignment horizontal="center" vertical="center"/>
    </xf>
    <xf numFmtId="0" fontId="10" fillId="0" borderId="1" xfId="0" applyFont="1" applyBorder="1" applyAlignment="1">
      <alignment horizontal="center" wrapText="1"/>
    </xf>
    <xf numFmtId="49" fontId="10" fillId="0" borderId="1" xfId="0" applyNumberFormat="1" applyFont="1" applyFill="1" applyBorder="1" applyAlignment="1">
      <alignment horizontal="center" vertical="center" wrapText="1"/>
    </xf>
    <xf numFmtId="167" fontId="9" fillId="0" borderId="7" xfId="19" applyNumberFormat="1" applyFont="1" applyBorder="1" applyAlignment="1">
      <alignment horizontal="right" vertical="center"/>
    </xf>
    <xf numFmtId="167" fontId="19" fillId="0" borderId="3" xfId="3" applyNumberFormat="1" applyFont="1" applyFill="1" applyBorder="1"/>
    <xf numFmtId="0" fontId="19" fillId="0" borderId="1" xfId="6" applyFont="1" applyFill="1" applyBorder="1" applyAlignment="1">
      <alignment horizontal="left" wrapText="1"/>
    </xf>
    <xf numFmtId="0" fontId="7" fillId="0" borderId="1" xfId="6" applyFont="1" applyFill="1" applyBorder="1" applyAlignment="1">
      <alignment horizontal="left" wrapText="1"/>
    </xf>
    <xf numFmtId="4" fontId="10" fillId="0" borderId="1" xfId="0" applyNumberFormat="1" applyFont="1" applyBorder="1" applyAlignment="1">
      <alignment vertical="top" wrapText="1"/>
    </xf>
    <xf numFmtId="43" fontId="10" fillId="0" borderId="1" xfId="0" applyNumberFormat="1" applyFont="1" applyBorder="1" applyAlignment="1">
      <alignment vertical="top"/>
    </xf>
    <xf numFmtId="43" fontId="9" fillId="0" borderId="1" xfId="0" applyNumberFormat="1" applyFont="1" applyBorder="1" applyAlignment="1">
      <alignment vertical="top"/>
    </xf>
    <xf numFmtId="49" fontId="8"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167" fontId="37" fillId="0" borderId="1" xfId="3" applyNumberFormat="1" applyFont="1" applyFill="1" applyBorder="1"/>
    <xf numFmtId="4" fontId="19" fillId="0" borderId="1" xfId="3" applyNumberFormat="1" applyFont="1" applyFill="1" applyBorder="1"/>
    <xf numFmtId="4" fontId="19" fillId="0" borderId="1" xfId="3" applyNumberFormat="1" applyFont="1" applyFill="1" applyBorder="1" applyAlignment="1">
      <alignment horizontal="center"/>
    </xf>
    <xf numFmtId="4" fontId="10" fillId="0" borderId="1" xfId="0" applyNumberFormat="1" applyFont="1" applyFill="1" applyBorder="1"/>
    <xf numFmtId="4" fontId="24" fillId="0" borderId="1" xfId="0" applyNumberFormat="1" applyFont="1" applyFill="1" applyBorder="1" applyAlignment="1">
      <alignment horizontal="right" vertical="center" wrapText="1"/>
    </xf>
    <xf numFmtId="49" fontId="39" fillId="0" borderId="1" xfId="24" applyNumberFormat="1" applyFont="1" applyBorder="1" applyAlignment="1" applyProtection="1">
      <alignment horizontal="center" vertical="center" wrapText="1"/>
    </xf>
    <xf numFmtId="49" fontId="40" fillId="0" borderId="14" xfId="24" applyNumberFormat="1" applyFont="1" applyBorder="1" applyAlignment="1" applyProtection="1">
      <alignment horizontal="left"/>
    </xf>
    <xf numFmtId="49" fontId="40" fillId="0" borderId="15" xfId="24" applyNumberFormat="1" applyFont="1" applyBorder="1" applyAlignment="1" applyProtection="1">
      <alignment horizontal="center"/>
    </xf>
    <xf numFmtId="4" fontId="40" fillId="0" borderId="15" xfId="24" applyNumberFormat="1" applyFont="1" applyBorder="1" applyAlignment="1" applyProtection="1">
      <alignment horizontal="right"/>
    </xf>
    <xf numFmtId="49" fontId="40" fillId="0" borderId="14" xfId="24" applyNumberFormat="1" applyFont="1" applyBorder="1" applyAlignment="1" applyProtection="1">
      <alignment horizontal="left" vertical="center" wrapText="1"/>
    </xf>
    <xf numFmtId="49" fontId="40" fillId="0" borderId="15" xfId="24" applyNumberFormat="1" applyFont="1" applyBorder="1" applyAlignment="1" applyProtection="1">
      <alignment horizontal="center" vertical="center" wrapText="1"/>
    </xf>
    <xf numFmtId="4" fontId="40" fillId="0" borderId="15" xfId="24" applyNumberFormat="1" applyFont="1" applyBorder="1" applyAlignment="1" applyProtection="1">
      <alignment horizontal="right" vertical="center" wrapText="1"/>
    </xf>
    <xf numFmtId="49" fontId="38" fillId="0" borderId="16" xfId="24" applyNumberFormat="1" applyFont="1" applyBorder="1" applyAlignment="1" applyProtection="1">
      <alignment horizontal="left" vertical="center" wrapText="1"/>
    </xf>
    <xf numFmtId="49" fontId="38" fillId="0" borderId="16" xfId="24" applyNumberFormat="1" applyFont="1" applyBorder="1" applyAlignment="1" applyProtection="1">
      <alignment horizontal="center" vertical="center" wrapText="1"/>
    </xf>
    <xf numFmtId="4" fontId="38" fillId="0" borderId="16" xfId="24" applyNumberFormat="1" applyFont="1" applyBorder="1" applyAlignment="1" applyProtection="1">
      <alignment horizontal="right" vertical="center" wrapText="1"/>
    </xf>
    <xf numFmtId="172" fontId="40" fillId="0" borderId="14" xfId="24" applyNumberFormat="1" applyFont="1" applyBorder="1" applyAlignment="1" applyProtection="1">
      <alignment horizontal="left" vertical="center" wrapText="1"/>
    </xf>
    <xf numFmtId="49" fontId="39" fillId="0" borderId="1" xfId="25" applyNumberFormat="1" applyFont="1" applyBorder="1" applyAlignment="1" applyProtection="1">
      <alignment horizontal="center" vertical="center" wrapText="1"/>
    </xf>
    <xf numFmtId="49" fontId="40" fillId="0" borderId="14" xfId="25" applyNumberFormat="1" applyFont="1" applyBorder="1" applyAlignment="1" applyProtection="1">
      <alignment horizontal="left"/>
    </xf>
    <xf numFmtId="49" fontId="40" fillId="0" borderId="15" xfId="25" applyNumberFormat="1" applyFont="1" applyBorder="1" applyAlignment="1" applyProtection="1">
      <alignment horizontal="center"/>
    </xf>
    <xf numFmtId="4" fontId="40" fillId="0" borderId="15" xfId="25" applyNumberFormat="1" applyFont="1" applyBorder="1" applyAlignment="1" applyProtection="1">
      <alignment horizontal="right"/>
    </xf>
    <xf numFmtId="49" fontId="40" fillId="0" borderId="14" xfId="25" applyNumberFormat="1" applyFont="1" applyBorder="1" applyAlignment="1" applyProtection="1">
      <alignment horizontal="left" vertical="center" wrapText="1"/>
    </xf>
    <xf numFmtId="49" fontId="40" fillId="0" borderId="15" xfId="25" applyNumberFormat="1" applyFont="1" applyBorder="1" applyAlignment="1" applyProtection="1">
      <alignment horizontal="center" vertical="center" wrapText="1"/>
    </xf>
    <xf numFmtId="4" fontId="40" fillId="0" borderId="15" xfId="25" applyNumberFormat="1" applyFont="1" applyBorder="1" applyAlignment="1" applyProtection="1">
      <alignment horizontal="right" vertical="center" wrapText="1"/>
    </xf>
    <xf numFmtId="172" fontId="40" fillId="0" borderId="14" xfId="25" applyNumberFormat="1" applyFont="1" applyBorder="1" applyAlignment="1" applyProtection="1">
      <alignment horizontal="left" vertical="center" wrapText="1"/>
    </xf>
    <xf numFmtId="49" fontId="38" fillId="0" borderId="16" xfId="25" applyNumberFormat="1" applyFont="1" applyBorder="1" applyAlignment="1" applyProtection="1">
      <alignment horizontal="left" vertical="center" wrapText="1"/>
    </xf>
    <xf numFmtId="49" fontId="38" fillId="0" borderId="16" xfId="25" applyNumberFormat="1" applyFont="1" applyBorder="1" applyAlignment="1" applyProtection="1">
      <alignment horizontal="center" vertical="center" wrapText="1"/>
    </xf>
    <xf numFmtId="4" fontId="38" fillId="0" borderId="16" xfId="25" applyNumberFormat="1" applyFont="1" applyBorder="1" applyAlignment="1" applyProtection="1">
      <alignment horizontal="right" vertical="center" wrapText="1"/>
    </xf>
    <xf numFmtId="4" fontId="5" fillId="0" borderId="1" xfId="24" applyNumberFormat="1" applyFont="1" applyBorder="1" applyAlignment="1" applyProtection="1">
      <alignment horizontal="right" wrapText="1"/>
    </xf>
    <xf numFmtId="4" fontId="8" fillId="0" borderId="1" xfId="24" applyNumberFormat="1" applyFont="1" applyBorder="1" applyAlignment="1" applyProtection="1">
      <alignment horizontal="right"/>
    </xf>
    <xf numFmtId="165" fontId="5" fillId="0" borderId="1" xfId="17" applyFont="1" applyFill="1" applyBorder="1" applyAlignment="1">
      <alignment horizontal="right" wrapText="1"/>
    </xf>
    <xf numFmtId="165" fontId="5" fillId="0" borderId="1" xfId="17" applyFont="1" applyBorder="1" applyAlignment="1">
      <alignment horizontal="right" wrapText="1"/>
    </xf>
    <xf numFmtId="165" fontId="8" fillId="0" borderId="1" xfId="17" applyFont="1" applyBorder="1" applyAlignment="1"/>
    <xf numFmtId="165" fontId="8" fillId="0" borderId="1" xfId="17" applyFont="1" applyBorder="1" applyAlignment="1">
      <alignment horizontal="right"/>
    </xf>
    <xf numFmtId="4" fontId="38" fillId="0" borderId="0" xfId="24" applyNumberFormat="1" applyFont="1" applyBorder="1" applyAlignment="1" applyProtection="1">
      <alignment horizontal="right" vertical="center" wrapText="1"/>
    </xf>
    <xf numFmtId="4" fontId="8" fillId="0" borderId="1" xfId="0" applyNumberFormat="1" applyFont="1" applyBorder="1"/>
    <xf numFmtId="4" fontId="8" fillId="0" borderId="1" xfId="0" applyNumberFormat="1" applyFont="1" applyBorder="1" applyAlignment="1" applyProtection="1">
      <alignment horizontal="right"/>
    </xf>
    <xf numFmtId="49" fontId="5" fillId="0"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xf>
    <xf numFmtId="4" fontId="13" fillId="0" borderId="0" xfId="0" applyNumberFormat="1" applyFont="1" applyBorder="1" applyAlignment="1">
      <alignment vertical="center" wrapText="1"/>
    </xf>
    <xf numFmtId="4" fontId="13" fillId="0" borderId="0" xfId="0" applyNumberFormat="1" applyFont="1" applyFill="1"/>
    <xf numFmtId="4" fontId="8" fillId="0" borderId="1" xfId="0" applyNumberFormat="1" applyFont="1" applyFill="1" applyBorder="1" applyAlignment="1">
      <alignment vertical="center"/>
    </xf>
    <xf numFmtId="4" fontId="5" fillId="0" borderId="1" xfId="0" applyNumberFormat="1" applyFont="1" applyFill="1" applyBorder="1" applyAlignment="1">
      <alignment vertical="center"/>
    </xf>
    <xf numFmtId="4" fontId="8" fillId="0" borderId="1" xfId="0" applyNumberFormat="1" applyFont="1" applyFill="1" applyBorder="1" applyAlignment="1">
      <alignment horizontal="right" wrapText="1"/>
    </xf>
    <xf numFmtId="0" fontId="9" fillId="0" borderId="1" xfId="0" applyFont="1" applyBorder="1" applyAlignment="1">
      <alignment horizontal="left" vertical="top" wrapText="1"/>
    </xf>
    <xf numFmtId="169" fontId="10" fillId="0" borderId="1" xfId="20" applyNumberFormat="1" applyFont="1" applyBorder="1" applyAlignment="1">
      <alignment horizontal="right" vertical="center"/>
    </xf>
    <xf numFmtId="0" fontId="5" fillId="0" borderId="1" xfId="0" applyFont="1" applyBorder="1" applyAlignment="1">
      <alignment horizontal="center" wrapText="1"/>
    </xf>
    <xf numFmtId="167" fontId="19" fillId="0" borderId="1" xfId="0" applyNumberFormat="1" applyFont="1" applyFill="1" applyBorder="1" applyAlignment="1">
      <alignment wrapText="1"/>
    </xf>
    <xf numFmtId="167" fontId="10" fillId="0" borderId="1" xfId="0" applyNumberFormat="1" applyFont="1" applyFill="1" applyBorder="1" applyAlignment="1">
      <alignment horizontal="left" vertical="center" wrapText="1"/>
    </xf>
    <xf numFmtId="0" fontId="19" fillId="0" borderId="1" xfId="0" applyFont="1" applyBorder="1" applyAlignment="1">
      <alignment horizontal="left" wrapText="1"/>
    </xf>
    <xf numFmtId="43" fontId="19" fillId="0" borderId="1" xfId="17" applyNumberFormat="1" applyFont="1" applyBorder="1" applyAlignment="1">
      <alignment horizontal="right" wrapText="1"/>
    </xf>
    <xf numFmtId="43" fontId="19" fillId="0" borderId="1" xfId="17" applyNumberFormat="1" applyFont="1" applyFill="1" applyBorder="1" applyAlignment="1">
      <alignment horizontal="right" wrapText="1"/>
    </xf>
    <xf numFmtId="49" fontId="5" fillId="0" borderId="1" xfId="0" applyNumberFormat="1" applyFont="1" applyFill="1" applyBorder="1" applyAlignment="1">
      <alignment horizontal="center" vertical="center" wrapText="1"/>
    </xf>
    <xf numFmtId="0" fontId="8" fillId="0" borderId="7" xfId="0" applyFont="1" applyFill="1" applyBorder="1" applyAlignment="1">
      <alignment vertical="center" wrapText="1"/>
    </xf>
    <xf numFmtId="0" fontId="8" fillId="0" borderId="9" xfId="0" applyFont="1" applyFill="1" applyBorder="1" applyAlignment="1">
      <alignment vertical="center" wrapText="1"/>
    </xf>
    <xf numFmtId="0" fontId="8" fillId="0" borderId="5" xfId="0" applyFont="1" applyFill="1" applyBorder="1" applyAlignment="1">
      <alignment vertical="center" wrapText="1"/>
    </xf>
    <xf numFmtId="0" fontId="8" fillId="0" borderId="13" xfId="0" applyFont="1" applyBorder="1" applyAlignment="1">
      <alignment wrapText="1"/>
    </xf>
    <xf numFmtId="0" fontId="5" fillId="0" borderId="13" xfId="0" applyFont="1" applyBorder="1" applyAlignment="1">
      <alignment wrapText="1"/>
    </xf>
    <xf numFmtId="0" fontId="5" fillId="0" borderId="5" xfId="0" applyFont="1" applyBorder="1" applyAlignment="1">
      <alignment wrapText="1"/>
    </xf>
    <xf numFmtId="0" fontId="8" fillId="0" borderId="0" xfId="0" applyFont="1" applyAlignment="1">
      <alignment wrapText="1"/>
    </xf>
    <xf numFmtId="165" fontId="10" fillId="0" borderId="1" xfId="17" applyFont="1" applyFill="1" applyBorder="1" applyAlignment="1">
      <alignment horizontal="center" wrapText="1"/>
    </xf>
    <xf numFmtId="49" fontId="10" fillId="0" borderId="1" xfId="0" applyNumberFormat="1" applyFont="1" applyBorder="1" applyAlignment="1" applyProtection="1">
      <alignment horizontal="left" wrapText="1"/>
    </xf>
    <xf numFmtId="167" fontId="10" fillId="0" borderId="1" xfId="20" applyNumberFormat="1" applyFont="1" applyBorder="1" applyAlignment="1">
      <alignment horizontal="right"/>
    </xf>
    <xf numFmtId="0" fontId="10" fillId="0" borderId="1" xfId="0" applyNumberFormat="1" applyFont="1" applyFill="1" applyBorder="1" applyAlignment="1">
      <alignment horizontal="left" wrapText="1"/>
    </xf>
    <xf numFmtId="172" fontId="10" fillId="0" borderId="1" xfId="0" applyNumberFormat="1" applyFont="1" applyBorder="1" applyAlignment="1" applyProtection="1">
      <alignment horizontal="left" wrapText="1"/>
    </xf>
    <xf numFmtId="4" fontId="10" fillId="0" borderId="1" xfId="0" applyNumberFormat="1" applyFont="1" applyFill="1" applyBorder="1" applyAlignment="1"/>
    <xf numFmtId="0" fontId="5" fillId="0" borderId="0" xfId="0" applyFont="1" applyAlignment="1">
      <alignment horizontal="right" wrapText="1"/>
    </xf>
    <xf numFmtId="0" fontId="16" fillId="0" borderId="0" xfId="0" applyFont="1" applyBorder="1" applyAlignment="1">
      <alignment horizontal="center"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0" fontId="14" fillId="0" borderId="12" xfId="0" applyFont="1" applyFill="1" applyBorder="1" applyAlignment="1">
      <alignment horizontal="left" vertical="center" wrapText="1"/>
    </xf>
    <xf numFmtId="0" fontId="13" fillId="0" borderId="0" xfId="0" applyFont="1" applyAlignment="1">
      <alignment horizontal="right" vertical="center" wrapText="1"/>
    </xf>
    <xf numFmtId="0" fontId="23"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168" fontId="16" fillId="0" borderId="0" xfId="0" applyNumberFormat="1" applyFont="1" applyFill="1" applyAlignment="1">
      <alignment horizontal="center" wrapText="1"/>
    </xf>
    <xf numFmtId="0" fontId="25" fillId="0" borderId="0" xfId="0" applyNumberFormat="1" applyFont="1" applyFill="1" applyAlignment="1">
      <alignment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9" fontId="8" fillId="0" borderId="1" xfId="0" applyNumberFormat="1" applyFont="1" applyBorder="1" applyAlignment="1">
      <alignment horizontal="left" vertical="center" wrapText="1"/>
    </xf>
    <xf numFmtId="49" fontId="8" fillId="0" borderId="7" xfId="0" applyNumberFormat="1" applyFont="1" applyBorder="1" applyAlignment="1">
      <alignment horizontal="left" vertical="center" wrapText="1"/>
    </xf>
    <xf numFmtId="49" fontId="8" fillId="0" borderId="9" xfId="0" applyNumberFormat="1" applyFont="1" applyBorder="1" applyAlignment="1">
      <alignment horizontal="left" vertical="center" wrapText="1"/>
    </xf>
    <xf numFmtId="49" fontId="8" fillId="0" borderId="5" xfId="0" applyNumberFormat="1" applyFont="1" applyBorder="1" applyAlignment="1">
      <alignment horizontal="left" vertical="center" wrapText="1"/>
    </xf>
    <xf numFmtId="0" fontId="5" fillId="0" borderId="0" xfId="0" applyFont="1" applyAlignment="1">
      <alignment horizontal="right" vertical="center" wrapText="1"/>
    </xf>
    <xf numFmtId="0" fontId="12" fillId="0" borderId="0" xfId="0" applyFont="1" applyBorder="1" applyAlignment="1">
      <alignment horizontal="center" vertical="center" wrapText="1"/>
    </xf>
    <xf numFmtId="49" fontId="8" fillId="0" borderId="1" xfId="0" applyNumberFormat="1" applyFont="1" applyFill="1" applyBorder="1" applyAlignment="1">
      <alignment horizontal="left" vertical="center" wrapText="1"/>
    </xf>
    <xf numFmtId="49" fontId="8" fillId="0" borderId="7" xfId="0" applyNumberFormat="1" applyFont="1" applyFill="1" applyBorder="1" applyAlignment="1">
      <alignment horizontal="left" vertical="center" wrapText="1"/>
    </xf>
    <xf numFmtId="49" fontId="8" fillId="0" borderId="9" xfId="0" applyNumberFormat="1" applyFont="1" applyFill="1" applyBorder="1" applyAlignment="1">
      <alignment horizontal="left" vertical="center" wrapText="1"/>
    </xf>
    <xf numFmtId="49" fontId="8" fillId="0" borderId="5" xfId="0" applyNumberFormat="1" applyFont="1" applyFill="1" applyBorder="1" applyAlignment="1">
      <alignment horizontal="left" vertical="center" wrapText="1"/>
    </xf>
    <xf numFmtId="0" fontId="12" fillId="0" borderId="0" xfId="0" applyFont="1" applyFill="1" applyBorder="1" applyAlignment="1">
      <alignment horizontal="center" wrapText="1"/>
    </xf>
    <xf numFmtId="49" fontId="5" fillId="0" borderId="4"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0" fontId="24" fillId="0" borderId="1" xfId="0" applyFont="1" applyFill="1" applyBorder="1" applyAlignment="1">
      <alignment horizontal="center" vertical="center" wrapText="1"/>
    </xf>
    <xf numFmtId="4" fontId="5" fillId="0" borderId="1" xfId="0" applyNumberFormat="1" applyFont="1" applyBorder="1" applyAlignment="1">
      <alignment horizontal="center" vertical="center" wrapText="1"/>
    </xf>
    <xf numFmtId="0" fontId="16" fillId="0" borderId="0" xfId="0" applyFont="1" applyFill="1" applyBorder="1" applyAlignment="1">
      <alignment horizontal="center" wrapText="1"/>
    </xf>
    <xf numFmtId="4" fontId="8"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165" fontId="5" fillId="0" borderId="1" xfId="17" applyFont="1" applyFill="1" applyBorder="1" applyAlignment="1">
      <alignment horizontal="center" vertical="center" wrapText="1"/>
    </xf>
    <xf numFmtId="0" fontId="16" fillId="0" borderId="0" xfId="0" applyFont="1" applyBorder="1" applyAlignment="1">
      <alignment horizontal="center" vertical="center" wrapText="1"/>
    </xf>
    <xf numFmtId="49" fontId="8" fillId="0" borderId="7"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right" vertical="center" wrapText="1"/>
    </xf>
    <xf numFmtId="165" fontId="5" fillId="0" borderId="11" xfId="17" applyFont="1" applyFill="1" applyBorder="1" applyAlignment="1">
      <alignment horizontal="right" vertical="center" wrapText="1"/>
    </xf>
    <xf numFmtId="49" fontId="8"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49" fontId="8" fillId="0" borderId="7"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5"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4" fontId="5" fillId="0" borderId="1" xfId="0" applyNumberFormat="1" applyFont="1" applyBorder="1" applyAlignment="1">
      <alignment horizontal="center" wrapText="1"/>
    </xf>
    <xf numFmtId="0" fontId="0" fillId="0" borderId="9" xfId="0" applyBorder="1" applyAlignment="1">
      <alignment horizontal="left"/>
    </xf>
    <xf numFmtId="0" fontId="0" fillId="0" borderId="5" xfId="0" applyBorder="1" applyAlignment="1">
      <alignment horizontal="left"/>
    </xf>
    <xf numFmtId="0" fontId="5" fillId="0" borderId="9" xfId="0" applyFont="1" applyBorder="1" applyAlignment="1">
      <alignment horizontal="center"/>
    </xf>
    <xf numFmtId="49" fontId="5" fillId="0" borderId="11" xfId="0" applyNumberFormat="1" applyFont="1" applyFill="1" applyBorder="1" applyAlignment="1">
      <alignment horizontal="center" vertical="center" wrapText="1"/>
    </xf>
    <xf numFmtId="0" fontId="5" fillId="0" borderId="1"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6" fillId="0" borderId="0" xfId="0" applyFont="1" applyAlignment="1">
      <alignment horizontal="center" vertical="center" wrapText="1"/>
    </xf>
    <xf numFmtId="0" fontId="10" fillId="0" borderId="1" xfId="0" applyFont="1" applyBorder="1" applyAlignment="1">
      <alignment horizontal="center"/>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16" fillId="0" borderId="0" xfId="0" applyFont="1" applyAlignment="1">
      <alignment horizontal="center" wrapText="1"/>
    </xf>
    <xf numFmtId="0" fontId="16" fillId="0" borderId="0" xfId="0" applyNumberFormat="1" applyFont="1" applyBorder="1" applyAlignment="1">
      <alignment horizontal="center" vertical="center" wrapText="1"/>
    </xf>
  </cellXfs>
  <cellStyles count="26">
    <cellStyle name="Normal" xfId="23"/>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Лист2" xfId="24"/>
    <cellStyle name="Обычный_Лист3" xfId="25"/>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16/&#1088;&#1077;&#1096;&#1077;&#1085;&#1080;&#1077;/&#1043;&#1086;&#1076;&#1086;&#1074;&#1086;&#1081;%20&#1086;&#1090;&#1095;&#1077;&#1090;%202016/&#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17/&#1056;&#1077;&#1096;&#1077;&#1085;&#1080;&#1077;/08%20&#1072;&#1074;&#1075;&#1091;&#1089;&#1090;/&#1055;&#1088;&#1080;&#1083;&#1086;&#1078;&#1077;&#1085;&#1080;&#1103;%200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Выгрузка"/>
      <sheetName val="Ист деф"/>
      <sheetName val="АдмДох"/>
      <sheetName val="Деф"/>
      <sheetName val="АдмИст"/>
      <sheetName val="Норм"/>
      <sheetName val="АдминДох"/>
      <sheetName val="Дох"/>
      <sheetName val="Дох "/>
      <sheetName val="Вед16"/>
      <sheetName val="вед 17-18"/>
      <sheetName val="Фун16"/>
      <sheetName val="Фун 17-18"/>
      <sheetName val="ЦСР 16"/>
      <sheetName val="ЦСР 17-18"/>
      <sheetName val="публ"/>
      <sheetName val="Полн"/>
      <sheetName val="сбал"/>
      <sheetName val="ФФП"/>
      <sheetName val="Молод"/>
      <sheetName val="Протоколы"/>
      <sheetName val="ВУС"/>
      <sheetName val="ак"/>
      <sheetName val="Заим"/>
      <sheetName val="переселение"/>
      <sheetName val="дороги"/>
      <sheetName val="поощр"/>
      <sheetName val="гранты"/>
      <sheetName val="пожарка"/>
      <sheetName val="потенц"/>
      <sheetName val="спр"/>
      <sheetName val="Лист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1">
          <cell r="B1">
            <v>2016</v>
          </cell>
        </row>
      </sheetData>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17"/>
      <sheetName val="вед 18-19"/>
      <sheetName val="Фун17"/>
      <sheetName val="Фун 18-19"/>
      <sheetName val="ЦСР 17"/>
      <sheetName val="ЦСР 18-19"/>
      <sheetName val="публ"/>
      <sheetName val="Полн"/>
      <sheetName val="сбал"/>
      <sheetName val="ФФП"/>
      <sheetName val="Молод"/>
      <sheetName val="Протоколы"/>
      <sheetName val="ВУС"/>
      <sheetName val="ак"/>
      <sheetName val="Заим"/>
      <sheetName val="переселение"/>
      <sheetName val="дороги"/>
      <sheetName val="дороги кап"/>
      <sheetName val="пожарка"/>
      <sheetName val="софин"/>
      <sheetName val="благоус"/>
      <sheetName val="спр"/>
      <sheetName val="Лист1"/>
    </sheetNames>
    <sheetDataSet>
      <sheetData sheetId="0"/>
      <sheetData sheetId="1"/>
      <sheetData sheetId="2"/>
      <sheetData sheetId="3"/>
      <sheetData sheetId="4">
        <row r="193">
          <cell r="I193">
            <v>33568556</v>
          </cell>
          <cell r="J193">
            <v>26736227</v>
          </cell>
          <cell r="K193">
            <v>26736227</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F1174"/>
  <sheetViews>
    <sheetView workbookViewId="0">
      <selection activeCell="L10" sqref="L10"/>
    </sheetView>
  </sheetViews>
  <sheetFormatPr defaultRowHeight="12.75"/>
  <cols>
    <col min="1" max="1" width="33.140625" customWidth="1"/>
    <col min="2" max="2" width="13.7109375" customWidth="1"/>
    <col min="5" max="5" width="13.28515625" customWidth="1"/>
    <col min="6" max="6" width="13.7109375" customWidth="1"/>
  </cols>
  <sheetData>
    <row r="1" spans="1:6" ht="21">
      <c r="A1" s="459" t="s">
        <v>2577</v>
      </c>
      <c r="B1" s="459" t="s">
        <v>215</v>
      </c>
      <c r="C1" s="459" t="s">
        <v>216</v>
      </c>
      <c r="D1" s="459" t="s">
        <v>2578</v>
      </c>
      <c r="E1" s="459" t="s">
        <v>2579</v>
      </c>
      <c r="F1" s="459" t="s">
        <v>2580</v>
      </c>
    </row>
    <row r="2" spans="1:6">
      <c r="A2" s="460" t="s">
        <v>203</v>
      </c>
      <c r="B2" s="461"/>
      <c r="C2" s="461"/>
      <c r="D2" s="461"/>
      <c r="E2" s="462">
        <v>2119922020.1199999</v>
      </c>
      <c r="F2" s="462">
        <v>2028300069.1700001</v>
      </c>
    </row>
    <row r="3" spans="1:6" ht="22.5">
      <c r="A3" s="463" t="s">
        <v>569</v>
      </c>
      <c r="B3" s="464" t="s">
        <v>1197</v>
      </c>
      <c r="C3" s="464"/>
      <c r="D3" s="464"/>
      <c r="E3" s="465">
        <v>1253802575.9000001</v>
      </c>
      <c r="F3" s="465">
        <v>1208661070.25</v>
      </c>
    </row>
    <row r="4" spans="1:6" ht="33.75">
      <c r="A4" s="463" t="s">
        <v>570</v>
      </c>
      <c r="B4" s="464" t="s">
        <v>1198</v>
      </c>
      <c r="C4" s="464"/>
      <c r="D4" s="464"/>
      <c r="E4" s="465">
        <v>1210430681.6099999</v>
      </c>
      <c r="F4" s="465">
        <v>1166430275.9000001</v>
      </c>
    </row>
    <row r="5" spans="1:6" ht="105" customHeight="1">
      <c r="A5" s="466" t="s">
        <v>2685</v>
      </c>
      <c r="B5" s="464" t="s">
        <v>1903</v>
      </c>
      <c r="C5" s="464"/>
      <c r="D5" s="464"/>
      <c r="E5" s="465">
        <v>643000</v>
      </c>
      <c r="F5" s="465">
        <v>621201.97</v>
      </c>
    </row>
    <row r="6" spans="1:6">
      <c r="A6" s="463" t="s">
        <v>1603</v>
      </c>
      <c r="B6" s="464" t="s">
        <v>1903</v>
      </c>
      <c r="C6" s="464" t="s">
        <v>460</v>
      </c>
      <c r="D6" s="464"/>
      <c r="E6" s="465">
        <v>361751</v>
      </c>
      <c r="F6" s="465">
        <v>342848.01</v>
      </c>
    </row>
    <row r="7" spans="1:6">
      <c r="A7" s="467" t="s">
        <v>1442</v>
      </c>
      <c r="B7" s="468" t="s">
        <v>1903</v>
      </c>
      <c r="C7" s="468" t="s">
        <v>460</v>
      </c>
      <c r="D7" s="468" t="s">
        <v>1443</v>
      </c>
      <c r="E7" s="469">
        <v>361751</v>
      </c>
      <c r="F7" s="469">
        <v>342848.01</v>
      </c>
    </row>
    <row r="8" spans="1:6" ht="45">
      <c r="A8" s="463" t="s">
        <v>1604</v>
      </c>
      <c r="B8" s="464" t="s">
        <v>1903</v>
      </c>
      <c r="C8" s="464" t="s">
        <v>1290</v>
      </c>
      <c r="D8" s="464"/>
      <c r="E8" s="465">
        <v>109249</v>
      </c>
      <c r="F8" s="465">
        <v>106353.96</v>
      </c>
    </row>
    <row r="9" spans="1:6">
      <c r="A9" s="467" t="s">
        <v>1442</v>
      </c>
      <c r="B9" s="468" t="s">
        <v>1903</v>
      </c>
      <c r="C9" s="468" t="s">
        <v>1290</v>
      </c>
      <c r="D9" s="468" t="s">
        <v>1443</v>
      </c>
      <c r="E9" s="469">
        <v>109249</v>
      </c>
      <c r="F9" s="469">
        <v>106353.96</v>
      </c>
    </row>
    <row r="10" spans="1:6" ht="67.5">
      <c r="A10" s="463" t="s">
        <v>465</v>
      </c>
      <c r="B10" s="464" t="s">
        <v>1903</v>
      </c>
      <c r="C10" s="464" t="s">
        <v>466</v>
      </c>
      <c r="D10" s="464"/>
      <c r="E10" s="465">
        <v>172000</v>
      </c>
      <c r="F10" s="465">
        <v>172000</v>
      </c>
    </row>
    <row r="11" spans="1:6">
      <c r="A11" s="467" t="s">
        <v>1442</v>
      </c>
      <c r="B11" s="468" t="s">
        <v>1903</v>
      </c>
      <c r="C11" s="468" t="s">
        <v>466</v>
      </c>
      <c r="D11" s="468" t="s">
        <v>1443</v>
      </c>
      <c r="E11" s="469">
        <v>172000</v>
      </c>
      <c r="F11" s="469">
        <v>172000</v>
      </c>
    </row>
    <row r="12" spans="1:6" ht="101.25">
      <c r="A12" s="466" t="s">
        <v>2663</v>
      </c>
      <c r="B12" s="464" t="s">
        <v>951</v>
      </c>
      <c r="C12" s="464"/>
      <c r="D12" s="464"/>
      <c r="E12" s="465">
        <v>40451104.950000003</v>
      </c>
      <c r="F12" s="465">
        <v>38321169.119999997</v>
      </c>
    </row>
    <row r="13" spans="1:6">
      <c r="A13" s="463" t="s">
        <v>1603</v>
      </c>
      <c r="B13" s="464" t="s">
        <v>951</v>
      </c>
      <c r="C13" s="464" t="s">
        <v>460</v>
      </c>
      <c r="D13" s="464"/>
      <c r="E13" s="465">
        <v>24641005.48</v>
      </c>
      <c r="F13" s="465">
        <v>24177748.210000001</v>
      </c>
    </row>
    <row r="14" spans="1:6">
      <c r="A14" s="467" t="s">
        <v>187</v>
      </c>
      <c r="B14" s="468" t="s">
        <v>951</v>
      </c>
      <c r="C14" s="468" t="s">
        <v>460</v>
      </c>
      <c r="D14" s="468" t="s">
        <v>528</v>
      </c>
      <c r="E14" s="469">
        <v>24641005.48</v>
      </c>
      <c r="F14" s="469">
        <v>24177748.210000001</v>
      </c>
    </row>
    <row r="15" spans="1:6" ht="33.75">
      <c r="A15" s="463" t="s">
        <v>1617</v>
      </c>
      <c r="B15" s="464" t="s">
        <v>951</v>
      </c>
      <c r="C15" s="464" t="s">
        <v>509</v>
      </c>
      <c r="D15" s="464"/>
      <c r="E15" s="465">
        <v>55560</v>
      </c>
      <c r="F15" s="465">
        <v>44352</v>
      </c>
    </row>
    <row r="16" spans="1:6">
      <c r="A16" s="467" t="s">
        <v>187</v>
      </c>
      <c r="B16" s="468" t="s">
        <v>951</v>
      </c>
      <c r="C16" s="468" t="s">
        <v>509</v>
      </c>
      <c r="D16" s="468" t="s">
        <v>528</v>
      </c>
      <c r="E16" s="469">
        <v>55560</v>
      </c>
      <c r="F16" s="469">
        <v>44352</v>
      </c>
    </row>
    <row r="17" spans="1:6" ht="45">
      <c r="A17" s="463" t="s">
        <v>1604</v>
      </c>
      <c r="B17" s="464" t="s">
        <v>951</v>
      </c>
      <c r="C17" s="464" t="s">
        <v>1290</v>
      </c>
      <c r="D17" s="464"/>
      <c r="E17" s="465">
        <v>8175141.7800000003</v>
      </c>
      <c r="F17" s="465">
        <v>7525289.6799999997</v>
      </c>
    </row>
    <row r="18" spans="1:6">
      <c r="A18" s="467" t="s">
        <v>187</v>
      </c>
      <c r="B18" s="468" t="s">
        <v>951</v>
      </c>
      <c r="C18" s="468" t="s">
        <v>1290</v>
      </c>
      <c r="D18" s="468" t="s">
        <v>528</v>
      </c>
      <c r="E18" s="469">
        <v>8175141.7800000003</v>
      </c>
      <c r="F18" s="469">
        <v>7525289.6799999997</v>
      </c>
    </row>
    <row r="19" spans="1:6" ht="45">
      <c r="A19" s="463" t="s">
        <v>461</v>
      </c>
      <c r="B19" s="464" t="s">
        <v>951</v>
      </c>
      <c r="C19" s="464" t="s">
        <v>462</v>
      </c>
      <c r="D19" s="464"/>
      <c r="E19" s="465">
        <v>397795</v>
      </c>
      <c r="F19" s="465">
        <v>323506</v>
      </c>
    </row>
    <row r="20" spans="1:6">
      <c r="A20" s="467" t="s">
        <v>187</v>
      </c>
      <c r="B20" s="468" t="s">
        <v>951</v>
      </c>
      <c r="C20" s="468" t="s">
        <v>462</v>
      </c>
      <c r="D20" s="468" t="s">
        <v>528</v>
      </c>
      <c r="E20" s="469">
        <v>397795</v>
      </c>
      <c r="F20" s="469">
        <v>323506</v>
      </c>
    </row>
    <row r="21" spans="1:6" ht="33.75">
      <c r="A21" s="463" t="s">
        <v>445</v>
      </c>
      <c r="B21" s="464" t="s">
        <v>951</v>
      </c>
      <c r="C21" s="464" t="s">
        <v>446</v>
      </c>
      <c r="D21" s="464"/>
      <c r="E21" s="465">
        <v>6823280.4800000004</v>
      </c>
      <c r="F21" s="465">
        <v>5895917.7800000003</v>
      </c>
    </row>
    <row r="22" spans="1:6">
      <c r="A22" s="467" t="s">
        <v>187</v>
      </c>
      <c r="B22" s="468" t="s">
        <v>951</v>
      </c>
      <c r="C22" s="468" t="s">
        <v>446</v>
      </c>
      <c r="D22" s="468" t="s">
        <v>528</v>
      </c>
      <c r="E22" s="469">
        <v>6823280.4800000004</v>
      </c>
      <c r="F22" s="469">
        <v>5895917.7800000003</v>
      </c>
    </row>
    <row r="23" spans="1:6">
      <c r="A23" s="463" t="s">
        <v>1293</v>
      </c>
      <c r="B23" s="464" t="s">
        <v>951</v>
      </c>
      <c r="C23" s="464" t="s">
        <v>1294</v>
      </c>
      <c r="D23" s="464"/>
      <c r="E23" s="465">
        <v>358322.21</v>
      </c>
      <c r="F23" s="465">
        <v>354355.45</v>
      </c>
    </row>
    <row r="24" spans="1:6">
      <c r="A24" s="467" t="s">
        <v>187</v>
      </c>
      <c r="B24" s="468" t="s">
        <v>951</v>
      </c>
      <c r="C24" s="468" t="s">
        <v>1294</v>
      </c>
      <c r="D24" s="468" t="s">
        <v>528</v>
      </c>
      <c r="E24" s="469">
        <v>358322.21</v>
      </c>
      <c r="F24" s="469">
        <v>354355.45</v>
      </c>
    </row>
    <row r="25" spans="1:6" ht="101.25">
      <c r="A25" s="466" t="s">
        <v>2672</v>
      </c>
      <c r="B25" s="464" t="s">
        <v>959</v>
      </c>
      <c r="C25" s="464"/>
      <c r="D25" s="464"/>
      <c r="E25" s="465">
        <v>64472472.560000002</v>
      </c>
      <c r="F25" s="465">
        <v>61662896.340000004</v>
      </c>
    </row>
    <row r="26" spans="1:6">
      <c r="A26" s="463" t="s">
        <v>1603</v>
      </c>
      <c r="B26" s="464" t="s">
        <v>959</v>
      </c>
      <c r="C26" s="464" t="s">
        <v>460</v>
      </c>
      <c r="D26" s="464"/>
      <c r="E26" s="465">
        <v>37594945.549999997</v>
      </c>
      <c r="F26" s="465">
        <v>36777740.609999999</v>
      </c>
    </row>
    <row r="27" spans="1:6">
      <c r="A27" s="467" t="s">
        <v>188</v>
      </c>
      <c r="B27" s="468" t="s">
        <v>959</v>
      </c>
      <c r="C27" s="468" t="s">
        <v>460</v>
      </c>
      <c r="D27" s="468" t="s">
        <v>515</v>
      </c>
      <c r="E27" s="469">
        <v>37594945.549999997</v>
      </c>
      <c r="F27" s="469">
        <v>36777740.609999999</v>
      </c>
    </row>
    <row r="28" spans="1:6" ht="33.75">
      <c r="A28" s="463" t="s">
        <v>1617</v>
      </c>
      <c r="B28" s="464" t="s">
        <v>959</v>
      </c>
      <c r="C28" s="464" t="s">
        <v>509</v>
      </c>
      <c r="D28" s="464"/>
      <c r="E28" s="465">
        <v>69313.600000000006</v>
      </c>
      <c r="F28" s="465">
        <v>69263.600000000006</v>
      </c>
    </row>
    <row r="29" spans="1:6">
      <c r="A29" s="467" t="s">
        <v>188</v>
      </c>
      <c r="B29" s="468" t="s">
        <v>959</v>
      </c>
      <c r="C29" s="468" t="s">
        <v>509</v>
      </c>
      <c r="D29" s="468" t="s">
        <v>515</v>
      </c>
      <c r="E29" s="469">
        <v>69313.600000000006</v>
      </c>
      <c r="F29" s="469">
        <v>69263.600000000006</v>
      </c>
    </row>
    <row r="30" spans="1:6" ht="45">
      <c r="A30" s="463" t="s">
        <v>1604</v>
      </c>
      <c r="B30" s="464" t="s">
        <v>959</v>
      </c>
      <c r="C30" s="464" t="s">
        <v>1290</v>
      </c>
      <c r="D30" s="464"/>
      <c r="E30" s="465">
        <v>12054515.890000001</v>
      </c>
      <c r="F30" s="465">
        <v>11473223.449999999</v>
      </c>
    </row>
    <row r="31" spans="1:6">
      <c r="A31" s="467" t="s">
        <v>188</v>
      </c>
      <c r="B31" s="468" t="s">
        <v>959</v>
      </c>
      <c r="C31" s="468" t="s">
        <v>1290</v>
      </c>
      <c r="D31" s="468" t="s">
        <v>515</v>
      </c>
      <c r="E31" s="469">
        <v>12054515.890000001</v>
      </c>
      <c r="F31" s="469">
        <v>11473223.449999999</v>
      </c>
    </row>
    <row r="32" spans="1:6" ht="45">
      <c r="A32" s="463" t="s">
        <v>461</v>
      </c>
      <c r="B32" s="464" t="s">
        <v>959</v>
      </c>
      <c r="C32" s="464" t="s">
        <v>462</v>
      </c>
      <c r="D32" s="464"/>
      <c r="E32" s="465">
        <v>673769.48</v>
      </c>
      <c r="F32" s="465">
        <v>553808.27</v>
      </c>
    </row>
    <row r="33" spans="1:6">
      <c r="A33" s="467" t="s">
        <v>188</v>
      </c>
      <c r="B33" s="468" t="s">
        <v>959</v>
      </c>
      <c r="C33" s="468" t="s">
        <v>462</v>
      </c>
      <c r="D33" s="468" t="s">
        <v>515</v>
      </c>
      <c r="E33" s="469">
        <v>673769.48</v>
      </c>
      <c r="F33" s="469">
        <v>553808.27</v>
      </c>
    </row>
    <row r="34" spans="1:6" ht="33.75">
      <c r="A34" s="463" t="s">
        <v>445</v>
      </c>
      <c r="B34" s="464" t="s">
        <v>959</v>
      </c>
      <c r="C34" s="464" t="s">
        <v>446</v>
      </c>
      <c r="D34" s="464"/>
      <c r="E34" s="465">
        <v>13655488.779999999</v>
      </c>
      <c r="F34" s="465">
        <v>12371494.130000001</v>
      </c>
    </row>
    <row r="35" spans="1:6">
      <c r="A35" s="467" t="s">
        <v>188</v>
      </c>
      <c r="B35" s="468" t="s">
        <v>959</v>
      </c>
      <c r="C35" s="468" t="s">
        <v>446</v>
      </c>
      <c r="D35" s="468" t="s">
        <v>515</v>
      </c>
      <c r="E35" s="469">
        <v>13655488.779999999</v>
      </c>
      <c r="F35" s="469">
        <v>12371494.130000001</v>
      </c>
    </row>
    <row r="36" spans="1:6" ht="45">
      <c r="A36" s="463" t="s">
        <v>1758</v>
      </c>
      <c r="B36" s="464" t="s">
        <v>959</v>
      </c>
      <c r="C36" s="464" t="s">
        <v>552</v>
      </c>
      <c r="D36" s="464"/>
      <c r="E36" s="465">
        <v>1000</v>
      </c>
      <c r="F36" s="465">
        <v>1000</v>
      </c>
    </row>
    <row r="37" spans="1:6">
      <c r="A37" s="467" t="s">
        <v>188</v>
      </c>
      <c r="B37" s="468" t="s">
        <v>959</v>
      </c>
      <c r="C37" s="468" t="s">
        <v>552</v>
      </c>
      <c r="D37" s="468" t="s">
        <v>515</v>
      </c>
      <c r="E37" s="469">
        <v>1000</v>
      </c>
      <c r="F37" s="469">
        <v>1000</v>
      </c>
    </row>
    <row r="38" spans="1:6">
      <c r="A38" s="463" t="s">
        <v>1168</v>
      </c>
      <c r="B38" s="464" t="s">
        <v>959</v>
      </c>
      <c r="C38" s="464" t="s">
        <v>626</v>
      </c>
      <c r="D38" s="464"/>
      <c r="E38" s="465">
        <v>3500</v>
      </c>
      <c r="F38" s="465">
        <v>3500</v>
      </c>
    </row>
    <row r="39" spans="1:6">
      <c r="A39" s="467" t="s">
        <v>188</v>
      </c>
      <c r="B39" s="468" t="s">
        <v>959</v>
      </c>
      <c r="C39" s="468" t="s">
        <v>626</v>
      </c>
      <c r="D39" s="468" t="s">
        <v>515</v>
      </c>
      <c r="E39" s="469">
        <v>3500</v>
      </c>
      <c r="F39" s="469">
        <v>3500</v>
      </c>
    </row>
    <row r="40" spans="1:6">
      <c r="A40" s="463" t="s">
        <v>1293</v>
      </c>
      <c r="B40" s="464" t="s">
        <v>959</v>
      </c>
      <c r="C40" s="464" t="s">
        <v>1294</v>
      </c>
      <c r="D40" s="464"/>
      <c r="E40" s="465">
        <v>419939.26</v>
      </c>
      <c r="F40" s="465">
        <v>412866.28</v>
      </c>
    </row>
    <row r="41" spans="1:6">
      <c r="A41" s="467" t="s">
        <v>188</v>
      </c>
      <c r="B41" s="468" t="s">
        <v>959</v>
      </c>
      <c r="C41" s="468" t="s">
        <v>1294</v>
      </c>
      <c r="D41" s="468" t="s">
        <v>515</v>
      </c>
      <c r="E41" s="469">
        <v>419939.26</v>
      </c>
      <c r="F41" s="469">
        <v>412866.28</v>
      </c>
    </row>
    <row r="42" spans="1:6" ht="101.25">
      <c r="A42" s="466" t="s">
        <v>2686</v>
      </c>
      <c r="B42" s="464" t="s">
        <v>963</v>
      </c>
      <c r="C42" s="464"/>
      <c r="D42" s="464"/>
      <c r="E42" s="465">
        <v>28249488.149999999</v>
      </c>
      <c r="F42" s="465">
        <v>27205548.59</v>
      </c>
    </row>
    <row r="43" spans="1:6">
      <c r="A43" s="463" t="s">
        <v>1603</v>
      </c>
      <c r="B43" s="464" t="s">
        <v>963</v>
      </c>
      <c r="C43" s="464" t="s">
        <v>460</v>
      </c>
      <c r="D43" s="464"/>
      <c r="E43" s="465">
        <v>12513586.109999999</v>
      </c>
      <c r="F43" s="465">
        <v>12303273.460000001</v>
      </c>
    </row>
    <row r="44" spans="1:6">
      <c r="A44" s="467" t="s">
        <v>1442</v>
      </c>
      <c r="B44" s="468" t="s">
        <v>963</v>
      </c>
      <c r="C44" s="468" t="s">
        <v>460</v>
      </c>
      <c r="D44" s="468" t="s">
        <v>1443</v>
      </c>
      <c r="E44" s="469">
        <v>12513586.109999999</v>
      </c>
      <c r="F44" s="469">
        <v>12303273.460000001</v>
      </c>
    </row>
    <row r="45" spans="1:6" ht="33.75">
      <c r="A45" s="463" t="s">
        <v>1617</v>
      </c>
      <c r="B45" s="464" t="s">
        <v>963</v>
      </c>
      <c r="C45" s="464" t="s">
        <v>509</v>
      </c>
      <c r="D45" s="464"/>
      <c r="E45" s="465">
        <v>160365.48000000001</v>
      </c>
      <c r="F45" s="465">
        <v>160365.48000000001</v>
      </c>
    </row>
    <row r="46" spans="1:6">
      <c r="A46" s="467" t="s">
        <v>1442</v>
      </c>
      <c r="B46" s="468" t="s">
        <v>963</v>
      </c>
      <c r="C46" s="468" t="s">
        <v>509</v>
      </c>
      <c r="D46" s="468" t="s">
        <v>1443</v>
      </c>
      <c r="E46" s="469">
        <v>160365.48000000001</v>
      </c>
      <c r="F46" s="469">
        <v>160365.48000000001</v>
      </c>
    </row>
    <row r="47" spans="1:6" ht="45">
      <c r="A47" s="463" t="s">
        <v>1604</v>
      </c>
      <c r="B47" s="464" t="s">
        <v>963</v>
      </c>
      <c r="C47" s="464" t="s">
        <v>1290</v>
      </c>
      <c r="D47" s="464"/>
      <c r="E47" s="465">
        <v>3720817.9</v>
      </c>
      <c r="F47" s="465">
        <v>3645312.57</v>
      </c>
    </row>
    <row r="48" spans="1:6">
      <c r="A48" s="467" t="s">
        <v>1442</v>
      </c>
      <c r="B48" s="468" t="s">
        <v>963</v>
      </c>
      <c r="C48" s="468" t="s">
        <v>1290</v>
      </c>
      <c r="D48" s="468" t="s">
        <v>1443</v>
      </c>
      <c r="E48" s="469">
        <v>3720817.9</v>
      </c>
      <c r="F48" s="469">
        <v>3645312.57</v>
      </c>
    </row>
    <row r="49" spans="1:6" ht="33.75">
      <c r="A49" s="463" t="s">
        <v>445</v>
      </c>
      <c r="B49" s="464" t="s">
        <v>963</v>
      </c>
      <c r="C49" s="464" t="s">
        <v>446</v>
      </c>
      <c r="D49" s="464"/>
      <c r="E49" s="465">
        <v>778085.76</v>
      </c>
      <c r="F49" s="465">
        <v>762885.26</v>
      </c>
    </row>
    <row r="50" spans="1:6">
      <c r="A50" s="467" t="s">
        <v>1442</v>
      </c>
      <c r="B50" s="468" t="s">
        <v>963</v>
      </c>
      <c r="C50" s="468" t="s">
        <v>446</v>
      </c>
      <c r="D50" s="468" t="s">
        <v>1443</v>
      </c>
      <c r="E50" s="469">
        <v>778085.76</v>
      </c>
      <c r="F50" s="469">
        <v>762885.26</v>
      </c>
    </row>
    <row r="51" spans="1:6" ht="67.5">
      <c r="A51" s="463" t="s">
        <v>465</v>
      </c>
      <c r="B51" s="464" t="s">
        <v>963</v>
      </c>
      <c r="C51" s="464" t="s">
        <v>466</v>
      </c>
      <c r="D51" s="464"/>
      <c r="E51" s="465">
        <v>11076432</v>
      </c>
      <c r="F51" s="465">
        <v>10333512.939999999</v>
      </c>
    </row>
    <row r="52" spans="1:6">
      <c r="A52" s="467" t="s">
        <v>1442</v>
      </c>
      <c r="B52" s="468" t="s">
        <v>963</v>
      </c>
      <c r="C52" s="468" t="s">
        <v>466</v>
      </c>
      <c r="D52" s="468" t="s">
        <v>1443</v>
      </c>
      <c r="E52" s="469">
        <v>11076432</v>
      </c>
      <c r="F52" s="469">
        <v>10333512.939999999</v>
      </c>
    </row>
    <row r="53" spans="1:6">
      <c r="A53" s="463" t="s">
        <v>1293</v>
      </c>
      <c r="B53" s="464" t="s">
        <v>963</v>
      </c>
      <c r="C53" s="464" t="s">
        <v>1294</v>
      </c>
      <c r="D53" s="464"/>
      <c r="E53" s="465">
        <v>200.9</v>
      </c>
      <c r="F53" s="465">
        <v>198.88</v>
      </c>
    </row>
    <row r="54" spans="1:6">
      <c r="A54" s="467" t="s">
        <v>1442</v>
      </c>
      <c r="B54" s="468" t="s">
        <v>963</v>
      </c>
      <c r="C54" s="468" t="s">
        <v>1294</v>
      </c>
      <c r="D54" s="468" t="s">
        <v>1443</v>
      </c>
      <c r="E54" s="469">
        <v>200.9</v>
      </c>
      <c r="F54" s="469">
        <v>198.88</v>
      </c>
    </row>
    <row r="55" spans="1:6" ht="101.25">
      <c r="A55" s="466" t="s">
        <v>2692</v>
      </c>
      <c r="B55" s="464" t="s">
        <v>976</v>
      </c>
      <c r="C55" s="464"/>
      <c r="D55" s="464"/>
      <c r="E55" s="465">
        <v>877000</v>
      </c>
      <c r="F55" s="465">
        <v>471432.72</v>
      </c>
    </row>
    <row r="56" spans="1:6" ht="67.5">
      <c r="A56" s="463" t="s">
        <v>465</v>
      </c>
      <c r="B56" s="464" t="s">
        <v>976</v>
      </c>
      <c r="C56" s="464" t="s">
        <v>466</v>
      </c>
      <c r="D56" s="464"/>
      <c r="E56" s="465">
        <v>877000</v>
      </c>
      <c r="F56" s="465">
        <v>471432.72</v>
      </c>
    </row>
    <row r="57" spans="1:6">
      <c r="A57" s="467" t="s">
        <v>1440</v>
      </c>
      <c r="B57" s="468" t="s">
        <v>976</v>
      </c>
      <c r="C57" s="468" t="s">
        <v>466</v>
      </c>
      <c r="D57" s="468" t="s">
        <v>483</v>
      </c>
      <c r="E57" s="469">
        <v>877000</v>
      </c>
      <c r="F57" s="469">
        <v>471432.72</v>
      </c>
    </row>
    <row r="58" spans="1:6" ht="90">
      <c r="A58" s="466" t="s">
        <v>2664</v>
      </c>
      <c r="B58" s="464" t="s">
        <v>952</v>
      </c>
      <c r="C58" s="464"/>
      <c r="D58" s="464"/>
      <c r="E58" s="465">
        <v>45607817.560000002</v>
      </c>
      <c r="F58" s="465">
        <v>44362556.030000001</v>
      </c>
    </row>
    <row r="59" spans="1:6">
      <c r="A59" s="463" t="s">
        <v>1603</v>
      </c>
      <c r="B59" s="464" t="s">
        <v>952</v>
      </c>
      <c r="C59" s="464" t="s">
        <v>460</v>
      </c>
      <c r="D59" s="464"/>
      <c r="E59" s="465">
        <v>35128869.329999998</v>
      </c>
      <c r="F59" s="465">
        <v>34246832.130000003</v>
      </c>
    </row>
    <row r="60" spans="1:6">
      <c r="A60" s="467" t="s">
        <v>187</v>
      </c>
      <c r="B60" s="468" t="s">
        <v>952</v>
      </c>
      <c r="C60" s="468" t="s">
        <v>460</v>
      </c>
      <c r="D60" s="468" t="s">
        <v>528</v>
      </c>
      <c r="E60" s="469">
        <v>35128869.329999998</v>
      </c>
      <c r="F60" s="469">
        <v>34246832.130000003</v>
      </c>
    </row>
    <row r="61" spans="1:6" ht="45">
      <c r="A61" s="463" t="s">
        <v>1604</v>
      </c>
      <c r="B61" s="464" t="s">
        <v>952</v>
      </c>
      <c r="C61" s="464" t="s">
        <v>1290</v>
      </c>
      <c r="D61" s="464"/>
      <c r="E61" s="465">
        <v>10478948.23</v>
      </c>
      <c r="F61" s="465">
        <v>10115723.9</v>
      </c>
    </row>
    <row r="62" spans="1:6">
      <c r="A62" s="467" t="s">
        <v>187</v>
      </c>
      <c r="B62" s="468" t="s">
        <v>952</v>
      </c>
      <c r="C62" s="468" t="s">
        <v>1290</v>
      </c>
      <c r="D62" s="468" t="s">
        <v>528</v>
      </c>
      <c r="E62" s="469">
        <v>10478948.23</v>
      </c>
      <c r="F62" s="469">
        <v>10115723.9</v>
      </c>
    </row>
    <row r="63" spans="1:6" ht="90">
      <c r="A63" s="466" t="s">
        <v>2673</v>
      </c>
      <c r="B63" s="464" t="s">
        <v>960</v>
      </c>
      <c r="C63" s="464"/>
      <c r="D63" s="464"/>
      <c r="E63" s="465">
        <v>63939573.609999999</v>
      </c>
      <c r="F63" s="465">
        <v>62894358.539999999</v>
      </c>
    </row>
    <row r="64" spans="1:6">
      <c r="A64" s="463" t="s">
        <v>1603</v>
      </c>
      <c r="B64" s="464" t="s">
        <v>960</v>
      </c>
      <c r="C64" s="464" t="s">
        <v>460</v>
      </c>
      <c r="D64" s="464"/>
      <c r="E64" s="465">
        <v>49244387.18</v>
      </c>
      <c r="F64" s="465">
        <v>48641254.549999997</v>
      </c>
    </row>
    <row r="65" spans="1:6">
      <c r="A65" s="467" t="s">
        <v>188</v>
      </c>
      <c r="B65" s="468" t="s">
        <v>960</v>
      </c>
      <c r="C65" s="468" t="s">
        <v>460</v>
      </c>
      <c r="D65" s="468" t="s">
        <v>515</v>
      </c>
      <c r="E65" s="469">
        <v>49244387.18</v>
      </c>
      <c r="F65" s="469">
        <v>48641254.549999997</v>
      </c>
    </row>
    <row r="66" spans="1:6" ht="45">
      <c r="A66" s="463" t="s">
        <v>1604</v>
      </c>
      <c r="B66" s="464" t="s">
        <v>960</v>
      </c>
      <c r="C66" s="464" t="s">
        <v>1290</v>
      </c>
      <c r="D66" s="464"/>
      <c r="E66" s="465">
        <v>14695186.43</v>
      </c>
      <c r="F66" s="465">
        <v>14253103.99</v>
      </c>
    </row>
    <row r="67" spans="1:6">
      <c r="A67" s="467" t="s">
        <v>188</v>
      </c>
      <c r="B67" s="468" t="s">
        <v>960</v>
      </c>
      <c r="C67" s="468" t="s">
        <v>1290</v>
      </c>
      <c r="D67" s="468" t="s">
        <v>515</v>
      </c>
      <c r="E67" s="469">
        <v>14695186.43</v>
      </c>
      <c r="F67" s="469">
        <v>14253103.99</v>
      </c>
    </row>
    <row r="68" spans="1:6" ht="90">
      <c r="A68" s="466" t="s">
        <v>2687</v>
      </c>
      <c r="B68" s="464" t="s">
        <v>964</v>
      </c>
      <c r="C68" s="464"/>
      <c r="D68" s="464"/>
      <c r="E68" s="465">
        <v>3125700</v>
      </c>
      <c r="F68" s="465">
        <v>2925635.65</v>
      </c>
    </row>
    <row r="69" spans="1:6">
      <c r="A69" s="463" t="s">
        <v>1603</v>
      </c>
      <c r="B69" s="464" t="s">
        <v>964</v>
      </c>
      <c r="C69" s="464" t="s">
        <v>460</v>
      </c>
      <c r="D69" s="464"/>
      <c r="E69" s="465">
        <v>1839800</v>
      </c>
      <c r="F69" s="465">
        <v>1752129.18</v>
      </c>
    </row>
    <row r="70" spans="1:6">
      <c r="A70" s="467" t="s">
        <v>1442</v>
      </c>
      <c r="B70" s="468" t="s">
        <v>964</v>
      </c>
      <c r="C70" s="468" t="s">
        <v>460</v>
      </c>
      <c r="D70" s="468" t="s">
        <v>1443</v>
      </c>
      <c r="E70" s="469">
        <v>1839800</v>
      </c>
      <c r="F70" s="469">
        <v>1752129.18</v>
      </c>
    </row>
    <row r="71" spans="1:6" ht="45">
      <c r="A71" s="463" t="s">
        <v>1604</v>
      </c>
      <c r="B71" s="464" t="s">
        <v>964</v>
      </c>
      <c r="C71" s="464" t="s">
        <v>1290</v>
      </c>
      <c r="D71" s="464"/>
      <c r="E71" s="465">
        <v>590600</v>
      </c>
      <c r="F71" s="465">
        <v>501044.8</v>
      </c>
    </row>
    <row r="72" spans="1:6">
      <c r="A72" s="467" t="s">
        <v>1442</v>
      </c>
      <c r="B72" s="468" t="s">
        <v>964</v>
      </c>
      <c r="C72" s="468" t="s">
        <v>1290</v>
      </c>
      <c r="D72" s="468" t="s">
        <v>1443</v>
      </c>
      <c r="E72" s="469">
        <v>590600</v>
      </c>
      <c r="F72" s="469">
        <v>501044.8</v>
      </c>
    </row>
    <row r="73" spans="1:6" ht="67.5">
      <c r="A73" s="463" t="s">
        <v>465</v>
      </c>
      <c r="B73" s="464" t="s">
        <v>964</v>
      </c>
      <c r="C73" s="464" t="s">
        <v>466</v>
      </c>
      <c r="D73" s="464"/>
      <c r="E73" s="465">
        <v>695300</v>
      </c>
      <c r="F73" s="465">
        <v>672461.67</v>
      </c>
    </row>
    <row r="74" spans="1:6">
      <c r="A74" s="467" t="s">
        <v>1442</v>
      </c>
      <c r="B74" s="468" t="s">
        <v>964</v>
      </c>
      <c r="C74" s="468" t="s">
        <v>466</v>
      </c>
      <c r="D74" s="468" t="s">
        <v>1443</v>
      </c>
      <c r="E74" s="469">
        <v>695300</v>
      </c>
      <c r="F74" s="469">
        <v>672461.67</v>
      </c>
    </row>
    <row r="75" spans="1:6" ht="101.25">
      <c r="A75" s="466" t="s">
        <v>2693</v>
      </c>
      <c r="B75" s="464" t="s">
        <v>977</v>
      </c>
      <c r="C75" s="464"/>
      <c r="D75" s="464"/>
      <c r="E75" s="465">
        <v>661560</v>
      </c>
      <c r="F75" s="465">
        <v>469268.67</v>
      </c>
    </row>
    <row r="76" spans="1:6" ht="67.5">
      <c r="A76" s="463" t="s">
        <v>465</v>
      </c>
      <c r="B76" s="464" t="s">
        <v>977</v>
      </c>
      <c r="C76" s="464" t="s">
        <v>466</v>
      </c>
      <c r="D76" s="464"/>
      <c r="E76" s="465">
        <v>661560</v>
      </c>
      <c r="F76" s="465">
        <v>469268.67</v>
      </c>
    </row>
    <row r="77" spans="1:6">
      <c r="A77" s="467" t="s">
        <v>1440</v>
      </c>
      <c r="B77" s="468" t="s">
        <v>977</v>
      </c>
      <c r="C77" s="468" t="s">
        <v>466</v>
      </c>
      <c r="D77" s="468" t="s">
        <v>483</v>
      </c>
      <c r="E77" s="469">
        <v>661560</v>
      </c>
      <c r="F77" s="469">
        <v>469268.67</v>
      </c>
    </row>
    <row r="78" spans="1:6" ht="101.25">
      <c r="A78" s="466" t="s">
        <v>2674</v>
      </c>
      <c r="B78" s="464" t="s">
        <v>966</v>
      </c>
      <c r="C78" s="464"/>
      <c r="D78" s="464"/>
      <c r="E78" s="465">
        <v>2789584.8</v>
      </c>
      <c r="F78" s="465">
        <v>1551499.7</v>
      </c>
    </row>
    <row r="79" spans="1:6" ht="33.75">
      <c r="A79" s="463" t="s">
        <v>1617</v>
      </c>
      <c r="B79" s="464" t="s">
        <v>966</v>
      </c>
      <c r="C79" s="464" t="s">
        <v>509</v>
      </c>
      <c r="D79" s="464"/>
      <c r="E79" s="465">
        <v>677070.8</v>
      </c>
      <c r="F79" s="465">
        <v>386790.6</v>
      </c>
    </row>
    <row r="80" spans="1:6">
      <c r="A80" s="467" t="s">
        <v>188</v>
      </c>
      <c r="B80" s="468" t="s">
        <v>966</v>
      </c>
      <c r="C80" s="468" t="s">
        <v>509</v>
      </c>
      <c r="D80" s="468" t="s">
        <v>515</v>
      </c>
      <c r="E80" s="469">
        <v>677070.8</v>
      </c>
      <c r="F80" s="469">
        <v>386790.6</v>
      </c>
    </row>
    <row r="81" spans="1:6" ht="56.25">
      <c r="A81" s="463" t="s">
        <v>1619</v>
      </c>
      <c r="B81" s="464" t="s">
        <v>966</v>
      </c>
      <c r="C81" s="464" t="s">
        <v>1295</v>
      </c>
      <c r="D81" s="464"/>
      <c r="E81" s="465">
        <v>390000</v>
      </c>
      <c r="F81" s="465">
        <v>165702.6</v>
      </c>
    </row>
    <row r="82" spans="1:6">
      <c r="A82" s="467" t="s">
        <v>188</v>
      </c>
      <c r="B82" s="468" t="s">
        <v>966</v>
      </c>
      <c r="C82" s="468" t="s">
        <v>1295</v>
      </c>
      <c r="D82" s="468" t="s">
        <v>515</v>
      </c>
      <c r="E82" s="469">
        <v>390000</v>
      </c>
      <c r="F82" s="469">
        <v>165702.6</v>
      </c>
    </row>
    <row r="83" spans="1:6" ht="33.75">
      <c r="A83" s="463" t="s">
        <v>445</v>
      </c>
      <c r="B83" s="464" t="s">
        <v>966</v>
      </c>
      <c r="C83" s="464" t="s">
        <v>446</v>
      </c>
      <c r="D83" s="464"/>
      <c r="E83" s="465">
        <v>1722514</v>
      </c>
      <c r="F83" s="465">
        <v>999006.5</v>
      </c>
    </row>
    <row r="84" spans="1:6">
      <c r="A84" s="467" t="s">
        <v>188</v>
      </c>
      <c r="B84" s="468" t="s">
        <v>966</v>
      </c>
      <c r="C84" s="468" t="s">
        <v>446</v>
      </c>
      <c r="D84" s="468" t="s">
        <v>515</v>
      </c>
      <c r="E84" s="469">
        <v>1722514</v>
      </c>
      <c r="F84" s="469">
        <v>999006.5</v>
      </c>
    </row>
    <row r="85" spans="1:6" ht="101.25">
      <c r="A85" s="466" t="s">
        <v>2675</v>
      </c>
      <c r="B85" s="464" t="s">
        <v>1042</v>
      </c>
      <c r="C85" s="464"/>
      <c r="D85" s="464"/>
      <c r="E85" s="465">
        <v>4500</v>
      </c>
      <c r="F85" s="465">
        <v>4500</v>
      </c>
    </row>
    <row r="86" spans="1:6" ht="33.75">
      <c r="A86" s="463" t="s">
        <v>1617</v>
      </c>
      <c r="B86" s="464" t="s">
        <v>1042</v>
      </c>
      <c r="C86" s="464" t="s">
        <v>509</v>
      </c>
      <c r="D86" s="464"/>
      <c r="E86" s="465">
        <v>4500</v>
      </c>
      <c r="F86" s="465">
        <v>4500</v>
      </c>
    </row>
    <row r="87" spans="1:6">
      <c r="A87" s="467" t="s">
        <v>188</v>
      </c>
      <c r="B87" s="468" t="s">
        <v>1042</v>
      </c>
      <c r="C87" s="468" t="s">
        <v>509</v>
      </c>
      <c r="D87" s="468" t="s">
        <v>515</v>
      </c>
      <c r="E87" s="469">
        <v>4500</v>
      </c>
      <c r="F87" s="469">
        <v>4500</v>
      </c>
    </row>
    <row r="88" spans="1:6" ht="101.25">
      <c r="A88" s="466" t="s">
        <v>2688</v>
      </c>
      <c r="B88" s="464" t="s">
        <v>965</v>
      </c>
      <c r="C88" s="464"/>
      <c r="D88" s="464"/>
      <c r="E88" s="465">
        <v>209532</v>
      </c>
      <c r="F88" s="465">
        <v>114315.97</v>
      </c>
    </row>
    <row r="89" spans="1:6">
      <c r="A89" s="463" t="s">
        <v>1603</v>
      </c>
      <c r="B89" s="464" t="s">
        <v>965</v>
      </c>
      <c r="C89" s="464" t="s">
        <v>460</v>
      </c>
      <c r="D89" s="464"/>
      <c r="E89" s="465">
        <v>13404</v>
      </c>
      <c r="F89" s="465">
        <v>12446.81</v>
      </c>
    </row>
    <row r="90" spans="1:6">
      <c r="A90" s="467" t="s">
        <v>1442</v>
      </c>
      <c r="B90" s="468" t="s">
        <v>965</v>
      </c>
      <c r="C90" s="468" t="s">
        <v>460</v>
      </c>
      <c r="D90" s="468" t="s">
        <v>1443</v>
      </c>
      <c r="E90" s="469">
        <v>13404</v>
      </c>
      <c r="F90" s="469">
        <v>12446.81</v>
      </c>
    </row>
    <row r="91" spans="1:6" ht="45">
      <c r="A91" s="463" t="s">
        <v>1604</v>
      </c>
      <c r="B91" s="464" t="s">
        <v>965</v>
      </c>
      <c r="C91" s="464" t="s">
        <v>1290</v>
      </c>
      <c r="D91" s="464"/>
      <c r="E91" s="465">
        <v>4048</v>
      </c>
      <c r="F91" s="465">
        <v>3471.63</v>
      </c>
    </row>
    <row r="92" spans="1:6">
      <c r="A92" s="467" t="s">
        <v>1442</v>
      </c>
      <c r="B92" s="468" t="s">
        <v>965</v>
      </c>
      <c r="C92" s="468" t="s">
        <v>1290</v>
      </c>
      <c r="D92" s="468" t="s">
        <v>1443</v>
      </c>
      <c r="E92" s="469">
        <v>4048</v>
      </c>
      <c r="F92" s="469">
        <v>3471.63</v>
      </c>
    </row>
    <row r="93" spans="1:6" ht="67.5">
      <c r="A93" s="463" t="s">
        <v>465</v>
      </c>
      <c r="B93" s="464" t="s">
        <v>965</v>
      </c>
      <c r="C93" s="464" t="s">
        <v>466</v>
      </c>
      <c r="D93" s="464"/>
      <c r="E93" s="465">
        <v>192080</v>
      </c>
      <c r="F93" s="465">
        <v>98397.53</v>
      </c>
    </row>
    <row r="94" spans="1:6">
      <c r="A94" s="467" t="s">
        <v>1442</v>
      </c>
      <c r="B94" s="468" t="s">
        <v>965</v>
      </c>
      <c r="C94" s="468" t="s">
        <v>466</v>
      </c>
      <c r="D94" s="468" t="s">
        <v>1443</v>
      </c>
      <c r="E94" s="469">
        <v>192080</v>
      </c>
      <c r="F94" s="469">
        <v>98397.53</v>
      </c>
    </row>
    <row r="95" spans="1:6" ht="101.25">
      <c r="A95" s="466" t="s">
        <v>2665</v>
      </c>
      <c r="B95" s="464" t="s">
        <v>953</v>
      </c>
      <c r="C95" s="464"/>
      <c r="D95" s="464"/>
      <c r="E95" s="465">
        <v>881013.84</v>
      </c>
      <c r="F95" s="465">
        <v>741859.38</v>
      </c>
    </row>
    <row r="96" spans="1:6" ht="33.75">
      <c r="A96" s="463" t="s">
        <v>1617</v>
      </c>
      <c r="B96" s="464" t="s">
        <v>953</v>
      </c>
      <c r="C96" s="464" t="s">
        <v>509</v>
      </c>
      <c r="D96" s="464"/>
      <c r="E96" s="465">
        <v>881013.84</v>
      </c>
      <c r="F96" s="465">
        <v>741859.38</v>
      </c>
    </row>
    <row r="97" spans="1:6">
      <c r="A97" s="467" t="s">
        <v>187</v>
      </c>
      <c r="B97" s="468" t="s">
        <v>953</v>
      </c>
      <c r="C97" s="468" t="s">
        <v>509</v>
      </c>
      <c r="D97" s="468" t="s">
        <v>528</v>
      </c>
      <c r="E97" s="469">
        <v>881013.84</v>
      </c>
      <c r="F97" s="469">
        <v>741859.38</v>
      </c>
    </row>
    <row r="98" spans="1:6" ht="101.25">
      <c r="A98" s="466" t="s">
        <v>2676</v>
      </c>
      <c r="B98" s="464" t="s">
        <v>961</v>
      </c>
      <c r="C98" s="464"/>
      <c r="D98" s="464"/>
      <c r="E98" s="465">
        <v>1004737.05</v>
      </c>
      <c r="F98" s="465">
        <v>917081.44</v>
      </c>
    </row>
    <row r="99" spans="1:6" ht="33.75">
      <c r="A99" s="463" t="s">
        <v>1617</v>
      </c>
      <c r="B99" s="464" t="s">
        <v>961</v>
      </c>
      <c r="C99" s="464" t="s">
        <v>509</v>
      </c>
      <c r="D99" s="464"/>
      <c r="E99" s="465">
        <v>1004737.05</v>
      </c>
      <c r="F99" s="465">
        <v>917081.44</v>
      </c>
    </row>
    <row r="100" spans="1:6">
      <c r="A100" s="467" t="s">
        <v>188</v>
      </c>
      <c r="B100" s="468" t="s">
        <v>961</v>
      </c>
      <c r="C100" s="468" t="s">
        <v>509</v>
      </c>
      <c r="D100" s="468" t="s">
        <v>515</v>
      </c>
      <c r="E100" s="469">
        <v>1004737.05</v>
      </c>
      <c r="F100" s="469">
        <v>917081.44</v>
      </c>
    </row>
    <row r="101" spans="1:6" ht="101.25">
      <c r="A101" s="466" t="s">
        <v>2689</v>
      </c>
      <c r="B101" s="464" t="s">
        <v>968</v>
      </c>
      <c r="C101" s="464"/>
      <c r="D101" s="464"/>
      <c r="E101" s="465">
        <v>357407.53</v>
      </c>
      <c r="F101" s="465">
        <v>357407.53</v>
      </c>
    </row>
    <row r="102" spans="1:6" ht="33.75">
      <c r="A102" s="463" t="s">
        <v>1617</v>
      </c>
      <c r="B102" s="464" t="s">
        <v>968</v>
      </c>
      <c r="C102" s="464" t="s">
        <v>509</v>
      </c>
      <c r="D102" s="464"/>
      <c r="E102" s="465">
        <v>318110.93</v>
      </c>
      <c r="F102" s="465">
        <v>318110.93</v>
      </c>
    </row>
    <row r="103" spans="1:6">
      <c r="A103" s="467" t="s">
        <v>1442</v>
      </c>
      <c r="B103" s="468" t="s">
        <v>968</v>
      </c>
      <c r="C103" s="468" t="s">
        <v>509</v>
      </c>
      <c r="D103" s="468" t="s">
        <v>1443</v>
      </c>
      <c r="E103" s="469">
        <v>318110.93</v>
      </c>
      <c r="F103" s="469">
        <v>318110.93</v>
      </c>
    </row>
    <row r="104" spans="1:6" ht="22.5">
      <c r="A104" s="463" t="s">
        <v>484</v>
      </c>
      <c r="B104" s="464" t="s">
        <v>968</v>
      </c>
      <c r="C104" s="464" t="s">
        <v>485</v>
      </c>
      <c r="D104" s="464"/>
      <c r="E104" s="465">
        <v>39296.6</v>
      </c>
      <c r="F104" s="465">
        <v>39296.6</v>
      </c>
    </row>
    <row r="105" spans="1:6">
      <c r="A105" s="467" t="s">
        <v>1442</v>
      </c>
      <c r="B105" s="468" t="s">
        <v>968</v>
      </c>
      <c r="C105" s="468" t="s">
        <v>485</v>
      </c>
      <c r="D105" s="468" t="s">
        <v>1443</v>
      </c>
      <c r="E105" s="469">
        <v>39296.6</v>
      </c>
      <c r="F105" s="469">
        <v>39296.6</v>
      </c>
    </row>
    <row r="106" spans="1:6" ht="101.25">
      <c r="A106" s="466" t="s">
        <v>2666</v>
      </c>
      <c r="B106" s="464" t="s">
        <v>954</v>
      </c>
      <c r="C106" s="464"/>
      <c r="D106" s="464"/>
      <c r="E106" s="465">
        <v>30936199.030000001</v>
      </c>
      <c r="F106" s="465">
        <v>25758900.640000001</v>
      </c>
    </row>
    <row r="107" spans="1:6" ht="33.75">
      <c r="A107" s="463" t="s">
        <v>445</v>
      </c>
      <c r="B107" s="464" t="s">
        <v>954</v>
      </c>
      <c r="C107" s="464" t="s">
        <v>446</v>
      </c>
      <c r="D107" s="464"/>
      <c r="E107" s="465">
        <v>30936199.030000001</v>
      </c>
      <c r="F107" s="465">
        <v>25758900.640000001</v>
      </c>
    </row>
    <row r="108" spans="1:6">
      <c r="A108" s="467" t="s">
        <v>187</v>
      </c>
      <c r="B108" s="468" t="s">
        <v>954</v>
      </c>
      <c r="C108" s="468" t="s">
        <v>446</v>
      </c>
      <c r="D108" s="468" t="s">
        <v>528</v>
      </c>
      <c r="E108" s="469">
        <v>30936199.030000001</v>
      </c>
      <c r="F108" s="469">
        <v>25758900.640000001</v>
      </c>
    </row>
    <row r="109" spans="1:6" ht="101.25">
      <c r="A109" s="466" t="s">
        <v>2677</v>
      </c>
      <c r="B109" s="464" t="s">
        <v>962</v>
      </c>
      <c r="C109" s="464"/>
      <c r="D109" s="464"/>
      <c r="E109" s="465">
        <v>72513842.480000004</v>
      </c>
      <c r="F109" s="465">
        <v>61849827.640000001</v>
      </c>
    </row>
    <row r="110" spans="1:6" ht="33.75">
      <c r="A110" s="463" t="s">
        <v>445</v>
      </c>
      <c r="B110" s="464" t="s">
        <v>962</v>
      </c>
      <c r="C110" s="464" t="s">
        <v>446</v>
      </c>
      <c r="D110" s="464"/>
      <c r="E110" s="465">
        <v>72513842.480000004</v>
      </c>
      <c r="F110" s="465">
        <v>61849827.640000001</v>
      </c>
    </row>
    <row r="111" spans="1:6">
      <c r="A111" s="467" t="s">
        <v>188</v>
      </c>
      <c r="B111" s="468" t="s">
        <v>962</v>
      </c>
      <c r="C111" s="468" t="s">
        <v>446</v>
      </c>
      <c r="D111" s="468" t="s">
        <v>515</v>
      </c>
      <c r="E111" s="469">
        <v>72513842.480000004</v>
      </c>
      <c r="F111" s="469">
        <v>61849827.640000001</v>
      </c>
    </row>
    <row r="112" spans="1:6" ht="101.25">
      <c r="A112" s="466" t="s">
        <v>2690</v>
      </c>
      <c r="B112" s="464" t="s">
        <v>969</v>
      </c>
      <c r="C112" s="464"/>
      <c r="D112" s="464"/>
      <c r="E112" s="465">
        <v>2118944.4900000002</v>
      </c>
      <c r="F112" s="465">
        <v>1644187.76</v>
      </c>
    </row>
    <row r="113" spans="1:6" ht="33.75">
      <c r="A113" s="463" t="s">
        <v>445</v>
      </c>
      <c r="B113" s="464" t="s">
        <v>969</v>
      </c>
      <c r="C113" s="464" t="s">
        <v>446</v>
      </c>
      <c r="D113" s="464"/>
      <c r="E113" s="465">
        <v>936920.49</v>
      </c>
      <c r="F113" s="465">
        <v>781885.42</v>
      </c>
    </row>
    <row r="114" spans="1:6">
      <c r="A114" s="467" t="s">
        <v>1442</v>
      </c>
      <c r="B114" s="468" t="s">
        <v>969</v>
      </c>
      <c r="C114" s="468" t="s">
        <v>446</v>
      </c>
      <c r="D114" s="468" t="s">
        <v>1443</v>
      </c>
      <c r="E114" s="469">
        <v>936920.49</v>
      </c>
      <c r="F114" s="469">
        <v>781885.42</v>
      </c>
    </row>
    <row r="115" spans="1:6" ht="67.5">
      <c r="A115" s="463" t="s">
        <v>465</v>
      </c>
      <c r="B115" s="464" t="s">
        <v>969</v>
      </c>
      <c r="C115" s="464" t="s">
        <v>466</v>
      </c>
      <c r="D115" s="464"/>
      <c r="E115" s="465">
        <v>1182024</v>
      </c>
      <c r="F115" s="465">
        <v>862302.34</v>
      </c>
    </row>
    <row r="116" spans="1:6">
      <c r="A116" s="467" t="s">
        <v>1442</v>
      </c>
      <c r="B116" s="468" t="s">
        <v>969</v>
      </c>
      <c r="C116" s="468" t="s">
        <v>466</v>
      </c>
      <c r="D116" s="468" t="s">
        <v>1443</v>
      </c>
      <c r="E116" s="469">
        <v>1182024</v>
      </c>
      <c r="F116" s="469">
        <v>862302.34</v>
      </c>
    </row>
    <row r="117" spans="1:6" ht="101.25">
      <c r="A117" s="466" t="s">
        <v>2694</v>
      </c>
      <c r="B117" s="464" t="s">
        <v>1623</v>
      </c>
      <c r="C117" s="464"/>
      <c r="D117" s="464"/>
      <c r="E117" s="465">
        <v>45000</v>
      </c>
      <c r="F117" s="465">
        <v>28989.54</v>
      </c>
    </row>
    <row r="118" spans="1:6" ht="67.5">
      <c r="A118" s="463" t="s">
        <v>465</v>
      </c>
      <c r="B118" s="464" t="s">
        <v>1623</v>
      </c>
      <c r="C118" s="464" t="s">
        <v>466</v>
      </c>
      <c r="D118" s="464"/>
      <c r="E118" s="465">
        <v>45000</v>
      </c>
      <c r="F118" s="465">
        <v>28989.54</v>
      </c>
    </row>
    <row r="119" spans="1:6">
      <c r="A119" s="467" t="s">
        <v>1440</v>
      </c>
      <c r="B119" s="468" t="s">
        <v>1623</v>
      </c>
      <c r="C119" s="468" t="s">
        <v>466</v>
      </c>
      <c r="D119" s="468" t="s">
        <v>483</v>
      </c>
      <c r="E119" s="469">
        <v>45000</v>
      </c>
      <c r="F119" s="469">
        <v>28989.54</v>
      </c>
    </row>
    <row r="120" spans="1:6" ht="101.25">
      <c r="A120" s="466" t="s">
        <v>2667</v>
      </c>
      <c r="B120" s="464" t="s">
        <v>955</v>
      </c>
      <c r="C120" s="464"/>
      <c r="D120" s="464"/>
      <c r="E120" s="465">
        <v>38856480</v>
      </c>
      <c r="F120" s="465">
        <v>38315920.090000004</v>
      </c>
    </row>
    <row r="121" spans="1:6" ht="33.75">
      <c r="A121" s="463" t="s">
        <v>445</v>
      </c>
      <c r="B121" s="464" t="s">
        <v>955</v>
      </c>
      <c r="C121" s="464" t="s">
        <v>446</v>
      </c>
      <c r="D121" s="464"/>
      <c r="E121" s="465">
        <v>38856480</v>
      </c>
      <c r="F121" s="465">
        <v>38315920.090000004</v>
      </c>
    </row>
    <row r="122" spans="1:6">
      <c r="A122" s="467" t="s">
        <v>187</v>
      </c>
      <c r="B122" s="468" t="s">
        <v>955</v>
      </c>
      <c r="C122" s="468" t="s">
        <v>446</v>
      </c>
      <c r="D122" s="468" t="s">
        <v>528</v>
      </c>
      <c r="E122" s="469">
        <v>38856480</v>
      </c>
      <c r="F122" s="469">
        <v>38315920.090000004</v>
      </c>
    </row>
    <row r="123" spans="1:6" ht="101.25">
      <c r="A123" s="466" t="s">
        <v>2678</v>
      </c>
      <c r="B123" s="464" t="s">
        <v>967</v>
      </c>
      <c r="C123" s="464"/>
      <c r="D123" s="464"/>
      <c r="E123" s="465">
        <v>3552600</v>
      </c>
      <c r="F123" s="465">
        <v>3532851.7</v>
      </c>
    </row>
    <row r="124" spans="1:6" ht="33.75">
      <c r="A124" s="463" t="s">
        <v>445</v>
      </c>
      <c r="B124" s="464" t="s">
        <v>967</v>
      </c>
      <c r="C124" s="464" t="s">
        <v>446</v>
      </c>
      <c r="D124" s="464"/>
      <c r="E124" s="465">
        <v>3552600</v>
      </c>
      <c r="F124" s="465">
        <v>3532851.7</v>
      </c>
    </row>
    <row r="125" spans="1:6">
      <c r="A125" s="467" t="s">
        <v>188</v>
      </c>
      <c r="B125" s="468" t="s">
        <v>967</v>
      </c>
      <c r="C125" s="468" t="s">
        <v>446</v>
      </c>
      <c r="D125" s="468" t="s">
        <v>515</v>
      </c>
      <c r="E125" s="469">
        <v>3552600</v>
      </c>
      <c r="F125" s="469">
        <v>3532851.7</v>
      </c>
    </row>
    <row r="126" spans="1:6" ht="78.75">
      <c r="A126" s="463" t="s">
        <v>1767</v>
      </c>
      <c r="B126" s="464" t="s">
        <v>1768</v>
      </c>
      <c r="C126" s="464"/>
      <c r="D126" s="464"/>
      <c r="E126" s="465">
        <v>1546754.49</v>
      </c>
      <c r="F126" s="465">
        <v>1062587.0900000001</v>
      </c>
    </row>
    <row r="127" spans="1:6" ht="33.75">
      <c r="A127" s="463" t="s">
        <v>445</v>
      </c>
      <c r="B127" s="464" t="s">
        <v>1768</v>
      </c>
      <c r="C127" s="464" t="s">
        <v>446</v>
      </c>
      <c r="D127" s="464"/>
      <c r="E127" s="465">
        <v>1546754.49</v>
      </c>
      <c r="F127" s="465">
        <v>1062587.0900000001</v>
      </c>
    </row>
    <row r="128" spans="1:6">
      <c r="A128" s="467" t="s">
        <v>187</v>
      </c>
      <c r="B128" s="468" t="s">
        <v>1768</v>
      </c>
      <c r="C128" s="468" t="s">
        <v>446</v>
      </c>
      <c r="D128" s="468" t="s">
        <v>528</v>
      </c>
      <c r="E128" s="469">
        <v>893875.94</v>
      </c>
      <c r="F128" s="469">
        <v>467608.09</v>
      </c>
    </row>
    <row r="129" spans="1:6">
      <c r="A129" s="467" t="s">
        <v>188</v>
      </c>
      <c r="B129" s="468" t="s">
        <v>1768</v>
      </c>
      <c r="C129" s="468" t="s">
        <v>446</v>
      </c>
      <c r="D129" s="468" t="s">
        <v>515</v>
      </c>
      <c r="E129" s="469">
        <v>652078.55000000005</v>
      </c>
      <c r="F129" s="469">
        <v>594179</v>
      </c>
    </row>
    <row r="130" spans="1:6">
      <c r="A130" s="467" t="s">
        <v>1442</v>
      </c>
      <c r="B130" s="468" t="s">
        <v>1768</v>
      </c>
      <c r="C130" s="468" t="s">
        <v>446</v>
      </c>
      <c r="D130" s="468" t="s">
        <v>1443</v>
      </c>
      <c r="E130" s="469">
        <v>800</v>
      </c>
      <c r="F130" s="469">
        <v>800</v>
      </c>
    </row>
    <row r="131" spans="1:6" ht="101.25">
      <c r="A131" s="466" t="s">
        <v>2668</v>
      </c>
      <c r="B131" s="464" t="s">
        <v>1186</v>
      </c>
      <c r="C131" s="464"/>
      <c r="D131" s="464"/>
      <c r="E131" s="465">
        <v>7708624.2400000002</v>
      </c>
      <c r="F131" s="465">
        <v>7526307.1900000004</v>
      </c>
    </row>
    <row r="132" spans="1:6" ht="33.75">
      <c r="A132" s="463" t="s">
        <v>445</v>
      </c>
      <c r="B132" s="464" t="s">
        <v>1186</v>
      </c>
      <c r="C132" s="464" t="s">
        <v>446</v>
      </c>
      <c r="D132" s="464"/>
      <c r="E132" s="465">
        <v>7708624.2400000002</v>
      </c>
      <c r="F132" s="465">
        <v>7526307.1900000004</v>
      </c>
    </row>
    <row r="133" spans="1:6">
      <c r="A133" s="467" t="s">
        <v>187</v>
      </c>
      <c r="B133" s="468" t="s">
        <v>1186</v>
      </c>
      <c r="C133" s="468" t="s">
        <v>446</v>
      </c>
      <c r="D133" s="468" t="s">
        <v>528</v>
      </c>
      <c r="E133" s="469">
        <v>7708624.2400000002</v>
      </c>
      <c r="F133" s="469">
        <v>7526307.1900000004</v>
      </c>
    </row>
    <row r="134" spans="1:6" ht="101.25">
      <c r="A134" s="466" t="s">
        <v>2679</v>
      </c>
      <c r="B134" s="464" t="s">
        <v>1188</v>
      </c>
      <c r="C134" s="464"/>
      <c r="D134" s="464"/>
      <c r="E134" s="465">
        <v>10110834.73</v>
      </c>
      <c r="F134" s="465">
        <v>9445651.6899999995</v>
      </c>
    </row>
    <row r="135" spans="1:6" ht="33.75">
      <c r="A135" s="463" t="s">
        <v>445</v>
      </c>
      <c r="B135" s="464" t="s">
        <v>1188</v>
      </c>
      <c r="C135" s="464" t="s">
        <v>446</v>
      </c>
      <c r="D135" s="464"/>
      <c r="E135" s="465">
        <v>10110834.73</v>
      </c>
      <c r="F135" s="465">
        <v>9445651.6899999995</v>
      </c>
    </row>
    <row r="136" spans="1:6">
      <c r="A136" s="467" t="s">
        <v>188</v>
      </c>
      <c r="B136" s="468" t="s">
        <v>1188</v>
      </c>
      <c r="C136" s="468" t="s">
        <v>446</v>
      </c>
      <c r="D136" s="468" t="s">
        <v>515</v>
      </c>
      <c r="E136" s="469">
        <v>10110834.73</v>
      </c>
      <c r="F136" s="469">
        <v>9445651.6899999995</v>
      </c>
    </row>
    <row r="137" spans="1:6" ht="101.25">
      <c r="A137" s="466" t="s">
        <v>2691</v>
      </c>
      <c r="B137" s="464" t="s">
        <v>1190</v>
      </c>
      <c r="C137" s="464"/>
      <c r="D137" s="464"/>
      <c r="E137" s="465">
        <v>384720</v>
      </c>
      <c r="F137" s="465">
        <v>382055.69</v>
      </c>
    </row>
    <row r="138" spans="1:6" ht="33.75">
      <c r="A138" s="463" t="s">
        <v>445</v>
      </c>
      <c r="B138" s="464" t="s">
        <v>1190</v>
      </c>
      <c r="C138" s="464" t="s">
        <v>446</v>
      </c>
      <c r="D138" s="464"/>
      <c r="E138" s="465">
        <v>269380</v>
      </c>
      <c r="F138" s="465">
        <v>269380</v>
      </c>
    </row>
    <row r="139" spans="1:6">
      <c r="A139" s="467" t="s">
        <v>1442</v>
      </c>
      <c r="B139" s="468" t="s">
        <v>1190</v>
      </c>
      <c r="C139" s="468" t="s">
        <v>446</v>
      </c>
      <c r="D139" s="468" t="s">
        <v>1443</v>
      </c>
      <c r="E139" s="469">
        <v>269380</v>
      </c>
      <c r="F139" s="469">
        <v>269380</v>
      </c>
    </row>
    <row r="140" spans="1:6" ht="67.5">
      <c r="A140" s="463" t="s">
        <v>465</v>
      </c>
      <c r="B140" s="464" t="s">
        <v>1190</v>
      </c>
      <c r="C140" s="464" t="s">
        <v>466</v>
      </c>
      <c r="D140" s="464"/>
      <c r="E140" s="465">
        <v>115340</v>
      </c>
      <c r="F140" s="465">
        <v>112675.69</v>
      </c>
    </row>
    <row r="141" spans="1:6">
      <c r="A141" s="467" t="s">
        <v>1442</v>
      </c>
      <c r="B141" s="468" t="s">
        <v>1190</v>
      </c>
      <c r="C141" s="468" t="s">
        <v>466</v>
      </c>
      <c r="D141" s="468" t="s">
        <v>1443</v>
      </c>
      <c r="E141" s="469">
        <v>115340</v>
      </c>
      <c r="F141" s="469">
        <v>112675.69</v>
      </c>
    </row>
    <row r="142" spans="1:6" ht="101.25">
      <c r="A142" s="466" t="s">
        <v>2695</v>
      </c>
      <c r="B142" s="464" t="s">
        <v>1625</v>
      </c>
      <c r="C142" s="464"/>
      <c r="D142" s="464"/>
      <c r="E142" s="465">
        <v>307860</v>
      </c>
      <c r="F142" s="465">
        <v>150000</v>
      </c>
    </row>
    <row r="143" spans="1:6" ht="67.5">
      <c r="A143" s="463" t="s">
        <v>465</v>
      </c>
      <c r="B143" s="464" t="s">
        <v>1625</v>
      </c>
      <c r="C143" s="464" t="s">
        <v>466</v>
      </c>
      <c r="D143" s="464"/>
      <c r="E143" s="465">
        <v>307860</v>
      </c>
      <c r="F143" s="465">
        <v>150000</v>
      </c>
    </row>
    <row r="144" spans="1:6">
      <c r="A144" s="467" t="s">
        <v>1440</v>
      </c>
      <c r="B144" s="468" t="s">
        <v>1625</v>
      </c>
      <c r="C144" s="468" t="s">
        <v>466</v>
      </c>
      <c r="D144" s="468" t="s">
        <v>483</v>
      </c>
      <c r="E144" s="469">
        <v>307860</v>
      </c>
      <c r="F144" s="469">
        <v>150000</v>
      </c>
    </row>
    <row r="145" spans="1:6" ht="78.75">
      <c r="A145" s="463" t="s">
        <v>1312</v>
      </c>
      <c r="B145" s="464" t="s">
        <v>1313</v>
      </c>
      <c r="C145" s="464"/>
      <c r="D145" s="464"/>
      <c r="E145" s="465">
        <v>6423600</v>
      </c>
      <c r="F145" s="465">
        <v>6423599.8200000003</v>
      </c>
    </row>
    <row r="146" spans="1:6" ht="33.75">
      <c r="A146" s="463" t="s">
        <v>445</v>
      </c>
      <c r="B146" s="464" t="s">
        <v>1313</v>
      </c>
      <c r="C146" s="464" t="s">
        <v>446</v>
      </c>
      <c r="D146" s="464"/>
      <c r="E146" s="465">
        <v>4548700</v>
      </c>
      <c r="F146" s="465">
        <v>4548699.82</v>
      </c>
    </row>
    <row r="147" spans="1:6">
      <c r="A147" s="467" t="s">
        <v>1440</v>
      </c>
      <c r="B147" s="468" t="s">
        <v>1313</v>
      </c>
      <c r="C147" s="468" t="s">
        <v>446</v>
      </c>
      <c r="D147" s="468" t="s">
        <v>483</v>
      </c>
      <c r="E147" s="469">
        <v>4548700</v>
      </c>
      <c r="F147" s="469">
        <v>4548699.82</v>
      </c>
    </row>
    <row r="148" spans="1:6" ht="67.5">
      <c r="A148" s="463" t="s">
        <v>465</v>
      </c>
      <c r="B148" s="464" t="s">
        <v>1313</v>
      </c>
      <c r="C148" s="464" t="s">
        <v>466</v>
      </c>
      <c r="D148" s="464"/>
      <c r="E148" s="465">
        <v>1874900</v>
      </c>
      <c r="F148" s="465">
        <v>1874900</v>
      </c>
    </row>
    <row r="149" spans="1:6">
      <c r="A149" s="467" t="s">
        <v>1440</v>
      </c>
      <c r="B149" s="468" t="s">
        <v>1313</v>
      </c>
      <c r="C149" s="468" t="s">
        <v>466</v>
      </c>
      <c r="D149" s="468" t="s">
        <v>483</v>
      </c>
      <c r="E149" s="469">
        <v>1874900</v>
      </c>
      <c r="F149" s="469">
        <v>1874900</v>
      </c>
    </row>
    <row r="150" spans="1:6" ht="101.25">
      <c r="A150" s="466" t="s">
        <v>2669</v>
      </c>
      <c r="B150" s="464" t="s">
        <v>950</v>
      </c>
      <c r="C150" s="464"/>
      <c r="D150" s="464"/>
      <c r="E150" s="465">
        <v>67629160</v>
      </c>
      <c r="F150" s="465">
        <v>65911092.039999999</v>
      </c>
    </row>
    <row r="151" spans="1:6">
      <c r="A151" s="463" t="s">
        <v>1603</v>
      </c>
      <c r="B151" s="464" t="s">
        <v>950</v>
      </c>
      <c r="C151" s="464" t="s">
        <v>460</v>
      </c>
      <c r="D151" s="464"/>
      <c r="E151" s="465">
        <v>48417637.159999996</v>
      </c>
      <c r="F151" s="465">
        <v>47691339.950000003</v>
      </c>
    </row>
    <row r="152" spans="1:6">
      <c r="A152" s="467" t="s">
        <v>187</v>
      </c>
      <c r="B152" s="468" t="s">
        <v>950</v>
      </c>
      <c r="C152" s="468" t="s">
        <v>460</v>
      </c>
      <c r="D152" s="468" t="s">
        <v>528</v>
      </c>
      <c r="E152" s="469">
        <v>48417637.159999996</v>
      </c>
      <c r="F152" s="469">
        <v>47691339.950000003</v>
      </c>
    </row>
    <row r="153" spans="1:6" ht="33.75">
      <c r="A153" s="463" t="s">
        <v>1617</v>
      </c>
      <c r="B153" s="464" t="s">
        <v>950</v>
      </c>
      <c r="C153" s="464" t="s">
        <v>509</v>
      </c>
      <c r="D153" s="464"/>
      <c r="E153" s="465">
        <v>603260.1</v>
      </c>
      <c r="F153" s="465">
        <v>419754.98</v>
      </c>
    </row>
    <row r="154" spans="1:6">
      <c r="A154" s="467" t="s">
        <v>187</v>
      </c>
      <c r="B154" s="468" t="s">
        <v>950</v>
      </c>
      <c r="C154" s="468" t="s">
        <v>509</v>
      </c>
      <c r="D154" s="468" t="s">
        <v>528</v>
      </c>
      <c r="E154" s="469">
        <v>603260.1</v>
      </c>
      <c r="F154" s="469">
        <v>419754.98</v>
      </c>
    </row>
    <row r="155" spans="1:6" ht="45">
      <c r="A155" s="463" t="s">
        <v>1604</v>
      </c>
      <c r="B155" s="464" t="s">
        <v>950</v>
      </c>
      <c r="C155" s="464" t="s">
        <v>1290</v>
      </c>
      <c r="D155" s="464"/>
      <c r="E155" s="465">
        <v>15188063.800000001</v>
      </c>
      <c r="F155" s="465">
        <v>14713393.300000001</v>
      </c>
    </row>
    <row r="156" spans="1:6">
      <c r="A156" s="467" t="s">
        <v>187</v>
      </c>
      <c r="B156" s="468" t="s">
        <v>950</v>
      </c>
      <c r="C156" s="468" t="s">
        <v>1290</v>
      </c>
      <c r="D156" s="468" t="s">
        <v>528</v>
      </c>
      <c r="E156" s="469">
        <v>15188063.800000001</v>
      </c>
      <c r="F156" s="469">
        <v>14713393.300000001</v>
      </c>
    </row>
    <row r="157" spans="1:6" ht="33.75">
      <c r="A157" s="463" t="s">
        <v>445</v>
      </c>
      <c r="B157" s="464" t="s">
        <v>950</v>
      </c>
      <c r="C157" s="464" t="s">
        <v>446</v>
      </c>
      <c r="D157" s="464"/>
      <c r="E157" s="465">
        <v>3420198.94</v>
      </c>
      <c r="F157" s="465">
        <v>3086603.81</v>
      </c>
    </row>
    <row r="158" spans="1:6">
      <c r="A158" s="467" t="s">
        <v>187</v>
      </c>
      <c r="B158" s="468" t="s">
        <v>950</v>
      </c>
      <c r="C158" s="468" t="s">
        <v>446</v>
      </c>
      <c r="D158" s="468" t="s">
        <v>528</v>
      </c>
      <c r="E158" s="469">
        <v>3420198.94</v>
      </c>
      <c r="F158" s="469">
        <v>3086603.81</v>
      </c>
    </row>
    <row r="159" spans="1:6" ht="101.25">
      <c r="A159" s="466" t="s">
        <v>2680</v>
      </c>
      <c r="B159" s="464" t="s">
        <v>958</v>
      </c>
      <c r="C159" s="464"/>
      <c r="D159" s="464"/>
      <c r="E159" s="465">
        <v>71891700</v>
      </c>
      <c r="F159" s="465">
        <v>69585651.920000002</v>
      </c>
    </row>
    <row r="160" spans="1:6">
      <c r="A160" s="463" t="s">
        <v>1603</v>
      </c>
      <c r="B160" s="464" t="s">
        <v>958</v>
      </c>
      <c r="C160" s="464" t="s">
        <v>460</v>
      </c>
      <c r="D160" s="464"/>
      <c r="E160" s="465">
        <v>50129714.719999999</v>
      </c>
      <c r="F160" s="465">
        <v>49373262.369999997</v>
      </c>
    </row>
    <row r="161" spans="1:6">
      <c r="A161" s="467" t="s">
        <v>188</v>
      </c>
      <c r="B161" s="468" t="s">
        <v>958</v>
      </c>
      <c r="C161" s="468" t="s">
        <v>460</v>
      </c>
      <c r="D161" s="468" t="s">
        <v>515</v>
      </c>
      <c r="E161" s="469">
        <v>50129714.719999999</v>
      </c>
      <c r="F161" s="469">
        <v>49373262.369999997</v>
      </c>
    </row>
    <row r="162" spans="1:6" ht="33.75">
      <c r="A162" s="463" t="s">
        <v>1617</v>
      </c>
      <c r="B162" s="464" t="s">
        <v>958</v>
      </c>
      <c r="C162" s="464" t="s">
        <v>509</v>
      </c>
      <c r="D162" s="464"/>
      <c r="E162" s="465">
        <v>1422572.98</v>
      </c>
      <c r="F162" s="465">
        <v>1046558.08</v>
      </c>
    </row>
    <row r="163" spans="1:6">
      <c r="A163" s="467" t="s">
        <v>188</v>
      </c>
      <c r="B163" s="468" t="s">
        <v>958</v>
      </c>
      <c r="C163" s="468" t="s">
        <v>509</v>
      </c>
      <c r="D163" s="468" t="s">
        <v>515</v>
      </c>
      <c r="E163" s="469">
        <v>1422572.98</v>
      </c>
      <c r="F163" s="469">
        <v>1046558.08</v>
      </c>
    </row>
    <row r="164" spans="1:6" ht="45">
      <c r="A164" s="463" t="s">
        <v>1604</v>
      </c>
      <c r="B164" s="464" t="s">
        <v>958</v>
      </c>
      <c r="C164" s="464" t="s">
        <v>1290</v>
      </c>
      <c r="D164" s="464"/>
      <c r="E164" s="465">
        <v>15727959.220000001</v>
      </c>
      <c r="F164" s="465">
        <v>14918826.369999999</v>
      </c>
    </row>
    <row r="165" spans="1:6">
      <c r="A165" s="467" t="s">
        <v>188</v>
      </c>
      <c r="B165" s="468" t="s">
        <v>958</v>
      </c>
      <c r="C165" s="468" t="s">
        <v>1290</v>
      </c>
      <c r="D165" s="468" t="s">
        <v>515</v>
      </c>
      <c r="E165" s="469">
        <v>15727959.220000001</v>
      </c>
      <c r="F165" s="469">
        <v>14918826.369999999</v>
      </c>
    </row>
    <row r="166" spans="1:6" ht="33.75">
      <c r="A166" s="463" t="s">
        <v>445</v>
      </c>
      <c r="B166" s="464" t="s">
        <v>958</v>
      </c>
      <c r="C166" s="464" t="s">
        <v>446</v>
      </c>
      <c r="D166" s="464"/>
      <c r="E166" s="465">
        <v>4611453.08</v>
      </c>
      <c r="F166" s="465">
        <v>4247005.0999999996</v>
      </c>
    </row>
    <row r="167" spans="1:6">
      <c r="A167" s="467" t="s">
        <v>188</v>
      </c>
      <c r="B167" s="468" t="s">
        <v>958</v>
      </c>
      <c r="C167" s="468" t="s">
        <v>446</v>
      </c>
      <c r="D167" s="468" t="s">
        <v>515</v>
      </c>
      <c r="E167" s="469">
        <v>4611453.08</v>
      </c>
      <c r="F167" s="469">
        <v>4247005.0999999996</v>
      </c>
    </row>
    <row r="168" spans="1:6" ht="101.25">
      <c r="A168" s="466" t="s">
        <v>2705</v>
      </c>
      <c r="B168" s="464" t="s">
        <v>994</v>
      </c>
      <c r="C168" s="464"/>
      <c r="D168" s="464"/>
      <c r="E168" s="465">
        <v>382100</v>
      </c>
      <c r="F168" s="465">
        <v>370588</v>
      </c>
    </row>
    <row r="169" spans="1:6" ht="33.75">
      <c r="A169" s="463" t="s">
        <v>445</v>
      </c>
      <c r="B169" s="464" t="s">
        <v>994</v>
      </c>
      <c r="C169" s="464" t="s">
        <v>446</v>
      </c>
      <c r="D169" s="464"/>
      <c r="E169" s="465">
        <v>382100</v>
      </c>
      <c r="F169" s="465">
        <v>370588</v>
      </c>
    </row>
    <row r="170" spans="1:6">
      <c r="A170" s="467" t="s">
        <v>127</v>
      </c>
      <c r="B170" s="468" t="s">
        <v>994</v>
      </c>
      <c r="C170" s="468" t="s">
        <v>446</v>
      </c>
      <c r="D170" s="468" t="s">
        <v>496</v>
      </c>
      <c r="E170" s="469">
        <v>382100</v>
      </c>
      <c r="F170" s="469">
        <v>370588</v>
      </c>
    </row>
    <row r="171" spans="1:6" ht="90">
      <c r="A171" s="466" t="s">
        <v>2707</v>
      </c>
      <c r="B171" s="464" t="s">
        <v>996</v>
      </c>
      <c r="C171" s="464"/>
      <c r="D171" s="464"/>
      <c r="E171" s="465">
        <v>10359400</v>
      </c>
      <c r="F171" s="465">
        <v>7685044.5599999996</v>
      </c>
    </row>
    <row r="172" spans="1:6" ht="33.75">
      <c r="A172" s="463" t="s">
        <v>445</v>
      </c>
      <c r="B172" s="464" t="s">
        <v>996</v>
      </c>
      <c r="C172" s="464" t="s">
        <v>446</v>
      </c>
      <c r="D172" s="464"/>
      <c r="E172" s="465">
        <v>263100</v>
      </c>
      <c r="F172" s="465">
        <v>143100</v>
      </c>
    </row>
    <row r="173" spans="1:6">
      <c r="A173" s="467" t="s">
        <v>25</v>
      </c>
      <c r="B173" s="468" t="s">
        <v>996</v>
      </c>
      <c r="C173" s="468" t="s">
        <v>446</v>
      </c>
      <c r="D173" s="468" t="s">
        <v>543</v>
      </c>
      <c r="E173" s="469">
        <v>263100</v>
      </c>
      <c r="F173" s="469">
        <v>143100</v>
      </c>
    </row>
    <row r="174" spans="1:6" ht="45">
      <c r="A174" s="463" t="s">
        <v>497</v>
      </c>
      <c r="B174" s="464" t="s">
        <v>996</v>
      </c>
      <c r="C174" s="464" t="s">
        <v>498</v>
      </c>
      <c r="D174" s="464"/>
      <c r="E174" s="465">
        <v>10096300</v>
      </c>
      <c r="F174" s="465">
        <v>7541944.5599999996</v>
      </c>
    </row>
    <row r="175" spans="1:6">
      <c r="A175" s="467" t="s">
        <v>25</v>
      </c>
      <c r="B175" s="468" t="s">
        <v>996</v>
      </c>
      <c r="C175" s="468" t="s">
        <v>498</v>
      </c>
      <c r="D175" s="468" t="s">
        <v>543</v>
      </c>
      <c r="E175" s="469">
        <v>10096300</v>
      </c>
      <c r="F175" s="469">
        <v>7541944.5599999996</v>
      </c>
    </row>
    <row r="176" spans="1:6" ht="78.75">
      <c r="A176" s="463" t="s">
        <v>1816</v>
      </c>
      <c r="B176" s="464" t="s">
        <v>1817</v>
      </c>
      <c r="C176" s="464"/>
      <c r="D176" s="464"/>
      <c r="E176" s="465">
        <v>5782800</v>
      </c>
      <c r="F176" s="465">
        <v>5782800</v>
      </c>
    </row>
    <row r="177" spans="1:6" ht="45">
      <c r="A177" s="463" t="s">
        <v>461</v>
      </c>
      <c r="B177" s="464" t="s">
        <v>1817</v>
      </c>
      <c r="C177" s="464" t="s">
        <v>462</v>
      </c>
      <c r="D177" s="464"/>
      <c r="E177" s="465">
        <v>5327732.34</v>
      </c>
      <c r="F177" s="465">
        <v>5327732.34</v>
      </c>
    </row>
    <row r="178" spans="1:6">
      <c r="A178" s="467" t="s">
        <v>188</v>
      </c>
      <c r="B178" s="468" t="s">
        <v>1817</v>
      </c>
      <c r="C178" s="468" t="s">
        <v>462</v>
      </c>
      <c r="D178" s="468" t="s">
        <v>515</v>
      </c>
      <c r="E178" s="469">
        <v>5327732.34</v>
      </c>
      <c r="F178" s="469">
        <v>5327732.34</v>
      </c>
    </row>
    <row r="179" spans="1:6" ht="33.75">
      <c r="A179" s="463" t="s">
        <v>445</v>
      </c>
      <c r="B179" s="464" t="s">
        <v>1817</v>
      </c>
      <c r="C179" s="464" t="s">
        <v>446</v>
      </c>
      <c r="D179" s="464"/>
      <c r="E179" s="465">
        <v>455067.66</v>
      </c>
      <c r="F179" s="465">
        <v>455067.66</v>
      </c>
    </row>
    <row r="180" spans="1:6">
      <c r="A180" s="467" t="s">
        <v>188</v>
      </c>
      <c r="B180" s="468" t="s">
        <v>1817</v>
      </c>
      <c r="C180" s="468" t="s">
        <v>446</v>
      </c>
      <c r="D180" s="468" t="s">
        <v>515</v>
      </c>
      <c r="E180" s="469">
        <v>455067.66</v>
      </c>
      <c r="F180" s="469">
        <v>455067.66</v>
      </c>
    </row>
    <row r="181" spans="1:6" ht="101.25">
      <c r="A181" s="466" t="s">
        <v>2681</v>
      </c>
      <c r="B181" s="464" t="s">
        <v>956</v>
      </c>
      <c r="C181" s="464"/>
      <c r="D181" s="464"/>
      <c r="E181" s="465">
        <v>356835600</v>
      </c>
      <c r="F181" s="465">
        <v>353314045.56999999</v>
      </c>
    </row>
    <row r="182" spans="1:6">
      <c r="A182" s="463" t="s">
        <v>1603</v>
      </c>
      <c r="B182" s="464" t="s">
        <v>956</v>
      </c>
      <c r="C182" s="464" t="s">
        <v>460</v>
      </c>
      <c r="D182" s="464"/>
      <c r="E182" s="465">
        <v>249269415</v>
      </c>
      <c r="F182" s="465">
        <v>247836706.83000001</v>
      </c>
    </row>
    <row r="183" spans="1:6">
      <c r="A183" s="467" t="s">
        <v>188</v>
      </c>
      <c r="B183" s="468" t="s">
        <v>956</v>
      </c>
      <c r="C183" s="468" t="s">
        <v>460</v>
      </c>
      <c r="D183" s="468" t="s">
        <v>515</v>
      </c>
      <c r="E183" s="469">
        <v>249269415</v>
      </c>
      <c r="F183" s="469">
        <v>247836706.83000001</v>
      </c>
    </row>
    <row r="184" spans="1:6" ht="33.75">
      <c r="A184" s="463" t="s">
        <v>1617</v>
      </c>
      <c r="B184" s="464" t="s">
        <v>956</v>
      </c>
      <c r="C184" s="464" t="s">
        <v>509</v>
      </c>
      <c r="D184" s="464"/>
      <c r="E184" s="465">
        <v>4553629.51</v>
      </c>
      <c r="F184" s="465">
        <v>4133565.23</v>
      </c>
    </row>
    <row r="185" spans="1:6">
      <c r="A185" s="467" t="s">
        <v>188</v>
      </c>
      <c r="B185" s="468" t="s">
        <v>956</v>
      </c>
      <c r="C185" s="468" t="s">
        <v>509</v>
      </c>
      <c r="D185" s="468" t="s">
        <v>515</v>
      </c>
      <c r="E185" s="469">
        <v>4553629.51</v>
      </c>
      <c r="F185" s="469">
        <v>4133565.23</v>
      </c>
    </row>
    <row r="186" spans="1:6" ht="45">
      <c r="A186" s="463" t="s">
        <v>1604</v>
      </c>
      <c r="B186" s="464" t="s">
        <v>956</v>
      </c>
      <c r="C186" s="464" t="s">
        <v>1290</v>
      </c>
      <c r="D186" s="464"/>
      <c r="E186" s="465">
        <v>75941682</v>
      </c>
      <c r="F186" s="465">
        <v>74689731.340000004</v>
      </c>
    </row>
    <row r="187" spans="1:6">
      <c r="A187" s="467" t="s">
        <v>188</v>
      </c>
      <c r="B187" s="468" t="s">
        <v>956</v>
      </c>
      <c r="C187" s="468" t="s">
        <v>1290</v>
      </c>
      <c r="D187" s="468" t="s">
        <v>515</v>
      </c>
      <c r="E187" s="469">
        <v>75941682</v>
      </c>
      <c r="F187" s="469">
        <v>74689731.340000004</v>
      </c>
    </row>
    <row r="188" spans="1:6" ht="33.75">
      <c r="A188" s="463" t="s">
        <v>445</v>
      </c>
      <c r="B188" s="464" t="s">
        <v>956</v>
      </c>
      <c r="C188" s="464" t="s">
        <v>446</v>
      </c>
      <c r="D188" s="464"/>
      <c r="E188" s="465">
        <v>27034773.489999998</v>
      </c>
      <c r="F188" s="465">
        <v>26617942.170000002</v>
      </c>
    </row>
    <row r="189" spans="1:6">
      <c r="A189" s="467" t="s">
        <v>188</v>
      </c>
      <c r="B189" s="468" t="s">
        <v>956</v>
      </c>
      <c r="C189" s="468" t="s">
        <v>446</v>
      </c>
      <c r="D189" s="468" t="s">
        <v>515</v>
      </c>
      <c r="E189" s="469">
        <v>27034773.489999998</v>
      </c>
      <c r="F189" s="469">
        <v>26617942.170000002</v>
      </c>
    </row>
    <row r="190" spans="1:6">
      <c r="A190" s="463" t="s">
        <v>1168</v>
      </c>
      <c r="B190" s="464" t="s">
        <v>956</v>
      </c>
      <c r="C190" s="464" t="s">
        <v>626</v>
      </c>
      <c r="D190" s="464"/>
      <c r="E190" s="465">
        <v>36100</v>
      </c>
      <c r="F190" s="465">
        <v>36100</v>
      </c>
    </row>
    <row r="191" spans="1:6">
      <c r="A191" s="467" t="s">
        <v>188</v>
      </c>
      <c r="B191" s="468" t="s">
        <v>956</v>
      </c>
      <c r="C191" s="468" t="s">
        <v>626</v>
      </c>
      <c r="D191" s="468" t="s">
        <v>515</v>
      </c>
      <c r="E191" s="469">
        <v>36100</v>
      </c>
      <c r="F191" s="469">
        <v>36100</v>
      </c>
    </row>
    <row r="192" spans="1:6" ht="112.5">
      <c r="A192" s="466" t="s">
        <v>2706</v>
      </c>
      <c r="B192" s="464" t="s">
        <v>995</v>
      </c>
      <c r="C192" s="464"/>
      <c r="D192" s="464"/>
      <c r="E192" s="465">
        <v>25003900</v>
      </c>
      <c r="F192" s="465">
        <v>24507011.670000002</v>
      </c>
    </row>
    <row r="193" spans="1:6">
      <c r="A193" s="463" t="s">
        <v>1603</v>
      </c>
      <c r="B193" s="464" t="s">
        <v>995</v>
      </c>
      <c r="C193" s="464" t="s">
        <v>460</v>
      </c>
      <c r="D193" s="464"/>
      <c r="E193" s="465">
        <v>1413.17</v>
      </c>
      <c r="F193" s="465">
        <v>1413.17</v>
      </c>
    </row>
    <row r="194" spans="1:6">
      <c r="A194" s="467" t="s">
        <v>127</v>
      </c>
      <c r="B194" s="468" t="s">
        <v>995</v>
      </c>
      <c r="C194" s="468" t="s">
        <v>460</v>
      </c>
      <c r="D194" s="468" t="s">
        <v>496</v>
      </c>
      <c r="E194" s="469">
        <v>1413.17</v>
      </c>
      <c r="F194" s="469">
        <v>1413.17</v>
      </c>
    </row>
    <row r="195" spans="1:6" ht="45">
      <c r="A195" s="463" t="s">
        <v>1604</v>
      </c>
      <c r="B195" s="464" t="s">
        <v>995</v>
      </c>
      <c r="C195" s="464" t="s">
        <v>1290</v>
      </c>
      <c r="D195" s="464"/>
      <c r="E195" s="465">
        <v>30000</v>
      </c>
      <c r="F195" s="465">
        <v>0</v>
      </c>
    </row>
    <row r="196" spans="1:6">
      <c r="A196" s="467" t="s">
        <v>127</v>
      </c>
      <c r="B196" s="468" t="s">
        <v>995</v>
      </c>
      <c r="C196" s="468" t="s">
        <v>1290</v>
      </c>
      <c r="D196" s="468" t="s">
        <v>496</v>
      </c>
      <c r="E196" s="469">
        <v>30000</v>
      </c>
      <c r="F196" s="469">
        <v>0</v>
      </c>
    </row>
    <row r="197" spans="1:6" ht="33.75">
      <c r="A197" s="463" t="s">
        <v>445</v>
      </c>
      <c r="B197" s="464" t="s">
        <v>995</v>
      </c>
      <c r="C197" s="464" t="s">
        <v>446</v>
      </c>
      <c r="D197" s="464"/>
      <c r="E197" s="465">
        <v>24378493.949999999</v>
      </c>
      <c r="F197" s="465">
        <v>24083356.629999999</v>
      </c>
    </row>
    <row r="198" spans="1:6">
      <c r="A198" s="467" t="s">
        <v>127</v>
      </c>
      <c r="B198" s="468" t="s">
        <v>995</v>
      </c>
      <c r="C198" s="468" t="s">
        <v>446</v>
      </c>
      <c r="D198" s="468" t="s">
        <v>496</v>
      </c>
      <c r="E198" s="469">
        <v>24378493.949999999</v>
      </c>
      <c r="F198" s="469">
        <v>24083356.629999999</v>
      </c>
    </row>
    <row r="199" spans="1:6" ht="45">
      <c r="A199" s="463" t="s">
        <v>497</v>
      </c>
      <c r="B199" s="464" t="s">
        <v>995</v>
      </c>
      <c r="C199" s="464" t="s">
        <v>498</v>
      </c>
      <c r="D199" s="464"/>
      <c r="E199" s="465">
        <v>593992.88</v>
      </c>
      <c r="F199" s="465">
        <v>422241.87</v>
      </c>
    </row>
    <row r="200" spans="1:6">
      <c r="A200" s="467" t="s">
        <v>127</v>
      </c>
      <c r="B200" s="468" t="s">
        <v>995</v>
      </c>
      <c r="C200" s="468" t="s">
        <v>498</v>
      </c>
      <c r="D200" s="468" t="s">
        <v>496</v>
      </c>
      <c r="E200" s="469">
        <v>593992.88</v>
      </c>
      <c r="F200" s="469">
        <v>422241.87</v>
      </c>
    </row>
    <row r="201" spans="1:6" ht="101.25">
      <c r="A201" s="466" t="s">
        <v>2670</v>
      </c>
      <c r="B201" s="464" t="s">
        <v>948</v>
      </c>
      <c r="C201" s="464"/>
      <c r="D201" s="464"/>
      <c r="E201" s="465">
        <v>121757800</v>
      </c>
      <c r="F201" s="465">
        <v>119604595.7</v>
      </c>
    </row>
    <row r="202" spans="1:6">
      <c r="A202" s="463" t="s">
        <v>1603</v>
      </c>
      <c r="B202" s="464" t="s">
        <v>948</v>
      </c>
      <c r="C202" s="464" t="s">
        <v>460</v>
      </c>
      <c r="D202" s="464"/>
      <c r="E202" s="465">
        <v>78293066.609999999</v>
      </c>
      <c r="F202" s="465">
        <v>77702636.090000004</v>
      </c>
    </row>
    <row r="203" spans="1:6">
      <c r="A203" s="467" t="s">
        <v>187</v>
      </c>
      <c r="B203" s="468" t="s">
        <v>948</v>
      </c>
      <c r="C203" s="468" t="s">
        <v>460</v>
      </c>
      <c r="D203" s="468" t="s">
        <v>528</v>
      </c>
      <c r="E203" s="469">
        <v>78293066.609999999</v>
      </c>
      <c r="F203" s="469">
        <v>77702636.090000004</v>
      </c>
    </row>
    <row r="204" spans="1:6" ht="33.75">
      <c r="A204" s="463" t="s">
        <v>1617</v>
      </c>
      <c r="B204" s="464" t="s">
        <v>948</v>
      </c>
      <c r="C204" s="464" t="s">
        <v>509</v>
      </c>
      <c r="D204" s="464"/>
      <c r="E204" s="465">
        <v>2073009.67</v>
      </c>
      <c r="F204" s="465">
        <v>1786427.02</v>
      </c>
    </row>
    <row r="205" spans="1:6">
      <c r="A205" s="467" t="s">
        <v>187</v>
      </c>
      <c r="B205" s="468" t="s">
        <v>948</v>
      </c>
      <c r="C205" s="468" t="s">
        <v>509</v>
      </c>
      <c r="D205" s="468" t="s">
        <v>528</v>
      </c>
      <c r="E205" s="469">
        <v>2073009.67</v>
      </c>
      <c r="F205" s="469">
        <v>1786427.02</v>
      </c>
    </row>
    <row r="206" spans="1:6" ht="45">
      <c r="A206" s="463" t="s">
        <v>1604</v>
      </c>
      <c r="B206" s="464" t="s">
        <v>948</v>
      </c>
      <c r="C206" s="464" t="s">
        <v>1290</v>
      </c>
      <c r="D206" s="464"/>
      <c r="E206" s="465">
        <v>24513383.32</v>
      </c>
      <c r="F206" s="465">
        <v>23832130.219999999</v>
      </c>
    </row>
    <row r="207" spans="1:6">
      <c r="A207" s="467" t="s">
        <v>187</v>
      </c>
      <c r="B207" s="468" t="s">
        <v>948</v>
      </c>
      <c r="C207" s="468" t="s">
        <v>1290</v>
      </c>
      <c r="D207" s="468" t="s">
        <v>528</v>
      </c>
      <c r="E207" s="469">
        <v>24513383.32</v>
      </c>
      <c r="F207" s="469">
        <v>23832130.219999999</v>
      </c>
    </row>
    <row r="208" spans="1:6" ht="33.75">
      <c r="A208" s="463" t="s">
        <v>445</v>
      </c>
      <c r="B208" s="464" t="s">
        <v>948</v>
      </c>
      <c r="C208" s="464" t="s">
        <v>446</v>
      </c>
      <c r="D208" s="464"/>
      <c r="E208" s="465">
        <v>16873540.399999999</v>
      </c>
      <c r="F208" s="465">
        <v>16282202.369999999</v>
      </c>
    </row>
    <row r="209" spans="1:6">
      <c r="A209" s="467" t="s">
        <v>187</v>
      </c>
      <c r="B209" s="468" t="s">
        <v>948</v>
      </c>
      <c r="C209" s="468" t="s">
        <v>446</v>
      </c>
      <c r="D209" s="468" t="s">
        <v>528</v>
      </c>
      <c r="E209" s="469">
        <v>16873540.399999999</v>
      </c>
      <c r="F209" s="469">
        <v>16282202.369999999</v>
      </c>
    </row>
    <row r="210" spans="1:6">
      <c r="A210" s="463" t="s">
        <v>1168</v>
      </c>
      <c r="B210" s="464" t="s">
        <v>948</v>
      </c>
      <c r="C210" s="464" t="s">
        <v>626</v>
      </c>
      <c r="D210" s="464"/>
      <c r="E210" s="465">
        <v>4800</v>
      </c>
      <c r="F210" s="465">
        <v>1200</v>
      </c>
    </row>
    <row r="211" spans="1:6">
      <c r="A211" s="467" t="s">
        <v>187</v>
      </c>
      <c r="B211" s="468" t="s">
        <v>948</v>
      </c>
      <c r="C211" s="468" t="s">
        <v>626</v>
      </c>
      <c r="D211" s="468" t="s">
        <v>528</v>
      </c>
      <c r="E211" s="469">
        <v>4800</v>
      </c>
      <c r="F211" s="469">
        <v>1200</v>
      </c>
    </row>
    <row r="212" spans="1:6" ht="101.25">
      <c r="A212" s="466" t="s">
        <v>2671</v>
      </c>
      <c r="B212" s="464" t="s">
        <v>2011</v>
      </c>
      <c r="C212" s="464"/>
      <c r="D212" s="464"/>
      <c r="E212" s="465">
        <v>1880922</v>
      </c>
      <c r="F212" s="465">
        <v>1125051.1000000001</v>
      </c>
    </row>
    <row r="213" spans="1:6" ht="45">
      <c r="A213" s="463" t="s">
        <v>461</v>
      </c>
      <c r="B213" s="464" t="s">
        <v>2011</v>
      </c>
      <c r="C213" s="464" t="s">
        <v>462</v>
      </c>
      <c r="D213" s="464"/>
      <c r="E213" s="465">
        <v>792970</v>
      </c>
      <c r="F213" s="465">
        <v>245000</v>
      </c>
    </row>
    <row r="214" spans="1:6">
      <c r="A214" s="467" t="s">
        <v>187</v>
      </c>
      <c r="B214" s="468" t="s">
        <v>2011</v>
      </c>
      <c r="C214" s="468" t="s">
        <v>462</v>
      </c>
      <c r="D214" s="468" t="s">
        <v>528</v>
      </c>
      <c r="E214" s="469">
        <v>547970</v>
      </c>
      <c r="F214" s="469">
        <v>0</v>
      </c>
    </row>
    <row r="215" spans="1:6">
      <c r="A215" s="467" t="s">
        <v>188</v>
      </c>
      <c r="B215" s="468" t="s">
        <v>2011</v>
      </c>
      <c r="C215" s="468" t="s">
        <v>462</v>
      </c>
      <c r="D215" s="468" t="s">
        <v>515</v>
      </c>
      <c r="E215" s="469">
        <v>245000</v>
      </c>
      <c r="F215" s="469">
        <v>245000</v>
      </c>
    </row>
    <row r="216" spans="1:6" ht="33.75">
      <c r="A216" s="463" t="s">
        <v>445</v>
      </c>
      <c r="B216" s="464" t="s">
        <v>2011</v>
      </c>
      <c r="C216" s="464" t="s">
        <v>446</v>
      </c>
      <c r="D216" s="464"/>
      <c r="E216" s="465">
        <v>887952</v>
      </c>
      <c r="F216" s="465">
        <v>880051.1</v>
      </c>
    </row>
    <row r="217" spans="1:6">
      <c r="A217" s="467" t="s">
        <v>187</v>
      </c>
      <c r="B217" s="468" t="s">
        <v>2011</v>
      </c>
      <c r="C217" s="468" t="s">
        <v>446</v>
      </c>
      <c r="D217" s="468" t="s">
        <v>528</v>
      </c>
      <c r="E217" s="469">
        <v>519172</v>
      </c>
      <c r="F217" s="469">
        <v>511271.1</v>
      </c>
    </row>
    <row r="218" spans="1:6">
      <c r="A218" s="467" t="s">
        <v>188</v>
      </c>
      <c r="B218" s="468" t="s">
        <v>2011</v>
      </c>
      <c r="C218" s="468" t="s">
        <v>446</v>
      </c>
      <c r="D218" s="468" t="s">
        <v>515</v>
      </c>
      <c r="E218" s="469">
        <v>207000</v>
      </c>
      <c r="F218" s="469">
        <v>207000</v>
      </c>
    </row>
    <row r="219" spans="1:6">
      <c r="A219" s="467" t="s">
        <v>1442</v>
      </c>
      <c r="B219" s="468" t="s">
        <v>2011</v>
      </c>
      <c r="C219" s="468" t="s">
        <v>446</v>
      </c>
      <c r="D219" s="468" t="s">
        <v>1443</v>
      </c>
      <c r="E219" s="469">
        <v>161780</v>
      </c>
      <c r="F219" s="469">
        <v>161780</v>
      </c>
    </row>
    <row r="220" spans="1:6" ht="22.5">
      <c r="A220" s="463" t="s">
        <v>484</v>
      </c>
      <c r="B220" s="464" t="s">
        <v>2011</v>
      </c>
      <c r="C220" s="464" t="s">
        <v>485</v>
      </c>
      <c r="D220" s="464"/>
      <c r="E220" s="465">
        <v>200000</v>
      </c>
      <c r="F220" s="465">
        <v>0</v>
      </c>
    </row>
    <row r="221" spans="1:6">
      <c r="A221" s="467" t="s">
        <v>1442</v>
      </c>
      <c r="B221" s="468" t="s">
        <v>2011</v>
      </c>
      <c r="C221" s="468" t="s">
        <v>485</v>
      </c>
      <c r="D221" s="468" t="s">
        <v>1443</v>
      </c>
      <c r="E221" s="469">
        <v>200000</v>
      </c>
      <c r="F221" s="469">
        <v>0</v>
      </c>
    </row>
    <row r="222" spans="1:6" ht="67.5">
      <c r="A222" s="463" t="s">
        <v>1754</v>
      </c>
      <c r="B222" s="464" t="s">
        <v>1755</v>
      </c>
      <c r="C222" s="464"/>
      <c r="D222" s="464"/>
      <c r="E222" s="465">
        <v>3508489.37</v>
      </c>
      <c r="F222" s="465">
        <v>2515315.09</v>
      </c>
    </row>
    <row r="223" spans="1:6" ht="45">
      <c r="A223" s="463" t="s">
        <v>461</v>
      </c>
      <c r="B223" s="464" t="s">
        <v>1755</v>
      </c>
      <c r="C223" s="464" t="s">
        <v>462</v>
      </c>
      <c r="D223" s="464"/>
      <c r="E223" s="465">
        <v>3508489.37</v>
      </c>
      <c r="F223" s="465">
        <v>2515315.09</v>
      </c>
    </row>
    <row r="224" spans="1:6">
      <c r="A224" s="467" t="s">
        <v>187</v>
      </c>
      <c r="B224" s="468" t="s">
        <v>1755</v>
      </c>
      <c r="C224" s="468" t="s">
        <v>462</v>
      </c>
      <c r="D224" s="468" t="s">
        <v>528</v>
      </c>
      <c r="E224" s="469">
        <v>1351046.37</v>
      </c>
      <c r="F224" s="469">
        <v>1351046.37</v>
      </c>
    </row>
    <row r="225" spans="1:6">
      <c r="A225" s="467" t="s">
        <v>188</v>
      </c>
      <c r="B225" s="468" t="s">
        <v>1755</v>
      </c>
      <c r="C225" s="468" t="s">
        <v>462</v>
      </c>
      <c r="D225" s="468" t="s">
        <v>515</v>
      </c>
      <c r="E225" s="469">
        <v>1333439.28</v>
      </c>
      <c r="F225" s="469">
        <v>340265</v>
      </c>
    </row>
    <row r="226" spans="1:6">
      <c r="A226" s="467" t="s">
        <v>1442</v>
      </c>
      <c r="B226" s="468" t="s">
        <v>1755</v>
      </c>
      <c r="C226" s="468" t="s">
        <v>462</v>
      </c>
      <c r="D226" s="468" t="s">
        <v>1443</v>
      </c>
      <c r="E226" s="469">
        <v>824003.72</v>
      </c>
      <c r="F226" s="469">
        <v>824003.72</v>
      </c>
    </row>
    <row r="227" spans="1:6" ht="78.75">
      <c r="A227" s="463" t="s">
        <v>1061</v>
      </c>
      <c r="B227" s="464" t="s">
        <v>1060</v>
      </c>
      <c r="C227" s="464"/>
      <c r="D227" s="464"/>
      <c r="E227" s="465">
        <v>234480.2</v>
      </c>
      <c r="F227" s="465">
        <v>234480.2</v>
      </c>
    </row>
    <row r="228" spans="1:6" ht="45">
      <c r="A228" s="463" t="s">
        <v>461</v>
      </c>
      <c r="B228" s="464" t="s">
        <v>1060</v>
      </c>
      <c r="C228" s="464" t="s">
        <v>462</v>
      </c>
      <c r="D228" s="464"/>
      <c r="E228" s="465">
        <v>234480.2</v>
      </c>
      <c r="F228" s="465">
        <v>234480.2</v>
      </c>
    </row>
    <row r="229" spans="1:6">
      <c r="A229" s="467" t="s">
        <v>188</v>
      </c>
      <c r="B229" s="468" t="s">
        <v>1060</v>
      </c>
      <c r="C229" s="468" t="s">
        <v>462</v>
      </c>
      <c r="D229" s="468" t="s">
        <v>515</v>
      </c>
      <c r="E229" s="469">
        <v>234480.2</v>
      </c>
      <c r="F229" s="469">
        <v>234480.2</v>
      </c>
    </row>
    <row r="230" spans="1:6" ht="78.75">
      <c r="A230" s="463" t="s">
        <v>531</v>
      </c>
      <c r="B230" s="464" t="s">
        <v>970</v>
      </c>
      <c r="C230" s="464"/>
      <c r="D230" s="464"/>
      <c r="E230" s="465">
        <v>1900000</v>
      </c>
      <c r="F230" s="465">
        <v>1569074</v>
      </c>
    </row>
    <row r="231" spans="1:6" ht="33.75">
      <c r="A231" s="463" t="s">
        <v>445</v>
      </c>
      <c r="B231" s="464" t="s">
        <v>970</v>
      </c>
      <c r="C231" s="464" t="s">
        <v>446</v>
      </c>
      <c r="D231" s="464"/>
      <c r="E231" s="465">
        <v>581000</v>
      </c>
      <c r="F231" s="465">
        <v>322074</v>
      </c>
    </row>
    <row r="232" spans="1:6">
      <c r="A232" s="467" t="s">
        <v>188</v>
      </c>
      <c r="B232" s="468" t="s">
        <v>970</v>
      </c>
      <c r="C232" s="468" t="s">
        <v>446</v>
      </c>
      <c r="D232" s="468" t="s">
        <v>515</v>
      </c>
      <c r="E232" s="469">
        <v>472912</v>
      </c>
      <c r="F232" s="469">
        <v>241494</v>
      </c>
    </row>
    <row r="233" spans="1:6">
      <c r="A233" s="467" t="s">
        <v>1442</v>
      </c>
      <c r="B233" s="468" t="s">
        <v>970</v>
      </c>
      <c r="C233" s="468" t="s">
        <v>446</v>
      </c>
      <c r="D233" s="468" t="s">
        <v>1443</v>
      </c>
      <c r="E233" s="469">
        <v>83000</v>
      </c>
      <c r="F233" s="469">
        <v>80580</v>
      </c>
    </row>
    <row r="234" spans="1:6">
      <c r="A234" s="467" t="s">
        <v>4</v>
      </c>
      <c r="B234" s="468" t="s">
        <v>970</v>
      </c>
      <c r="C234" s="468" t="s">
        <v>446</v>
      </c>
      <c r="D234" s="468" t="s">
        <v>540</v>
      </c>
      <c r="E234" s="469">
        <v>25088</v>
      </c>
      <c r="F234" s="469">
        <v>0</v>
      </c>
    </row>
    <row r="235" spans="1:6">
      <c r="A235" s="463" t="s">
        <v>660</v>
      </c>
      <c r="B235" s="464" t="s">
        <v>970</v>
      </c>
      <c r="C235" s="464" t="s">
        <v>661</v>
      </c>
      <c r="D235" s="464"/>
      <c r="E235" s="465">
        <v>125000</v>
      </c>
      <c r="F235" s="465">
        <v>120000</v>
      </c>
    </row>
    <row r="236" spans="1:6">
      <c r="A236" s="467" t="s">
        <v>188</v>
      </c>
      <c r="B236" s="468" t="s">
        <v>970</v>
      </c>
      <c r="C236" s="468" t="s">
        <v>661</v>
      </c>
      <c r="D236" s="468" t="s">
        <v>515</v>
      </c>
      <c r="E236" s="469">
        <v>125000</v>
      </c>
      <c r="F236" s="469">
        <v>120000</v>
      </c>
    </row>
    <row r="237" spans="1:6" ht="22.5">
      <c r="A237" s="463" t="s">
        <v>484</v>
      </c>
      <c r="B237" s="464" t="s">
        <v>970</v>
      </c>
      <c r="C237" s="464" t="s">
        <v>485</v>
      </c>
      <c r="D237" s="464"/>
      <c r="E237" s="465">
        <v>1194000</v>
      </c>
      <c r="F237" s="465">
        <v>1127000</v>
      </c>
    </row>
    <row r="238" spans="1:6">
      <c r="A238" s="467" t="s">
        <v>1442</v>
      </c>
      <c r="B238" s="468" t="s">
        <v>970</v>
      </c>
      <c r="C238" s="468" t="s">
        <v>485</v>
      </c>
      <c r="D238" s="468" t="s">
        <v>1443</v>
      </c>
      <c r="E238" s="469">
        <v>1194000</v>
      </c>
      <c r="F238" s="469">
        <v>1127000</v>
      </c>
    </row>
    <row r="239" spans="1:6" ht="78.75">
      <c r="A239" s="463" t="s">
        <v>662</v>
      </c>
      <c r="B239" s="464" t="s">
        <v>973</v>
      </c>
      <c r="C239" s="464"/>
      <c r="D239" s="464"/>
      <c r="E239" s="465">
        <v>172000</v>
      </c>
      <c r="F239" s="465">
        <v>171996</v>
      </c>
    </row>
    <row r="240" spans="1:6" ht="22.5">
      <c r="A240" s="463" t="s">
        <v>456</v>
      </c>
      <c r="B240" s="464" t="s">
        <v>973</v>
      </c>
      <c r="C240" s="464" t="s">
        <v>457</v>
      </c>
      <c r="D240" s="464"/>
      <c r="E240" s="465">
        <v>172000</v>
      </c>
      <c r="F240" s="465">
        <v>171996</v>
      </c>
    </row>
    <row r="241" spans="1:6">
      <c r="A241" s="467" t="s">
        <v>188</v>
      </c>
      <c r="B241" s="468" t="s">
        <v>973</v>
      </c>
      <c r="C241" s="468" t="s">
        <v>457</v>
      </c>
      <c r="D241" s="468" t="s">
        <v>515</v>
      </c>
      <c r="E241" s="469">
        <v>172000</v>
      </c>
      <c r="F241" s="469">
        <v>171996</v>
      </c>
    </row>
    <row r="242" spans="1:6" ht="101.25">
      <c r="A242" s="466" t="s">
        <v>2617</v>
      </c>
      <c r="B242" s="464" t="s">
        <v>1809</v>
      </c>
      <c r="C242" s="464"/>
      <c r="D242" s="464"/>
      <c r="E242" s="465">
        <v>106823663.55</v>
      </c>
      <c r="F242" s="465">
        <v>106823663.55</v>
      </c>
    </row>
    <row r="243" spans="1:6" ht="33.75">
      <c r="A243" s="463" t="s">
        <v>445</v>
      </c>
      <c r="B243" s="464" t="s">
        <v>1809</v>
      </c>
      <c r="C243" s="464" t="s">
        <v>446</v>
      </c>
      <c r="D243" s="464"/>
      <c r="E243" s="465">
        <v>9098781.9399999995</v>
      </c>
      <c r="F243" s="465">
        <v>9098781.9399999995</v>
      </c>
    </row>
    <row r="244" spans="1:6">
      <c r="A244" s="467" t="s">
        <v>187</v>
      </c>
      <c r="B244" s="468" t="s">
        <v>1809</v>
      </c>
      <c r="C244" s="468" t="s">
        <v>446</v>
      </c>
      <c r="D244" s="468" t="s">
        <v>528</v>
      </c>
      <c r="E244" s="469">
        <v>8226825.9400000004</v>
      </c>
      <c r="F244" s="469">
        <v>8226825.9400000004</v>
      </c>
    </row>
    <row r="245" spans="1:6">
      <c r="A245" s="467" t="s">
        <v>188</v>
      </c>
      <c r="B245" s="468" t="s">
        <v>1809</v>
      </c>
      <c r="C245" s="468" t="s">
        <v>446</v>
      </c>
      <c r="D245" s="468" t="s">
        <v>515</v>
      </c>
      <c r="E245" s="469">
        <v>871956</v>
      </c>
      <c r="F245" s="469">
        <v>871956</v>
      </c>
    </row>
    <row r="246" spans="1:6" ht="45">
      <c r="A246" s="463" t="s">
        <v>1748</v>
      </c>
      <c r="B246" s="464" t="s">
        <v>1809</v>
      </c>
      <c r="C246" s="464" t="s">
        <v>1749</v>
      </c>
      <c r="D246" s="464"/>
      <c r="E246" s="465">
        <v>97724881.609999999</v>
      </c>
      <c r="F246" s="465">
        <v>97724881.609999999</v>
      </c>
    </row>
    <row r="247" spans="1:6">
      <c r="A247" s="467" t="s">
        <v>187</v>
      </c>
      <c r="B247" s="468" t="s">
        <v>1809</v>
      </c>
      <c r="C247" s="468" t="s">
        <v>1749</v>
      </c>
      <c r="D247" s="468" t="s">
        <v>528</v>
      </c>
      <c r="E247" s="469">
        <v>59820377.25</v>
      </c>
      <c r="F247" s="469">
        <v>59820377.25</v>
      </c>
    </row>
    <row r="248" spans="1:6">
      <c r="A248" s="467" t="s">
        <v>188</v>
      </c>
      <c r="B248" s="468" t="s">
        <v>1809</v>
      </c>
      <c r="C248" s="468" t="s">
        <v>1749</v>
      </c>
      <c r="D248" s="468" t="s">
        <v>515</v>
      </c>
      <c r="E248" s="469">
        <v>37904504.359999999</v>
      </c>
      <c r="F248" s="469">
        <v>37904504.359999999</v>
      </c>
    </row>
    <row r="249" spans="1:6" ht="90">
      <c r="A249" s="466" t="s">
        <v>2618</v>
      </c>
      <c r="B249" s="464" t="s">
        <v>905</v>
      </c>
      <c r="C249" s="464"/>
      <c r="D249" s="464"/>
      <c r="E249" s="465">
        <v>2341430.98</v>
      </c>
      <c r="F249" s="465">
        <v>2341430.98</v>
      </c>
    </row>
    <row r="250" spans="1:6" ht="45">
      <c r="A250" s="463" t="s">
        <v>1748</v>
      </c>
      <c r="B250" s="464" t="s">
        <v>905</v>
      </c>
      <c r="C250" s="464" t="s">
        <v>1749</v>
      </c>
      <c r="D250" s="464"/>
      <c r="E250" s="465">
        <v>2341430.98</v>
      </c>
      <c r="F250" s="465">
        <v>2341430.98</v>
      </c>
    </row>
    <row r="251" spans="1:6">
      <c r="A251" s="467" t="s">
        <v>187</v>
      </c>
      <c r="B251" s="468" t="s">
        <v>905</v>
      </c>
      <c r="C251" s="468" t="s">
        <v>1749</v>
      </c>
      <c r="D251" s="468" t="s">
        <v>528</v>
      </c>
      <c r="E251" s="469">
        <v>2334611.7599999998</v>
      </c>
      <c r="F251" s="469">
        <v>2334611.7599999998</v>
      </c>
    </row>
    <row r="252" spans="1:6">
      <c r="A252" s="467" t="s">
        <v>188</v>
      </c>
      <c r="B252" s="468" t="s">
        <v>905</v>
      </c>
      <c r="C252" s="468" t="s">
        <v>1749</v>
      </c>
      <c r="D252" s="468" t="s">
        <v>515</v>
      </c>
      <c r="E252" s="469">
        <v>6819.22</v>
      </c>
      <c r="F252" s="469">
        <v>6819.22</v>
      </c>
    </row>
    <row r="253" spans="1:6" ht="90">
      <c r="A253" s="463" t="s">
        <v>1769</v>
      </c>
      <c r="B253" s="464" t="s">
        <v>1770</v>
      </c>
      <c r="C253" s="464"/>
      <c r="D253" s="464"/>
      <c r="E253" s="465">
        <v>131600</v>
      </c>
      <c r="F253" s="465">
        <v>131600</v>
      </c>
    </row>
    <row r="254" spans="1:6" ht="33.75">
      <c r="A254" s="463" t="s">
        <v>1617</v>
      </c>
      <c r="B254" s="464" t="s">
        <v>1770</v>
      </c>
      <c r="C254" s="464" t="s">
        <v>509</v>
      </c>
      <c r="D254" s="464"/>
      <c r="E254" s="465">
        <v>20800</v>
      </c>
      <c r="F254" s="465">
        <v>20800</v>
      </c>
    </row>
    <row r="255" spans="1:6">
      <c r="A255" s="467" t="s">
        <v>188</v>
      </c>
      <c r="B255" s="468" t="s">
        <v>1770</v>
      </c>
      <c r="C255" s="468" t="s">
        <v>509</v>
      </c>
      <c r="D255" s="468" t="s">
        <v>515</v>
      </c>
      <c r="E255" s="469">
        <v>20800</v>
      </c>
      <c r="F255" s="469">
        <v>20800</v>
      </c>
    </row>
    <row r="256" spans="1:6" ht="33.75">
      <c r="A256" s="463" t="s">
        <v>445</v>
      </c>
      <c r="B256" s="464" t="s">
        <v>1770</v>
      </c>
      <c r="C256" s="464" t="s">
        <v>446</v>
      </c>
      <c r="D256" s="464"/>
      <c r="E256" s="465">
        <v>110800</v>
      </c>
      <c r="F256" s="465">
        <v>110800</v>
      </c>
    </row>
    <row r="257" spans="1:6">
      <c r="A257" s="467" t="s">
        <v>188</v>
      </c>
      <c r="B257" s="468" t="s">
        <v>1770</v>
      </c>
      <c r="C257" s="468" t="s">
        <v>446</v>
      </c>
      <c r="D257" s="468" t="s">
        <v>515</v>
      </c>
      <c r="E257" s="469">
        <v>110800</v>
      </c>
      <c r="F257" s="469">
        <v>110800</v>
      </c>
    </row>
    <row r="258" spans="1:6" ht="67.5">
      <c r="A258" s="463" t="s">
        <v>749</v>
      </c>
      <c r="B258" s="464" t="s">
        <v>972</v>
      </c>
      <c r="C258" s="464"/>
      <c r="D258" s="464"/>
      <c r="E258" s="465">
        <v>35000</v>
      </c>
      <c r="F258" s="465">
        <v>34541.5</v>
      </c>
    </row>
    <row r="259" spans="1:6" ht="33.75">
      <c r="A259" s="463" t="s">
        <v>445</v>
      </c>
      <c r="B259" s="464" t="s">
        <v>972</v>
      </c>
      <c r="C259" s="464" t="s">
        <v>446</v>
      </c>
      <c r="D259" s="464"/>
      <c r="E259" s="465">
        <v>35000</v>
      </c>
      <c r="F259" s="465">
        <v>34541.5</v>
      </c>
    </row>
    <row r="260" spans="1:6">
      <c r="A260" s="467" t="s">
        <v>188</v>
      </c>
      <c r="B260" s="468" t="s">
        <v>972</v>
      </c>
      <c r="C260" s="468" t="s">
        <v>446</v>
      </c>
      <c r="D260" s="468" t="s">
        <v>515</v>
      </c>
      <c r="E260" s="469">
        <v>35000</v>
      </c>
      <c r="F260" s="469">
        <v>34541.5</v>
      </c>
    </row>
    <row r="261" spans="1:6" ht="101.25">
      <c r="A261" s="466" t="s">
        <v>2619</v>
      </c>
      <c r="B261" s="464" t="s">
        <v>1864</v>
      </c>
      <c r="C261" s="464"/>
      <c r="D261" s="464"/>
      <c r="E261" s="465">
        <v>30073</v>
      </c>
      <c r="F261" s="465">
        <v>30073</v>
      </c>
    </row>
    <row r="262" spans="1:6" ht="45">
      <c r="A262" s="463" t="s">
        <v>461</v>
      </c>
      <c r="B262" s="464" t="s">
        <v>1864</v>
      </c>
      <c r="C262" s="464" t="s">
        <v>462</v>
      </c>
      <c r="D262" s="464"/>
      <c r="E262" s="465">
        <v>30073</v>
      </c>
      <c r="F262" s="465">
        <v>30073</v>
      </c>
    </row>
    <row r="263" spans="1:6">
      <c r="A263" s="467" t="s">
        <v>188</v>
      </c>
      <c r="B263" s="468" t="s">
        <v>1864</v>
      </c>
      <c r="C263" s="468" t="s">
        <v>462</v>
      </c>
      <c r="D263" s="468" t="s">
        <v>515</v>
      </c>
      <c r="E263" s="469">
        <v>30073</v>
      </c>
      <c r="F263" s="469">
        <v>30073</v>
      </c>
    </row>
    <row r="264" spans="1:6" ht="101.25">
      <c r="A264" s="466" t="s">
        <v>2620</v>
      </c>
      <c r="B264" s="464" t="s">
        <v>1858</v>
      </c>
      <c r="C264" s="464"/>
      <c r="D264" s="464"/>
      <c r="E264" s="465">
        <v>2977209</v>
      </c>
      <c r="F264" s="465">
        <v>2977209</v>
      </c>
    </row>
    <row r="265" spans="1:6" ht="45">
      <c r="A265" s="463" t="s">
        <v>461</v>
      </c>
      <c r="B265" s="464" t="s">
        <v>1858</v>
      </c>
      <c r="C265" s="464" t="s">
        <v>462</v>
      </c>
      <c r="D265" s="464"/>
      <c r="E265" s="465">
        <v>2904242.44</v>
      </c>
      <c r="F265" s="465">
        <v>2904242.44</v>
      </c>
    </row>
    <row r="266" spans="1:6">
      <c r="A266" s="467" t="s">
        <v>188</v>
      </c>
      <c r="B266" s="468" t="s">
        <v>1858</v>
      </c>
      <c r="C266" s="468" t="s">
        <v>462</v>
      </c>
      <c r="D266" s="468" t="s">
        <v>515</v>
      </c>
      <c r="E266" s="469">
        <v>2904242.44</v>
      </c>
      <c r="F266" s="469">
        <v>2904242.44</v>
      </c>
    </row>
    <row r="267" spans="1:6" ht="33.75">
      <c r="A267" s="463" t="s">
        <v>445</v>
      </c>
      <c r="B267" s="464" t="s">
        <v>1858</v>
      </c>
      <c r="C267" s="464" t="s">
        <v>446</v>
      </c>
      <c r="D267" s="464"/>
      <c r="E267" s="465">
        <v>72966.559999999998</v>
      </c>
      <c r="F267" s="465">
        <v>72966.559999999998</v>
      </c>
    </row>
    <row r="268" spans="1:6">
      <c r="A268" s="467" t="s">
        <v>188</v>
      </c>
      <c r="B268" s="468" t="s">
        <v>1858</v>
      </c>
      <c r="C268" s="468" t="s">
        <v>446</v>
      </c>
      <c r="D268" s="468" t="s">
        <v>515</v>
      </c>
      <c r="E268" s="469">
        <v>72966.559999999998</v>
      </c>
      <c r="F268" s="469">
        <v>72966.559999999998</v>
      </c>
    </row>
    <row r="269" spans="1:6" ht="101.25">
      <c r="A269" s="466" t="s">
        <v>2696</v>
      </c>
      <c r="B269" s="464" t="s">
        <v>983</v>
      </c>
      <c r="C269" s="464"/>
      <c r="D269" s="464"/>
      <c r="E269" s="465">
        <v>2915402</v>
      </c>
      <c r="F269" s="465">
        <v>2915401.52</v>
      </c>
    </row>
    <row r="270" spans="1:6" ht="33.75">
      <c r="A270" s="463" t="s">
        <v>445</v>
      </c>
      <c r="B270" s="464" t="s">
        <v>983</v>
      </c>
      <c r="C270" s="464" t="s">
        <v>446</v>
      </c>
      <c r="D270" s="464"/>
      <c r="E270" s="465">
        <v>1949543.84</v>
      </c>
      <c r="F270" s="465">
        <v>1949543.36</v>
      </c>
    </row>
    <row r="271" spans="1:6">
      <c r="A271" s="467" t="s">
        <v>1440</v>
      </c>
      <c r="B271" s="468" t="s">
        <v>983</v>
      </c>
      <c r="C271" s="468" t="s">
        <v>446</v>
      </c>
      <c r="D271" s="468" t="s">
        <v>483</v>
      </c>
      <c r="E271" s="469">
        <v>1949543.84</v>
      </c>
      <c r="F271" s="469">
        <v>1949543.36</v>
      </c>
    </row>
    <row r="272" spans="1:6" ht="67.5">
      <c r="A272" s="463" t="s">
        <v>465</v>
      </c>
      <c r="B272" s="464" t="s">
        <v>983</v>
      </c>
      <c r="C272" s="464" t="s">
        <v>466</v>
      </c>
      <c r="D272" s="464"/>
      <c r="E272" s="465">
        <v>965858.16</v>
      </c>
      <c r="F272" s="465">
        <v>965858.16</v>
      </c>
    </row>
    <row r="273" spans="1:6">
      <c r="A273" s="467" t="s">
        <v>1440</v>
      </c>
      <c r="B273" s="468" t="s">
        <v>983</v>
      </c>
      <c r="C273" s="468" t="s">
        <v>466</v>
      </c>
      <c r="D273" s="468" t="s">
        <v>483</v>
      </c>
      <c r="E273" s="469">
        <v>965858.16</v>
      </c>
      <c r="F273" s="469">
        <v>965858.16</v>
      </c>
    </row>
    <row r="274" spans="1:6" ht="101.25">
      <c r="A274" s="466" t="s">
        <v>2682</v>
      </c>
      <c r="B274" s="464" t="s">
        <v>1819</v>
      </c>
      <c r="C274" s="464"/>
      <c r="D274" s="464"/>
      <c r="E274" s="465">
        <v>58000</v>
      </c>
      <c r="F274" s="465">
        <v>58000</v>
      </c>
    </row>
    <row r="275" spans="1:6" ht="45">
      <c r="A275" s="463" t="s">
        <v>461</v>
      </c>
      <c r="B275" s="464" t="s">
        <v>1819</v>
      </c>
      <c r="C275" s="464" t="s">
        <v>462</v>
      </c>
      <c r="D275" s="464"/>
      <c r="E275" s="465">
        <v>58000</v>
      </c>
      <c r="F275" s="465">
        <v>58000</v>
      </c>
    </row>
    <row r="276" spans="1:6">
      <c r="A276" s="467" t="s">
        <v>188</v>
      </c>
      <c r="B276" s="468" t="s">
        <v>1819</v>
      </c>
      <c r="C276" s="468" t="s">
        <v>462</v>
      </c>
      <c r="D276" s="468" t="s">
        <v>515</v>
      </c>
      <c r="E276" s="469">
        <v>58000</v>
      </c>
      <c r="F276" s="469">
        <v>58000</v>
      </c>
    </row>
    <row r="277" spans="1:6" ht="45">
      <c r="A277" s="463" t="s">
        <v>572</v>
      </c>
      <c r="B277" s="464" t="s">
        <v>1597</v>
      </c>
      <c r="C277" s="464"/>
      <c r="D277" s="464"/>
      <c r="E277" s="465">
        <v>1362700</v>
      </c>
      <c r="F277" s="465">
        <v>1232150.6399999999</v>
      </c>
    </row>
    <row r="278" spans="1:6" ht="101.25">
      <c r="A278" s="466" t="s">
        <v>2698</v>
      </c>
      <c r="B278" s="464" t="s">
        <v>1587</v>
      </c>
      <c r="C278" s="464"/>
      <c r="D278" s="464"/>
      <c r="E278" s="465">
        <v>1362700</v>
      </c>
      <c r="F278" s="465">
        <v>1232150.6399999999</v>
      </c>
    </row>
    <row r="279" spans="1:6" ht="22.5">
      <c r="A279" s="463" t="s">
        <v>1165</v>
      </c>
      <c r="B279" s="464" t="s">
        <v>1587</v>
      </c>
      <c r="C279" s="464" t="s">
        <v>440</v>
      </c>
      <c r="D279" s="464"/>
      <c r="E279" s="465">
        <v>741928</v>
      </c>
      <c r="F279" s="465">
        <v>741638.54</v>
      </c>
    </row>
    <row r="280" spans="1:6">
      <c r="A280" s="467" t="s">
        <v>4</v>
      </c>
      <c r="B280" s="468" t="s">
        <v>1587</v>
      </c>
      <c r="C280" s="468" t="s">
        <v>440</v>
      </c>
      <c r="D280" s="468" t="s">
        <v>540</v>
      </c>
      <c r="E280" s="469">
        <v>741928</v>
      </c>
      <c r="F280" s="469">
        <v>741638.54</v>
      </c>
    </row>
    <row r="281" spans="1:6" ht="45">
      <c r="A281" s="463" t="s">
        <v>441</v>
      </c>
      <c r="B281" s="464" t="s">
        <v>1587</v>
      </c>
      <c r="C281" s="464" t="s">
        <v>442</v>
      </c>
      <c r="D281" s="464"/>
      <c r="E281" s="465">
        <v>59254.239999999998</v>
      </c>
      <c r="F281" s="465">
        <v>37958.800000000003</v>
      </c>
    </row>
    <row r="282" spans="1:6">
      <c r="A282" s="467" t="s">
        <v>4</v>
      </c>
      <c r="B282" s="468" t="s">
        <v>1587</v>
      </c>
      <c r="C282" s="468" t="s">
        <v>442</v>
      </c>
      <c r="D282" s="468" t="s">
        <v>540</v>
      </c>
      <c r="E282" s="469">
        <v>59254.239999999998</v>
      </c>
      <c r="F282" s="469">
        <v>37958.800000000003</v>
      </c>
    </row>
    <row r="283" spans="1:6" ht="56.25">
      <c r="A283" s="463" t="s">
        <v>1288</v>
      </c>
      <c r="B283" s="464" t="s">
        <v>1587</v>
      </c>
      <c r="C283" s="464" t="s">
        <v>1289</v>
      </c>
      <c r="D283" s="464"/>
      <c r="E283" s="465">
        <v>224062</v>
      </c>
      <c r="F283" s="465">
        <v>215072.54</v>
      </c>
    </row>
    <row r="284" spans="1:6">
      <c r="A284" s="467" t="s">
        <v>4</v>
      </c>
      <c r="B284" s="468" t="s">
        <v>1587</v>
      </c>
      <c r="C284" s="468" t="s">
        <v>1289</v>
      </c>
      <c r="D284" s="468" t="s">
        <v>540</v>
      </c>
      <c r="E284" s="469">
        <v>224062</v>
      </c>
      <c r="F284" s="469">
        <v>215072.54</v>
      </c>
    </row>
    <row r="285" spans="1:6" ht="33.75">
      <c r="A285" s="463" t="s">
        <v>445</v>
      </c>
      <c r="B285" s="464" t="s">
        <v>1587</v>
      </c>
      <c r="C285" s="464" t="s">
        <v>446</v>
      </c>
      <c r="D285" s="464"/>
      <c r="E285" s="465">
        <v>337455.76</v>
      </c>
      <c r="F285" s="465">
        <v>237480.76</v>
      </c>
    </row>
    <row r="286" spans="1:6">
      <c r="A286" s="467" t="s">
        <v>4</v>
      </c>
      <c r="B286" s="468" t="s">
        <v>1587</v>
      </c>
      <c r="C286" s="468" t="s">
        <v>446</v>
      </c>
      <c r="D286" s="468" t="s">
        <v>540</v>
      </c>
      <c r="E286" s="469">
        <v>337455.76</v>
      </c>
      <c r="F286" s="469">
        <v>237480.76</v>
      </c>
    </row>
    <row r="287" spans="1:6" ht="45">
      <c r="A287" s="463" t="s">
        <v>784</v>
      </c>
      <c r="B287" s="464" t="s">
        <v>1199</v>
      </c>
      <c r="C287" s="464"/>
      <c r="D287" s="464"/>
      <c r="E287" s="465">
        <v>42009194.289999999</v>
      </c>
      <c r="F287" s="465">
        <v>40998643.710000001</v>
      </c>
    </row>
    <row r="288" spans="1:6" ht="101.25">
      <c r="A288" s="466" t="s">
        <v>2699</v>
      </c>
      <c r="B288" s="464" t="s">
        <v>1905</v>
      </c>
      <c r="C288" s="464"/>
      <c r="D288" s="464"/>
      <c r="E288" s="465">
        <v>434100</v>
      </c>
      <c r="F288" s="465">
        <v>424439.27</v>
      </c>
    </row>
    <row r="289" spans="1:6">
      <c r="A289" s="463" t="s">
        <v>1603</v>
      </c>
      <c r="B289" s="464" t="s">
        <v>1905</v>
      </c>
      <c r="C289" s="464" t="s">
        <v>460</v>
      </c>
      <c r="D289" s="464"/>
      <c r="E289" s="465">
        <v>333410</v>
      </c>
      <c r="F289" s="465">
        <v>333105.33</v>
      </c>
    </row>
    <row r="290" spans="1:6">
      <c r="A290" s="467" t="s">
        <v>4</v>
      </c>
      <c r="B290" s="468" t="s">
        <v>1905</v>
      </c>
      <c r="C290" s="468" t="s">
        <v>460</v>
      </c>
      <c r="D290" s="468" t="s">
        <v>540</v>
      </c>
      <c r="E290" s="469">
        <v>333410</v>
      </c>
      <c r="F290" s="469">
        <v>333105.33</v>
      </c>
    </row>
    <row r="291" spans="1:6" ht="45">
      <c r="A291" s="463" t="s">
        <v>1604</v>
      </c>
      <c r="B291" s="464" t="s">
        <v>1905</v>
      </c>
      <c r="C291" s="464" t="s">
        <v>1290</v>
      </c>
      <c r="D291" s="464"/>
      <c r="E291" s="465">
        <v>100690</v>
      </c>
      <c r="F291" s="465">
        <v>91333.94</v>
      </c>
    </row>
    <row r="292" spans="1:6">
      <c r="A292" s="467" t="s">
        <v>4</v>
      </c>
      <c r="B292" s="468" t="s">
        <v>1905</v>
      </c>
      <c r="C292" s="468" t="s">
        <v>1290</v>
      </c>
      <c r="D292" s="468" t="s">
        <v>540</v>
      </c>
      <c r="E292" s="469">
        <v>100690</v>
      </c>
      <c r="F292" s="469">
        <v>91333.94</v>
      </c>
    </row>
    <row r="293" spans="1:6" ht="90">
      <c r="A293" s="463" t="s">
        <v>778</v>
      </c>
      <c r="B293" s="464" t="s">
        <v>1590</v>
      </c>
      <c r="C293" s="464"/>
      <c r="D293" s="464"/>
      <c r="E293" s="465">
        <v>33188114.190000001</v>
      </c>
      <c r="F293" s="465">
        <v>32727591.760000002</v>
      </c>
    </row>
    <row r="294" spans="1:6">
      <c r="A294" s="463" t="s">
        <v>1603</v>
      </c>
      <c r="B294" s="464" t="s">
        <v>1590</v>
      </c>
      <c r="C294" s="464" t="s">
        <v>460</v>
      </c>
      <c r="D294" s="464"/>
      <c r="E294" s="465">
        <v>21688000</v>
      </c>
      <c r="F294" s="465">
        <v>21687983.789999999</v>
      </c>
    </row>
    <row r="295" spans="1:6">
      <c r="A295" s="467" t="s">
        <v>4</v>
      </c>
      <c r="B295" s="468" t="s">
        <v>1590</v>
      </c>
      <c r="C295" s="468" t="s">
        <v>460</v>
      </c>
      <c r="D295" s="468" t="s">
        <v>540</v>
      </c>
      <c r="E295" s="469">
        <v>21688000</v>
      </c>
      <c r="F295" s="469">
        <v>21687983.789999999</v>
      </c>
    </row>
    <row r="296" spans="1:6" ht="33.75">
      <c r="A296" s="463" t="s">
        <v>1617</v>
      </c>
      <c r="B296" s="464" t="s">
        <v>1590</v>
      </c>
      <c r="C296" s="464" t="s">
        <v>509</v>
      </c>
      <c r="D296" s="464"/>
      <c r="E296" s="465">
        <v>280439</v>
      </c>
      <c r="F296" s="465">
        <v>259681.4</v>
      </c>
    </row>
    <row r="297" spans="1:6">
      <c r="A297" s="467" t="s">
        <v>4</v>
      </c>
      <c r="B297" s="468" t="s">
        <v>1590</v>
      </c>
      <c r="C297" s="468" t="s">
        <v>509</v>
      </c>
      <c r="D297" s="468" t="s">
        <v>540</v>
      </c>
      <c r="E297" s="469">
        <v>280439</v>
      </c>
      <c r="F297" s="469">
        <v>259681.4</v>
      </c>
    </row>
    <row r="298" spans="1:6" ht="45">
      <c r="A298" s="463" t="s">
        <v>1604</v>
      </c>
      <c r="B298" s="464" t="s">
        <v>1590</v>
      </c>
      <c r="C298" s="464" t="s">
        <v>1290</v>
      </c>
      <c r="D298" s="464"/>
      <c r="E298" s="465">
        <v>6544446.3600000003</v>
      </c>
      <c r="F298" s="465">
        <v>6525059.8600000003</v>
      </c>
    </row>
    <row r="299" spans="1:6">
      <c r="A299" s="467" t="s">
        <v>4</v>
      </c>
      <c r="B299" s="468" t="s">
        <v>1590</v>
      </c>
      <c r="C299" s="468" t="s">
        <v>1290</v>
      </c>
      <c r="D299" s="468" t="s">
        <v>540</v>
      </c>
      <c r="E299" s="469">
        <v>6544446.3600000003</v>
      </c>
      <c r="F299" s="469">
        <v>6525059.8600000003</v>
      </c>
    </row>
    <row r="300" spans="1:6" ht="45">
      <c r="A300" s="463" t="s">
        <v>461</v>
      </c>
      <c r="B300" s="464" t="s">
        <v>1590</v>
      </c>
      <c r="C300" s="464" t="s">
        <v>462</v>
      </c>
      <c r="D300" s="464"/>
      <c r="E300" s="465">
        <v>127241</v>
      </c>
      <c r="F300" s="465">
        <v>127241</v>
      </c>
    </row>
    <row r="301" spans="1:6">
      <c r="A301" s="467" t="s">
        <v>4</v>
      </c>
      <c r="B301" s="468" t="s">
        <v>1590</v>
      </c>
      <c r="C301" s="468" t="s">
        <v>462</v>
      </c>
      <c r="D301" s="468" t="s">
        <v>540</v>
      </c>
      <c r="E301" s="469">
        <v>127241</v>
      </c>
      <c r="F301" s="469">
        <v>127241</v>
      </c>
    </row>
    <row r="302" spans="1:6" ht="33.75">
      <c r="A302" s="463" t="s">
        <v>445</v>
      </c>
      <c r="B302" s="464" t="s">
        <v>1590</v>
      </c>
      <c r="C302" s="464" t="s">
        <v>446</v>
      </c>
      <c r="D302" s="464"/>
      <c r="E302" s="465">
        <v>4517338.5599999996</v>
      </c>
      <c r="F302" s="465">
        <v>4098076.44</v>
      </c>
    </row>
    <row r="303" spans="1:6">
      <c r="A303" s="467" t="s">
        <v>4</v>
      </c>
      <c r="B303" s="468" t="s">
        <v>1590</v>
      </c>
      <c r="C303" s="468" t="s">
        <v>446</v>
      </c>
      <c r="D303" s="468" t="s">
        <v>540</v>
      </c>
      <c r="E303" s="469">
        <v>4517338.5599999996</v>
      </c>
      <c r="F303" s="469">
        <v>4098076.44</v>
      </c>
    </row>
    <row r="304" spans="1:6" ht="45">
      <c r="A304" s="463" t="s">
        <v>1758</v>
      </c>
      <c r="B304" s="464" t="s">
        <v>1590</v>
      </c>
      <c r="C304" s="464" t="s">
        <v>552</v>
      </c>
      <c r="D304" s="464"/>
      <c r="E304" s="465">
        <v>14219.63</v>
      </c>
      <c r="F304" s="465">
        <v>14219.63</v>
      </c>
    </row>
    <row r="305" spans="1:6">
      <c r="A305" s="467" t="s">
        <v>4</v>
      </c>
      <c r="B305" s="468" t="s">
        <v>1590</v>
      </c>
      <c r="C305" s="468" t="s">
        <v>552</v>
      </c>
      <c r="D305" s="468" t="s">
        <v>540</v>
      </c>
      <c r="E305" s="469">
        <v>14219.63</v>
      </c>
      <c r="F305" s="469">
        <v>14219.63</v>
      </c>
    </row>
    <row r="306" spans="1:6">
      <c r="A306" s="463" t="s">
        <v>1168</v>
      </c>
      <c r="B306" s="464" t="s">
        <v>1590</v>
      </c>
      <c r="C306" s="464" t="s">
        <v>626</v>
      </c>
      <c r="D306" s="464"/>
      <c r="E306" s="465">
        <v>1600</v>
      </c>
      <c r="F306" s="465">
        <v>1600</v>
      </c>
    </row>
    <row r="307" spans="1:6">
      <c r="A307" s="467" t="s">
        <v>4</v>
      </c>
      <c r="B307" s="468" t="s">
        <v>1590</v>
      </c>
      <c r="C307" s="468" t="s">
        <v>626</v>
      </c>
      <c r="D307" s="468" t="s">
        <v>540</v>
      </c>
      <c r="E307" s="469">
        <v>1600</v>
      </c>
      <c r="F307" s="469">
        <v>1600</v>
      </c>
    </row>
    <row r="308" spans="1:6">
      <c r="A308" s="463" t="s">
        <v>1293</v>
      </c>
      <c r="B308" s="464" t="s">
        <v>1590</v>
      </c>
      <c r="C308" s="464" t="s">
        <v>1294</v>
      </c>
      <c r="D308" s="464"/>
      <c r="E308" s="465">
        <v>14829.64</v>
      </c>
      <c r="F308" s="465">
        <v>13729.64</v>
      </c>
    </row>
    <row r="309" spans="1:6">
      <c r="A309" s="467" t="s">
        <v>4</v>
      </c>
      <c r="B309" s="468" t="s">
        <v>1590</v>
      </c>
      <c r="C309" s="468" t="s">
        <v>1294</v>
      </c>
      <c r="D309" s="468" t="s">
        <v>540</v>
      </c>
      <c r="E309" s="469">
        <v>14829.64</v>
      </c>
      <c r="F309" s="469">
        <v>13729.64</v>
      </c>
    </row>
    <row r="310" spans="1:6" ht="101.25">
      <c r="A310" s="466" t="s">
        <v>2700</v>
      </c>
      <c r="B310" s="464" t="s">
        <v>1596</v>
      </c>
      <c r="C310" s="464"/>
      <c r="D310" s="464"/>
      <c r="E310" s="465">
        <v>613367</v>
      </c>
      <c r="F310" s="465">
        <v>603571.11</v>
      </c>
    </row>
    <row r="311" spans="1:6">
      <c r="A311" s="463" t="s">
        <v>1603</v>
      </c>
      <c r="B311" s="464" t="s">
        <v>1596</v>
      </c>
      <c r="C311" s="464" t="s">
        <v>460</v>
      </c>
      <c r="D311" s="464"/>
      <c r="E311" s="465">
        <v>471096</v>
      </c>
      <c r="F311" s="465">
        <v>468635.64</v>
      </c>
    </row>
    <row r="312" spans="1:6">
      <c r="A312" s="467" t="s">
        <v>4</v>
      </c>
      <c r="B312" s="468" t="s">
        <v>1596</v>
      </c>
      <c r="C312" s="468" t="s">
        <v>460</v>
      </c>
      <c r="D312" s="468" t="s">
        <v>540</v>
      </c>
      <c r="E312" s="469">
        <v>471096</v>
      </c>
      <c r="F312" s="469">
        <v>468635.64</v>
      </c>
    </row>
    <row r="313" spans="1:6" ht="45">
      <c r="A313" s="463" t="s">
        <v>1604</v>
      </c>
      <c r="B313" s="464" t="s">
        <v>1596</v>
      </c>
      <c r="C313" s="464" t="s">
        <v>1290</v>
      </c>
      <c r="D313" s="464"/>
      <c r="E313" s="465">
        <v>142271</v>
      </c>
      <c r="F313" s="465">
        <v>134935.47</v>
      </c>
    </row>
    <row r="314" spans="1:6">
      <c r="A314" s="467" t="s">
        <v>4</v>
      </c>
      <c r="B314" s="468" t="s">
        <v>1596</v>
      </c>
      <c r="C314" s="468" t="s">
        <v>1290</v>
      </c>
      <c r="D314" s="468" t="s">
        <v>540</v>
      </c>
      <c r="E314" s="469">
        <v>142271</v>
      </c>
      <c r="F314" s="469">
        <v>134935.47</v>
      </c>
    </row>
    <row r="315" spans="1:6" ht="101.25">
      <c r="A315" s="466" t="s">
        <v>2701</v>
      </c>
      <c r="B315" s="464" t="s">
        <v>1591</v>
      </c>
      <c r="C315" s="464"/>
      <c r="D315" s="464"/>
      <c r="E315" s="465">
        <v>1060000</v>
      </c>
      <c r="F315" s="465">
        <v>934898.79</v>
      </c>
    </row>
    <row r="316" spans="1:6">
      <c r="A316" s="463" t="s">
        <v>1603</v>
      </c>
      <c r="B316" s="464" t="s">
        <v>1591</v>
      </c>
      <c r="C316" s="464" t="s">
        <v>460</v>
      </c>
      <c r="D316" s="464"/>
      <c r="E316" s="465">
        <v>815000</v>
      </c>
      <c r="F316" s="465">
        <v>722675.89</v>
      </c>
    </row>
    <row r="317" spans="1:6">
      <c r="A317" s="467" t="s">
        <v>4</v>
      </c>
      <c r="B317" s="468" t="s">
        <v>1591</v>
      </c>
      <c r="C317" s="468" t="s">
        <v>460</v>
      </c>
      <c r="D317" s="468" t="s">
        <v>540</v>
      </c>
      <c r="E317" s="469">
        <v>815000</v>
      </c>
      <c r="F317" s="469">
        <v>722675.89</v>
      </c>
    </row>
    <row r="318" spans="1:6" ht="45">
      <c r="A318" s="463" t="s">
        <v>1604</v>
      </c>
      <c r="B318" s="464" t="s">
        <v>1591</v>
      </c>
      <c r="C318" s="464" t="s">
        <v>1290</v>
      </c>
      <c r="D318" s="464"/>
      <c r="E318" s="465">
        <v>245000</v>
      </c>
      <c r="F318" s="465">
        <v>212222.9</v>
      </c>
    </row>
    <row r="319" spans="1:6">
      <c r="A319" s="467" t="s">
        <v>4</v>
      </c>
      <c r="B319" s="468" t="s">
        <v>1591</v>
      </c>
      <c r="C319" s="468" t="s">
        <v>1290</v>
      </c>
      <c r="D319" s="468" t="s">
        <v>540</v>
      </c>
      <c r="E319" s="469">
        <v>245000</v>
      </c>
      <c r="F319" s="469">
        <v>212222.9</v>
      </c>
    </row>
    <row r="320" spans="1:6" ht="90">
      <c r="A320" s="466" t="s">
        <v>2702</v>
      </c>
      <c r="B320" s="464" t="s">
        <v>1592</v>
      </c>
      <c r="C320" s="464"/>
      <c r="D320" s="464"/>
      <c r="E320" s="465">
        <v>349589.37</v>
      </c>
      <c r="F320" s="465">
        <v>349589.37</v>
      </c>
    </row>
    <row r="321" spans="1:6" ht="33.75">
      <c r="A321" s="463" t="s">
        <v>1617</v>
      </c>
      <c r="B321" s="464" t="s">
        <v>1592</v>
      </c>
      <c r="C321" s="464" t="s">
        <v>509</v>
      </c>
      <c r="D321" s="464"/>
      <c r="E321" s="465">
        <v>349589.37</v>
      </c>
      <c r="F321" s="465">
        <v>349589.37</v>
      </c>
    </row>
    <row r="322" spans="1:6">
      <c r="A322" s="467" t="s">
        <v>4</v>
      </c>
      <c r="B322" s="468" t="s">
        <v>1592</v>
      </c>
      <c r="C322" s="468" t="s">
        <v>509</v>
      </c>
      <c r="D322" s="468" t="s">
        <v>540</v>
      </c>
      <c r="E322" s="469">
        <v>349589.37</v>
      </c>
      <c r="F322" s="469">
        <v>349589.37</v>
      </c>
    </row>
    <row r="323" spans="1:6" ht="90">
      <c r="A323" s="463" t="s">
        <v>781</v>
      </c>
      <c r="B323" s="464" t="s">
        <v>1593</v>
      </c>
      <c r="C323" s="464"/>
      <c r="D323" s="464"/>
      <c r="E323" s="465">
        <v>161802.51999999999</v>
      </c>
      <c r="F323" s="465">
        <v>114632.99</v>
      </c>
    </row>
    <row r="324" spans="1:6" ht="33.75">
      <c r="A324" s="463" t="s">
        <v>445</v>
      </c>
      <c r="B324" s="464" t="s">
        <v>1593</v>
      </c>
      <c r="C324" s="464" t="s">
        <v>446</v>
      </c>
      <c r="D324" s="464"/>
      <c r="E324" s="465">
        <v>161802.51999999999</v>
      </c>
      <c r="F324" s="465">
        <v>114632.99</v>
      </c>
    </row>
    <row r="325" spans="1:6">
      <c r="A325" s="467" t="s">
        <v>4</v>
      </c>
      <c r="B325" s="468" t="s">
        <v>1593</v>
      </c>
      <c r="C325" s="468" t="s">
        <v>446</v>
      </c>
      <c r="D325" s="468" t="s">
        <v>540</v>
      </c>
      <c r="E325" s="469">
        <v>161802.51999999999</v>
      </c>
      <c r="F325" s="469">
        <v>114632.99</v>
      </c>
    </row>
    <row r="326" spans="1:6" ht="78.75">
      <c r="A326" s="463" t="s">
        <v>1192</v>
      </c>
      <c r="B326" s="464" t="s">
        <v>1626</v>
      </c>
      <c r="C326" s="464"/>
      <c r="D326" s="464"/>
      <c r="E326" s="465">
        <v>1142000</v>
      </c>
      <c r="F326" s="465">
        <v>1141640</v>
      </c>
    </row>
    <row r="327" spans="1:6" ht="33.75">
      <c r="A327" s="463" t="s">
        <v>445</v>
      </c>
      <c r="B327" s="464" t="s">
        <v>1626</v>
      </c>
      <c r="C327" s="464" t="s">
        <v>446</v>
      </c>
      <c r="D327" s="464"/>
      <c r="E327" s="465">
        <v>1142000</v>
      </c>
      <c r="F327" s="465">
        <v>1141640</v>
      </c>
    </row>
    <row r="328" spans="1:6">
      <c r="A328" s="467" t="s">
        <v>4</v>
      </c>
      <c r="B328" s="468" t="s">
        <v>1626</v>
      </c>
      <c r="C328" s="468" t="s">
        <v>446</v>
      </c>
      <c r="D328" s="468" t="s">
        <v>540</v>
      </c>
      <c r="E328" s="469">
        <v>1142000</v>
      </c>
      <c r="F328" s="469">
        <v>1141640</v>
      </c>
    </row>
    <row r="329" spans="1:6" ht="101.25">
      <c r="A329" s="466" t="s">
        <v>2703</v>
      </c>
      <c r="B329" s="464" t="s">
        <v>1594</v>
      </c>
      <c r="C329" s="464"/>
      <c r="D329" s="464"/>
      <c r="E329" s="465">
        <v>4433230</v>
      </c>
      <c r="F329" s="465">
        <v>4238759.21</v>
      </c>
    </row>
    <row r="330" spans="1:6" ht="22.5">
      <c r="A330" s="463" t="s">
        <v>1165</v>
      </c>
      <c r="B330" s="464" t="s">
        <v>1594</v>
      </c>
      <c r="C330" s="464" t="s">
        <v>440</v>
      </c>
      <c r="D330" s="464"/>
      <c r="E330" s="465">
        <v>3198410</v>
      </c>
      <c r="F330" s="465">
        <v>3197364.29</v>
      </c>
    </row>
    <row r="331" spans="1:6">
      <c r="A331" s="467" t="s">
        <v>4</v>
      </c>
      <c r="B331" s="468" t="s">
        <v>1594</v>
      </c>
      <c r="C331" s="468" t="s">
        <v>440</v>
      </c>
      <c r="D331" s="468" t="s">
        <v>540</v>
      </c>
      <c r="E331" s="469">
        <v>3198410</v>
      </c>
      <c r="F331" s="469">
        <v>3197364.29</v>
      </c>
    </row>
    <row r="332" spans="1:6" ht="45">
      <c r="A332" s="463" t="s">
        <v>441</v>
      </c>
      <c r="B332" s="464" t="s">
        <v>1594</v>
      </c>
      <c r="C332" s="464" t="s">
        <v>442</v>
      </c>
      <c r="D332" s="464"/>
      <c r="E332" s="465">
        <v>80000</v>
      </c>
      <c r="F332" s="465">
        <v>79097.52</v>
      </c>
    </row>
    <row r="333" spans="1:6">
      <c r="A333" s="467" t="s">
        <v>4</v>
      </c>
      <c r="B333" s="468" t="s">
        <v>1594</v>
      </c>
      <c r="C333" s="468" t="s">
        <v>442</v>
      </c>
      <c r="D333" s="468" t="s">
        <v>540</v>
      </c>
      <c r="E333" s="469">
        <v>80000</v>
      </c>
      <c r="F333" s="469">
        <v>79097.52</v>
      </c>
    </row>
    <row r="334" spans="1:6" ht="56.25">
      <c r="A334" s="463" t="s">
        <v>1288</v>
      </c>
      <c r="B334" s="464" t="s">
        <v>1594</v>
      </c>
      <c r="C334" s="464" t="s">
        <v>1289</v>
      </c>
      <c r="D334" s="464"/>
      <c r="E334" s="465">
        <v>965920</v>
      </c>
      <c r="F334" s="465">
        <v>909987.4</v>
      </c>
    </row>
    <row r="335" spans="1:6">
      <c r="A335" s="467" t="s">
        <v>4</v>
      </c>
      <c r="B335" s="468" t="s">
        <v>1594</v>
      </c>
      <c r="C335" s="468" t="s">
        <v>1289</v>
      </c>
      <c r="D335" s="468" t="s">
        <v>540</v>
      </c>
      <c r="E335" s="469">
        <v>965920</v>
      </c>
      <c r="F335" s="469">
        <v>909987.4</v>
      </c>
    </row>
    <row r="336" spans="1:6" ht="33.75">
      <c r="A336" s="463" t="s">
        <v>445</v>
      </c>
      <c r="B336" s="464" t="s">
        <v>1594</v>
      </c>
      <c r="C336" s="464" t="s">
        <v>446</v>
      </c>
      <c r="D336" s="464"/>
      <c r="E336" s="465">
        <v>188900</v>
      </c>
      <c r="F336" s="465">
        <v>52310</v>
      </c>
    </row>
    <row r="337" spans="1:6">
      <c r="A337" s="467" t="s">
        <v>4</v>
      </c>
      <c r="B337" s="468" t="s">
        <v>1594</v>
      </c>
      <c r="C337" s="468" t="s">
        <v>446</v>
      </c>
      <c r="D337" s="468" t="s">
        <v>540</v>
      </c>
      <c r="E337" s="469">
        <v>188900</v>
      </c>
      <c r="F337" s="469">
        <v>52310</v>
      </c>
    </row>
    <row r="338" spans="1:6" ht="101.25">
      <c r="A338" s="466" t="s">
        <v>2704</v>
      </c>
      <c r="B338" s="464" t="s">
        <v>1595</v>
      </c>
      <c r="C338" s="464"/>
      <c r="D338" s="464"/>
      <c r="E338" s="465">
        <v>50000</v>
      </c>
      <c r="F338" s="465">
        <v>38519</v>
      </c>
    </row>
    <row r="339" spans="1:6" ht="45">
      <c r="A339" s="463" t="s">
        <v>441</v>
      </c>
      <c r="B339" s="464" t="s">
        <v>1595</v>
      </c>
      <c r="C339" s="464" t="s">
        <v>442</v>
      </c>
      <c r="D339" s="464"/>
      <c r="E339" s="465">
        <v>50000</v>
      </c>
      <c r="F339" s="465">
        <v>38519</v>
      </c>
    </row>
    <row r="340" spans="1:6">
      <c r="A340" s="467" t="s">
        <v>4</v>
      </c>
      <c r="B340" s="468" t="s">
        <v>1595</v>
      </c>
      <c r="C340" s="468" t="s">
        <v>442</v>
      </c>
      <c r="D340" s="468" t="s">
        <v>540</v>
      </c>
      <c r="E340" s="469">
        <v>50000</v>
      </c>
      <c r="F340" s="469">
        <v>38519</v>
      </c>
    </row>
    <row r="341" spans="1:6" ht="101.25">
      <c r="A341" s="463" t="s">
        <v>1963</v>
      </c>
      <c r="B341" s="464" t="s">
        <v>1964</v>
      </c>
      <c r="C341" s="464"/>
      <c r="D341" s="464"/>
      <c r="E341" s="465">
        <v>375000</v>
      </c>
      <c r="F341" s="465">
        <v>223011</v>
      </c>
    </row>
    <row r="342" spans="1:6" ht="33.75">
      <c r="A342" s="463" t="s">
        <v>445</v>
      </c>
      <c r="B342" s="464" t="s">
        <v>1964</v>
      </c>
      <c r="C342" s="464" t="s">
        <v>446</v>
      </c>
      <c r="D342" s="464"/>
      <c r="E342" s="465">
        <v>375000</v>
      </c>
      <c r="F342" s="465">
        <v>223011</v>
      </c>
    </row>
    <row r="343" spans="1:6">
      <c r="A343" s="467" t="s">
        <v>4</v>
      </c>
      <c r="B343" s="468" t="s">
        <v>1964</v>
      </c>
      <c r="C343" s="468" t="s">
        <v>446</v>
      </c>
      <c r="D343" s="468" t="s">
        <v>540</v>
      </c>
      <c r="E343" s="469">
        <v>375000</v>
      </c>
      <c r="F343" s="469">
        <v>223011</v>
      </c>
    </row>
    <row r="344" spans="1:6" ht="90">
      <c r="A344" s="463" t="s">
        <v>776</v>
      </c>
      <c r="B344" s="464" t="s">
        <v>1588</v>
      </c>
      <c r="C344" s="464"/>
      <c r="D344" s="464"/>
      <c r="E344" s="465">
        <v>61668.79</v>
      </c>
      <c r="F344" s="465">
        <v>61668.79</v>
      </c>
    </row>
    <row r="345" spans="1:6">
      <c r="A345" s="463" t="s">
        <v>1603</v>
      </c>
      <c r="B345" s="464" t="s">
        <v>1588</v>
      </c>
      <c r="C345" s="464" t="s">
        <v>460</v>
      </c>
      <c r="D345" s="464"/>
      <c r="E345" s="465">
        <v>47108.21</v>
      </c>
      <c r="F345" s="465">
        <v>47108.21</v>
      </c>
    </row>
    <row r="346" spans="1:6">
      <c r="A346" s="467" t="s">
        <v>1440</v>
      </c>
      <c r="B346" s="468" t="s">
        <v>1588</v>
      </c>
      <c r="C346" s="468" t="s">
        <v>460</v>
      </c>
      <c r="D346" s="468" t="s">
        <v>483</v>
      </c>
      <c r="E346" s="469">
        <v>47108.21</v>
      </c>
      <c r="F346" s="469">
        <v>47108.21</v>
      </c>
    </row>
    <row r="347" spans="1:6" ht="45">
      <c r="A347" s="463" t="s">
        <v>1604</v>
      </c>
      <c r="B347" s="464" t="s">
        <v>1588</v>
      </c>
      <c r="C347" s="464" t="s">
        <v>1290</v>
      </c>
      <c r="D347" s="464"/>
      <c r="E347" s="465">
        <v>12860.58</v>
      </c>
      <c r="F347" s="465">
        <v>12860.58</v>
      </c>
    </row>
    <row r="348" spans="1:6">
      <c r="A348" s="467" t="s">
        <v>1440</v>
      </c>
      <c r="B348" s="468" t="s">
        <v>1588</v>
      </c>
      <c r="C348" s="468" t="s">
        <v>1290</v>
      </c>
      <c r="D348" s="468" t="s">
        <v>483</v>
      </c>
      <c r="E348" s="469">
        <v>12860.58</v>
      </c>
      <c r="F348" s="469">
        <v>12860.58</v>
      </c>
    </row>
    <row r="349" spans="1:6" ht="33.75">
      <c r="A349" s="463" t="s">
        <v>445</v>
      </c>
      <c r="B349" s="464" t="s">
        <v>1588</v>
      </c>
      <c r="C349" s="464" t="s">
        <v>446</v>
      </c>
      <c r="D349" s="464"/>
      <c r="E349" s="465">
        <v>1700</v>
      </c>
      <c r="F349" s="465">
        <v>1700</v>
      </c>
    </row>
    <row r="350" spans="1:6">
      <c r="A350" s="467" t="s">
        <v>1440</v>
      </c>
      <c r="B350" s="468" t="s">
        <v>1588</v>
      </c>
      <c r="C350" s="468" t="s">
        <v>446</v>
      </c>
      <c r="D350" s="468" t="s">
        <v>483</v>
      </c>
      <c r="E350" s="469">
        <v>1700</v>
      </c>
      <c r="F350" s="469">
        <v>1700</v>
      </c>
    </row>
    <row r="351" spans="1:6" ht="90">
      <c r="A351" s="466" t="s">
        <v>2697</v>
      </c>
      <c r="B351" s="464" t="s">
        <v>1589</v>
      </c>
      <c r="C351" s="464"/>
      <c r="D351" s="464"/>
      <c r="E351" s="465">
        <v>140322.42000000001</v>
      </c>
      <c r="F351" s="465">
        <v>140322.42000000001</v>
      </c>
    </row>
    <row r="352" spans="1:6" ht="33.75">
      <c r="A352" s="463" t="s">
        <v>445</v>
      </c>
      <c r="B352" s="464" t="s">
        <v>1589</v>
      </c>
      <c r="C352" s="464" t="s">
        <v>446</v>
      </c>
      <c r="D352" s="464"/>
      <c r="E352" s="465">
        <v>140322.42000000001</v>
      </c>
      <c r="F352" s="465">
        <v>140322.42000000001</v>
      </c>
    </row>
    <row r="353" spans="1:6">
      <c r="A353" s="467" t="s">
        <v>1440</v>
      </c>
      <c r="B353" s="468" t="s">
        <v>1589</v>
      </c>
      <c r="C353" s="468" t="s">
        <v>446</v>
      </c>
      <c r="D353" s="468" t="s">
        <v>483</v>
      </c>
      <c r="E353" s="469">
        <v>140322.42000000001</v>
      </c>
      <c r="F353" s="469">
        <v>140322.42000000001</v>
      </c>
    </row>
    <row r="354" spans="1:6" ht="33.75">
      <c r="A354" s="463" t="s">
        <v>752</v>
      </c>
      <c r="B354" s="464" t="s">
        <v>1200</v>
      </c>
      <c r="C354" s="464"/>
      <c r="D354" s="464"/>
      <c r="E354" s="465">
        <v>66486109.670000002</v>
      </c>
      <c r="F354" s="465">
        <v>66484361.57</v>
      </c>
    </row>
    <row r="355" spans="1:6" ht="45">
      <c r="A355" s="463" t="s">
        <v>753</v>
      </c>
      <c r="B355" s="464" t="s">
        <v>1201</v>
      </c>
      <c r="C355" s="464"/>
      <c r="D355" s="464"/>
      <c r="E355" s="465">
        <v>1105309.67</v>
      </c>
      <c r="F355" s="465">
        <v>1105309.67</v>
      </c>
    </row>
    <row r="356" spans="1:6" ht="101.25">
      <c r="A356" s="466" t="s">
        <v>2611</v>
      </c>
      <c r="B356" s="464" t="s">
        <v>896</v>
      </c>
      <c r="C356" s="464"/>
      <c r="D356" s="464"/>
      <c r="E356" s="465">
        <v>1105309.67</v>
      </c>
      <c r="F356" s="465">
        <v>1105309.67</v>
      </c>
    </row>
    <row r="357" spans="1:6" ht="22.5">
      <c r="A357" s="463" t="s">
        <v>494</v>
      </c>
      <c r="B357" s="464" t="s">
        <v>896</v>
      </c>
      <c r="C357" s="464" t="s">
        <v>495</v>
      </c>
      <c r="D357" s="464"/>
      <c r="E357" s="465">
        <v>1105309.67</v>
      </c>
      <c r="F357" s="465">
        <v>1105309.67</v>
      </c>
    </row>
    <row r="358" spans="1:6">
      <c r="A358" s="467" t="s">
        <v>125</v>
      </c>
      <c r="B358" s="468" t="s">
        <v>896</v>
      </c>
      <c r="C358" s="468" t="s">
        <v>495</v>
      </c>
      <c r="D358" s="468" t="s">
        <v>493</v>
      </c>
      <c r="E358" s="469">
        <v>1105309.67</v>
      </c>
      <c r="F358" s="469">
        <v>1105309.67</v>
      </c>
    </row>
    <row r="359" spans="1:6" ht="22.5">
      <c r="A359" s="463" t="s">
        <v>754</v>
      </c>
      <c r="B359" s="464" t="s">
        <v>1202</v>
      </c>
      <c r="C359" s="464"/>
      <c r="D359" s="464"/>
      <c r="E359" s="465">
        <v>337500</v>
      </c>
      <c r="F359" s="465">
        <v>335751.9</v>
      </c>
    </row>
    <row r="360" spans="1:6" ht="101.25">
      <c r="A360" s="466" t="s">
        <v>2622</v>
      </c>
      <c r="B360" s="464" t="s">
        <v>1310</v>
      </c>
      <c r="C360" s="464"/>
      <c r="D360" s="464"/>
      <c r="E360" s="465">
        <v>337500</v>
      </c>
      <c r="F360" s="465">
        <v>335751.9</v>
      </c>
    </row>
    <row r="361" spans="1:6" ht="33.75">
      <c r="A361" s="463" t="s">
        <v>445</v>
      </c>
      <c r="B361" s="464" t="s">
        <v>1310</v>
      </c>
      <c r="C361" s="464" t="s">
        <v>446</v>
      </c>
      <c r="D361" s="464"/>
      <c r="E361" s="465">
        <v>337500</v>
      </c>
      <c r="F361" s="465">
        <v>335751.9</v>
      </c>
    </row>
    <row r="362" spans="1:6">
      <c r="A362" s="467" t="s">
        <v>127</v>
      </c>
      <c r="B362" s="468" t="s">
        <v>1310</v>
      </c>
      <c r="C362" s="468" t="s">
        <v>446</v>
      </c>
      <c r="D362" s="468" t="s">
        <v>496</v>
      </c>
      <c r="E362" s="469">
        <v>337500</v>
      </c>
      <c r="F362" s="469">
        <v>335751.9</v>
      </c>
    </row>
    <row r="363" spans="1:6" ht="33.75">
      <c r="A363" s="463" t="s">
        <v>577</v>
      </c>
      <c r="B363" s="464" t="s">
        <v>1203</v>
      </c>
      <c r="C363" s="464"/>
      <c r="D363" s="464"/>
      <c r="E363" s="465">
        <v>46039251</v>
      </c>
      <c r="F363" s="465">
        <v>46039251</v>
      </c>
    </row>
    <row r="364" spans="1:6" ht="101.25">
      <c r="A364" s="466" t="s">
        <v>2621</v>
      </c>
      <c r="B364" s="464" t="s">
        <v>908</v>
      </c>
      <c r="C364" s="464"/>
      <c r="D364" s="464"/>
      <c r="E364" s="465">
        <v>46039251</v>
      </c>
      <c r="F364" s="465">
        <v>46039251</v>
      </c>
    </row>
    <row r="365" spans="1:6" ht="67.5">
      <c r="A365" s="463" t="s">
        <v>465</v>
      </c>
      <c r="B365" s="464" t="s">
        <v>908</v>
      </c>
      <c r="C365" s="464" t="s">
        <v>466</v>
      </c>
      <c r="D365" s="464"/>
      <c r="E365" s="465">
        <v>46039251</v>
      </c>
      <c r="F365" s="465">
        <v>46039251</v>
      </c>
    </row>
    <row r="366" spans="1:6">
      <c r="A366" s="467" t="s">
        <v>126</v>
      </c>
      <c r="B366" s="468" t="s">
        <v>908</v>
      </c>
      <c r="C366" s="468" t="s">
        <v>466</v>
      </c>
      <c r="D366" s="468" t="s">
        <v>513</v>
      </c>
      <c r="E366" s="469">
        <v>46039251</v>
      </c>
      <c r="F366" s="469">
        <v>46039251</v>
      </c>
    </row>
    <row r="367" spans="1:6" ht="90">
      <c r="A367" s="463" t="s">
        <v>755</v>
      </c>
      <c r="B367" s="464" t="s">
        <v>1204</v>
      </c>
      <c r="C367" s="464"/>
      <c r="D367" s="464"/>
      <c r="E367" s="465">
        <v>19004049</v>
      </c>
      <c r="F367" s="465">
        <v>19004049</v>
      </c>
    </row>
    <row r="368" spans="1:6" ht="101.25">
      <c r="A368" s="466" t="s">
        <v>2623</v>
      </c>
      <c r="B368" s="464" t="s">
        <v>910</v>
      </c>
      <c r="C368" s="464"/>
      <c r="D368" s="464"/>
      <c r="E368" s="465">
        <v>19004049</v>
      </c>
      <c r="F368" s="465">
        <v>19004049</v>
      </c>
    </row>
    <row r="369" spans="1:6" ht="22.5">
      <c r="A369" s="463" t="s">
        <v>1165</v>
      </c>
      <c r="B369" s="464" t="s">
        <v>910</v>
      </c>
      <c r="C369" s="464" t="s">
        <v>440</v>
      </c>
      <c r="D369" s="464"/>
      <c r="E369" s="465">
        <v>11608100</v>
      </c>
      <c r="F369" s="465">
        <v>11608100</v>
      </c>
    </row>
    <row r="370" spans="1:6" ht="22.5">
      <c r="A370" s="467" t="s">
        <v>81</v>
      </c>
      <c r="B370" s="468" t="s">
        <v>910</v>
      </c>
      <c r="C370" s="468" t="s">
        <v>440</v>
      </c>
      <c r="D370" s="468" t="s">
        <v>514</v>
      </c>
      <c r="E370" s="469">
        <v>11608100</v>
      </c>
      <c r="F370" s="469">
        <v>11608100</v>
      </c>
    </row>
    <row r="371" spans="1:6" ht="45">
      <c r="A371" s="463" t="s">
        <v>441</v>
      </c>
      <c r="B371" s="464" t="s">
        <v>910</v>
      </c>
      <c r="C371" s="464" t="s">
        <v>442</v>
      </c>
      <c r="D371" s="464"/>
      <c r="E371" s="465">
        <v>396008.86</v>
      </c>
      <c r="F371" s="465">
        <v>396008.86</v>
      </c>
    </row>
    <row r="372" spans="1:6" ht="22.5">
      <c r="A372" s="467" t="s">
        <v>81</v>
      </c>
      <c r="B372" s="468" t="s">
        <v>910</v>
      </c>
      <c r="C372" s="468" t="s">
        <v>442</v>
      </c>
      <c r="D372" s="468" t="s">
        <v>514</v>
      </c>
      <c r="E372" s="469">
        <v>396008.86</v>
      </c>
      <c r="F372" s="469">
        <v>396008.86</v>
      </c>
    </row>
    <row r="373" spans="1:6" ht="56.25">
      <c r="A373" s="463" t="s">
        <v>1288</v>
      </c>
      <c r="B373" s="464" t="s">
        <v>910</v>
      </c>
      <c r="C373" s="464" t="s">
        <v>1289</v>
      </c>
      <c r="D373" s="464"/>
      <c r="E373" s="465">
        <v>3496325.4</v>
      </c>
      <c r="F373" s="465">
        <v>3496325.4</v>
      </c>
    </row>
    <row r="374" spans="1:6" ht="22.5">
      <c r="A374" s="467" t="s">
        <v>81</v>
      </c>
      <c r="B374" s="468" t="s">
        <v>910</v>
      </c>
      <c r="C374" s="468" t="s">
        <v>1289</v>
      </c>
      <c r="D374" s="468" t="s">
        <v>514</v>
      </c>
      <c r="E374" s="469">
        <v>3496325.4</v>
      </c>
      <c r="F374" s="469">
        <v>3496325.4</v>
      </c>
    </row>
    <row r="375" spans="1:6" ht="33.75">
      <c r="A375" s="463" t="s">
        <v>445</v>
      </c>
      <c r="B375" s="464" t="s">
        <v>910</v>
      </c>
      <c r="C375" s="464" t="s">
        <v>446</v>
      </c>
      <c r="D375" s="464"/>
      <c r="E375" s="465">
        <v>3496236.08</v>
      </c>
      <c r="F375" s="465">
        <v>3496236.08</v>
      </c>
    </row>
    <row r="376" spans="1:6" ht="22.5">
      <c r="A376" s="467" t="s">
        <v>81</v>
      </c>
      <c r="B376" s="468" t="s">
        <v>910</v>
      </c>
      <c r="C376" s="468" t="s">
        <v>446</v>
      </c>
      <c r="D376" s="468" t="s">
        <v>514</v>
      </c>
      <c r="E376" s="469">
        <v>3496236.08</v>
      </c>
      <c r="F376" s="469">
        <v>3496236.08</v>
      </c>
    </row>
    <row r="377" spans="1:6">
      <c r="A377" s="463" t="s">
        <v>1168</v>
      </c>
      <c r="B377" s="464" t="s">
        <v>910</v>
      </c>
      <c r="C377" s="464" t="s">
        <v>626</v>
      </c>
      <c r="D377" s="464"/>
      <c r="E377" s="465">
        <v>5450</v>
      </c>
      <c r="F377" s="465">
        <v>5450</v>
      </c>
    </row>
    <row r="378" spans="1:6" ht="22.5">
      <c r="A378" s="467" t="s">
        <v>81</v>
      </c>
      <c r="B378" s="468" t="s">
        <v>910</v>
      </c>
      <c r="C378" s="468" t="s">
        <v>626</v>
      </c>
      <c r="D378" s="468" t="s">
        <v>514</v>
      </c>
      <c r="E378" s="469">
        <v>5450</v>
      </c>
      <c r="F378" s="469">
        <v>5450</v>
      </c>
    </row>
    <row r="379" spans="1:6">
      <c r="A379" s="463" t="s">
        <v>1293</v>
      </c>
      <c r="B379" s="464" t="s">
        <v>910</v>
      </c>
      <c r="C379" s="464" t="s">
        <v>1294</v>
      </c>
      <c r="D379" s="464"/>
      <c r="E379" s="465">
        <v>1928.66</v>
      </c>
      <c r="F379" s="465">
        <v>1928.66</v>
      </c>
    </row>
    <row r="380" spans="1:6" ht="22.5">
      <c r="A380" s="467" t="s">
        <v>81</v>
      </c>
      <c r="B380" s="468" t="s">
        <v>910</v>
      </c>
      <c r="C380" s="468" t="s">
        <v>1294</v>
      </c>
      <c r="D380" s="468" t="s">
        <v>514</v>
      </c>
      <c r="E380" s="469">
        <v>1928.66</v>
      </c>
      <c r="F380" s="469">
        <v>1928.66</v>
      </c>
    </row>
    <row r="381" spans="1:6" ht="56.25">
      <c r="A381" s="463" t="s">
        <v>579</v>
      </c>
      <c r="B381" s="464" t="s">
        <v>1205</v>
      </c>
      <c r="C381" s="464"/>
      <c r="D381" s="464"/>
      <c r="E381" s="465">
        <v>262479397.11000001</v>
      </c>
      <c r="F381" s="465">
        <v>242340829.47</v>
      </c>
    </row>
    <row r="382" spans="1:6" ht="45">
      <c r="A382" s="463" t="s">
        <v>756</v>
      </c>
      <c r="B382" s="464" t="s">
        <v>1206</v>
      </c>
      <c r="C382" s="464"/>
      <c r="D382" s="464"/>
      <c r="E382" s="465">
        <v>211585700</v>
      </c>
      <c r="F382" s="465">
        <v>208143307.06</v>
      </c>
    </row>
    <row r="383" spans="1:6" ht="101.25">
      <c r="A383" s="466" t="s">
        <v>2602</v>
      </c>
      <c r="B383" s="464" t="s">
        <v>1978</v>
      </c>
      <c r="C383" s="464"/>
      <c r="D383" s="464"/>
      <c r="E383" s="465">
        <v>5756900</v>
      </c>
      <c r="F383" s="465">
        <v>5399994.2800000003</v>
      </c>
    </row>
    <row r="384" spans="1:6" ht="56.25">
      <c r="A384" s="463" t="s">
        <v>1740</v>
      </c>
      <c r="B384" s="464" t="s">
        <v>1978</v>
      </c>
      <c r="C384" s="464" t="s">
        <v>1741</v>
      </c>
      <c r="D384" s="464"/>
      <c r="E384" s="465">
        <v>5756900</v>
      </c>
      <c r="F384" s="465">
        <v>5399994.2800000003</v>
      </c>
    </row>
    <row r="385" spans="1:6">
      <c r="A385" s="467" t="s">
        <v>181</v>
      </c>
      <c r="B385" s="468" t="s">
        <v>1978</v>
      </c>
      <c r="C385" s="468" t="s">
        <v>1741</v>
      </c>
      <c r="D385" s="468" t="s">
        <v>482</v>
      </c>
      <c r="E385" s="469">
        <v>5756900</v>
      </c>
      <c r="F385" s="469">
        <v>5399994.2800000003</v>
      </c>
    </row>
    <row r="386" spans="1:6" ht="101.25">
      <c r="A386" s="466" t="s">
        <v>2603</v>
      </c>
      <c r="B386" s="464" t="s">
        <v>888</v>
      </c>
      <c r="C386" s="464"/>
      <c r="D386" s="464"/>
      <c r="E386" s="465">
        <v>190198400</v>
      </c>
      <c r="F386" s="465">
        <v>187181212.78</v>
      </c>
    </row>
    <row r="387" spans="1:6">
      <c r="A387" s="463" t="s">
        <v>1603</v>
      </c>
      <c r="B387" s="464" t="s">
        <v>888</v>
      </c>
      <c r="C387" s="464" t="s">
        <v>460</v>
      </c>
      <c r="D387" s="464"/>
      <c r="E387" s="465">
        <v>800853.58</v>
      </c>
      <c r="F387" s="465">
        <v>653512.30000000005</v>
      </c>
    </row>
    <row r="388" spans="1:6">
      <c r="A388" s="467" t="s">
        <v>181</v>
      </c>
      <c r="B388" s="468" t="s">
        <v>888</v>
      </c>
      <c r="C388" s="468" t="s">
        <v>460</v>
      </c>
      <c r="D388" s="468" t="s">
        <v>482</v>
      </c>
      <c r="E388" s="469">
        <v>800853.58</v>
      </c>
      <c r="F388" s="469">
        <v>653512.30000000005</v>
      </c>
    </row>
    <row r="389" spans="1:6" ht="45">
      <c r="A389" s="463" t="s">
        <v>1604</v>
      </c>
      <c r="B389" s="464" t="s">
        <v>888</v>
      </c>
      <c r="C389" s="464" t="s">
        <v>1290</v>
      </c>
      <c r="D389" s="464"/>
      <c r="E389" s="465">
        <v>241124.55</v>
      </c>
      <c r="F389" s="465">
        <v>178286.61</v>
      </c>
    </row>
    <row r="390" spans="1:6">
      <c r="A390" s="467" t="s">
        <v>181</v>
      </c>
      <c r="B390" s="468" t="s">
        <v>888</v>
      </c>
      <c r="C390" s="468" t="s">
        <v>1290</v>
      </c>
      <c r="D390" s="468" t="s">
        <v>482</v>
      </c>
      <c r="E390" s="469">
        <v>241124.55</v>
      </c>
      <c r="F390" s="469">
        <v>178286.61</v>
      </c>
    </row>
    <row r="391" spans="1:6" ht="33.75">
      <c r="A391" s="463" t="s">
        <v>445</v>
      </c>
      <c r="B391" s="464" t="s">
        <v>888</v>
      </c>
      <c r="C391" s="464" t="s">
        <v>446</v>
      </c>
      <c r="D391" s="464"/>
      <c r="E391" s="465">
        <v>443168.5</v>
      </c>
      <c r="F391" s="465">
        <v>442633.5</v>
      </c>
    </row>
    <row r="392" spans="1:6">
      <c r="A392" s="467" t="s">
        <v>181</v>
      </c>
      <c r="B392" s="468" t="s">
        <v>888</v>
      </c>
      <c r="C392" s="468" t="s">
        <v>446</v>
      </c>
      <c r="D392" s="468" t="s">
        <v>482</v>
      </c>
      <c r="E392" s="469">
        <v>443168.5</v>
      </c>
      <c r="F392" s="469">
        <v>442633.5</v>
      </c>
    </row>
    <row r="393" spans="1:6" ht="56.25">
      <c r="A393" s="463" t="s">
        <v>1740</v>
      </c>
      <c r="B393" s="464" t="s">
        <v>888</v>
      </c>
      <c r="C393" s="464" t="s">
        <v>1741</v>
      </c>
      <c r="D393" s="464"/>
      <c r="E393" s="465">
        <v>188670001</v>
      </c>
      <c r="F393" s="465">
        <v>185863528</v>
      </c>
    </row>
    <row r="394" spans="1:6">
      <c r="A394" s="467" t="s">
        <v>181</v>
      </c>
      <c r="B394" s="468" t="s">
        <v>888</v>
      </c>
      <c r="C394" s="468" t="s">
        <v>1741</v>
      </c>
      <c r="D394" s="468" t="s">
        <v>482</v>
      </c>
      <c r="E394" s="469">
        <v>188670001</v>
      </c>
      <c r="F394" s="469">
        <v>185863528</v>
      </c>
    </row>
    <row r="395" spans="1:6">
      <c r="A395" s="463" t="s">
        <v>1168</v>
      </c>
      <c r="B395" s="464" t="s">
        <v>888</v>
      </c>
      <c r="C395" s="464" t="s">
        <v>626</v>
      </c>
      <c r="D395" s="464"/>
      <c r="E395" s="465">
        <v>43123</v>
      </c>
      <c r="F395" s="465">
        <v>43123</v>
      </c>
    </row>
    <row r="396" spans="1:6">
      <c r="A396" s="467" t="s">
        <v>181</v>
      </c>
      <c r="B396" s="468" t="s">
        <v>888</v>
      </c>
      <c r="C396" s="468" t="s">
        <v>626</v>
      </c>
      <c r="D396" s="468" t="s">
        <v>482</v>
      </c>
      <c r="E396" s="469">
        <v>43123</v>
      </c>
      <c r="F396" s="469">
        <v>43123</v>
      </c>
    </row>
    <row r="397" spans="1:6">
      <c r="A397" s="463" t="s">
        <v>1293</v>
      </c>
      <c r="B397" s="464" t="s">
        <v>888</v>
      </c>
      <c r="C397" s="464" t="s">
        <v>1294</v>
      </c>
      <c r="D397" s="464"/>
      <c r="E397" s="465">
        <v>129.37</v>
      </c>
      <c r="F397" s="465">
        <v>129.37</v>
      </c>
    </row>
    <row r="398" spans="1:6">
      <c r="A398" s="467" t="s">
        <v>181</v>
      </c>
      <c r="B398" s="468" t="s">
        <v>888</v>
      </c>
      <c r="C398" s="468" t="s">
        <v>1294</v>
      </c>
      <c r="D398" s="468" t="s">
        <v>482</v>
      </c>
      <c r="E398" s="469">
        <v>129.37</v>
      </c>
      <c r="F398" s="469">
        <v>129.37</v>
      </c>
    </row>
    <row r="399" spans="1:6" ht="101.25">
      <c r="A399" s="466" t="s">
        <v>2604</v>
      </c>
      <c r="B399" s="464" t="s">
        <v>887</v>
      </c>
      <c r="C399" s="464"/>
      <c r="D399" s="464"/>
      <c r="E399" s="465">
        <v>15624400</v>
      </c>
      <c r="F399" s="465">
        <v>15556100</v>
      </c>
    </row>
    <row r="400" spans="1:6" ht="56.25">
      <c r="A400" s="463" t="s">
        <v>1740</v>
      </c>
      <c r="B400" s="464" t="s">
        <v>887</v>
      </c>
      <c r="C400" s="464" t="s">
        <v>1741</v>
      </c>
      <c r="D400" s="464"/>
      <c r="E400" s="465">
        <v>15624400</v>
      </c>
      <c r="F400" s="465">
        <v>15556100</v>
      </c>
    </row>
    <row r="401" spans="1:6">
      <c r="A401" s="467" t="s">
        <v>181</v>
      </c>
      <c r="B401" s="468" t="s">
        <v>887</v>
      </c>
      <c r="C401" s="468" t="s">
        <v>1741</v>
      </c>
      <c r="D401" s="468" t="s">
        <v>482</v>
      </c>
      <c r="E401" s="469">
        <v>15624400</v>
      </c>
      <c r="F401" s="469">
        <v>15556100</v>
      </c>
    </row>
    <row r="402" spans="1:6" ht="101.25">
      <c r="A402" s="466" t="s">
        <v>2605</v>
      </c>
      <c r="B402" s="464" t="s">
        <v>2007</v>
      </c>
      <c r="C402" s="464"/>
      <c r="D402" s="464"/>
      <c r="E402" s="465">
        <v>6000</v>
      </c>
      <c r="F402" s="465">
        <v>6000</v>
      </c>
    </row>
    <row r="403" spans="1:6" ht="56.25">
      <c r="A403" s="463" t="s">
        <v>1740</v>
      </c>
      <c r="B403" s="464" t="s">
        <v>2007</v>
      </c>
      <c r="C403" s="464" t="s">
        <v>1741</v>
      </c>
      <c r="D403" s="464"/>
      <c r="E403" s="465">
        <v>6000</v>
      </c>
      <c r="F403" s="465">
        <v>6000</v>
      </c>
    </row>
    <row r="404" spans="1:6">
      <c r="A404" s="467" t="s">
        <v>181</v>
      </c>
      <c r="B404" s="468" t="s">
        <v>2007</v>
      </c>
      <c r="C404" s="468" t="s">
        <v>1741</v>
      </c>
      <c r="D404" s="468" t="s">
        <v>482</v>
      </c>
      <c r="E404" s="469">
        <v>6000</v>
      </c>
      <c r="F404" s="469">
        <v>6000</v>
      </c>
    </row>
    <row r="405" spans="1:6" ht="56.25">
      <c r="A405" s="463" t="s">
        <v>757</v>
      </c>
      <c r="B405" s="464" t="s">
        <v>1207</v>
      </c>
      <c r="C405" s="464"/>
      <c r="D405" s="464"/>
      <c r="E405" s="465">
        <v>138966.13</v>
      </c>
      <c r="F405" s="465">
        <v>138966.13</v>
      </c>
    </row>
    <row r="406" spans="1:6" ht="101.25">
      <c r="A406" s="466" t="s">
        <v>2660</v>
      </c>
      <c r="B406" s="464" t="s">
        <v>946</v>
      </c>
      <c r="C406" s="464"/>
      <c r="D406" s="464"/>
      <c r="E406" s="465">
        <v>138966.13</v>
      </c>
      <c r="F406" s="465">
        <v>138966.13</v>
      </c>
    </row>
    <row r="407" spans="1:6" ht="33.75">
      <c r="A407" s="463" t="s">
        <v>445</v>
      </c>
      <c r="B407" s="464" t="s">
        <v>946</v>
      </c>
      <c r="C407" s="464" t="s">
        <v>446</v>
      </c>
      <c r="D407" s="464"/>
      <c r="E407" s="465">
        <v>138966.13</v>
      </c>
      <c r="F407" s="465">
        <v>138966.13</v>
      </c>
    </row>
    <row r="408" spans="1:6">
      <c r="A408" s="467" t="s">
        <v>3</v>
      </c>
      <c r="B408" s="468" t="s">
        <v>946</v>
      </c>
      <c r="C408" s="468" t="s">
        <v>446</v>
      </c>
      <c r="D408" s="468" t="s">
        <v>504</v>
      </c>
      <c r="E408" s="469">
        <v>138966.13</v>
      </c>
      <c r="F408" s="469">
        <v>138966.13</v>
      </c>
    </row>
    <row r="409" spans="1:6" ht="56.25">
      <c r="A409" s="463" t="s">
        <v>758</v>
      </c>
      <c r="B409" s="464" t="s">
        <v>1208</v>
      </c>
      <c r="C409" s="464"/>
      <c r="D409" s="464"/>
      <c r="E409" s="465">
        <v>50041917.979999997</v>
      </c>
      <c r="F409" s="465">
        <v>33395330.469999999</v>
      </c>
    </row>
    <row r="410" spans="1:6" ht="101.25">
      <c r="A410" s="466" t="s">
        <v>2614</v>
      </c>
      <c r="B410" s="464" t="s">
        <v>1747</v>
      </c>
      <c r="C410" s="464"/>
      <c r="D410" s="464"/>
      <c r="E410" s="465">
        <v>22520470.420000002</v>
      </c>
      <c r="F410" s="465">
        <v>20826764.73</v>
      </c>
    </row>
    <row r="411" spans="1:6" ht="45">
      <c r="A411" s="463" t="s">
        <v>461</v>
      </c>
      <c r="B411" s="464" t="s">
        <v>1747</v>
      </c>
      <c r="C411" s="464" t="s">
        <v>462</v>
      </c>
      <c r="D411" s="464"/>
      <c r="E411" s="465">
        <v>22520470.420000002</v>
      </c>
      <c r="F411" s="465">
        <v>20826764.73</v>
      </c>
    </row>
    <row r="412" spans="1:6">
      <c r="A412" s="467" t="s">
        <v>181</v>
      </c>
      <c r="B412" s="468" t="s">
        <v>1747</v>
      </c>
      <c r="C412" s="468" t="s">
        <v>462</v>
      </c>
      <c r="D412" s="468" t="s">
        <v>482</v>
      </c>
      <c r="E412" s="469">
        <v>22520470.420000002</v>
      </c>
      <c r="F412" s="469">
        <v>20826764.73</v>
      </c>
    </row>
    <row r="413" spans="1:6" ht="101.25">
      <c r="A413" s="466" t="s">
        <v>2606</v>
      </c>
      <c r="B413" s="464" t="s">
        <v>902</v>
      </c>
      <c r="C413" s="464"/>
      <c r="D413" s="464"/>
      <c r="E413" s="465">
        <v>26788003.98</v>
      </c>
      <c r="F413" s="465">
        <v>11866489.35</v>
      </c>
    </row>
    <row r="414" spans="1:6" ht="45">
      <c r="A414" s="463" t="s">
        <v>461</v>
      </c>
      <c r="B414" s="464" t="s">
        <v>902</v>
      </c>
      <c r="C414" s="464" t="s">
        <v>462</v>
      </c>
      <c r="D414" s="464"/>
      <c r="E414" s="465">
        <v>12032817.9</v>
      </c>
      <c r="F414" s="465">
        <v>11728322.68</v>
      </c>
    </row>
    <row r="415" spans="1:6">
      <c r="A415" s="467" t="s">
        <v>181</v>
      </c>
      <c r="B415" s="468" t="s">
        <v>902</v>
      </c>
      <c r="C415" s="468" t="s">
        <v>462</v>
      </c>
      <c r="D415" s="468" t="s">
        <v>482</v>
      </c>
      <c r="E415" s="469">
        <v>12032817.9</v>
      </c>
      <c r="F415" s="469">
        <v>11728322.68</v>
      </c>
    </row>
    <row r="416" spans="1:6" ht="33.75">
      <c r="A416" s="463" t="s">
        <v>445</v>
      </c>
      <c r="B416" s="464" t="s">
        <v>902</v>
      </c>
      <c r="C416" s="464" t="s">
        <v>446</v>
      </c>
      <c r="D416" s="464"/>
      <c r="E416" s="465">
        <v>138166.67000000001</v>
      </c>
      <c r="F416" s="465">
        <v>138166.67000000001</v>
      </c>
    </row>
    <row r="417" spans="1:6">
      <c r="A417" s="467" t="s">
        <v>181</v>
      </c>
      <c r="B417" s="468" t="s">
        <v>902</v>
      </c>
      <c r="C417" s="468" t="s">
        <v>446</v>
      </c>
      <c r="D417" s="468" t="s">
        <v>482</v>
      </c>
      <c r="E417" s="469">
        <v>138166.67000000001</v>
      </c>
      <c r="F417" s="469">
        <v>138166.67000000001</v>
      </c>
    </row>
    <row r="418" spans="1:6" ht="45">
      <c r="A418" s="463" t="s">
        <v>1748</v>
      </c>
      <c r="B418" s="464" t="s">
        <v>902</v>
      </c>
      <c r="C418" s="464" t="s">
        <v>1749</v>
      </c>
      <c r="D418" s="464"/>
      <c r="E418" s="465">
        <v>14617019.41</v>
      </c>
      <c r="F418" s="465">
        <v>0</v>
      </c>
    </row>
    <row r="419" spans="1:6">
      <c r="A419" s="467" t="s">
        <v>181</v>
      </c>
      <c r="B419" s="468" t="s">
        <v>902</v>
      </c>
      <c r="C419" s="468" t="s">
        <v>1749</v>
      </c>
      <c r="D419" s="468" t="s">
        <v>482</v>
      </c>
      <c r="E419" s="469">
        <v>14617019.41</v>
      </c>
      <c r="F419" s="469">
        <v>0</v>
      </c>
    </row>
    <row r="420" spans="1:6" ht="101.25">
      <c r="A420" s="466" t="s">
        <v>2615</v>
      </c>
      <c r="B420" s="464" t="s">
        <v>1751</v>
      </c>
      <c r="C420" s="464"/>
      <c r="D420" s="464"/>
      <c r="E420" s="465">
        <v>109080.25</v>
      </c>
      <c r="F420" s="465">
        <v>88273.06</v>
      </c>
    </row>
    <row r="421" spans="1:6" ht="33.75">
      <c r="A421" s="463" t="s">
        <v>445</v>
      </c>
      <c r="B421" s="464" t="s">
        <v>1751</v>
      </c>
      <c r="C421" s="464" t="s">
        <v>446</v>
      </c>
      <c r="D421" s="464"/>
      <c r="E421" s="465">
        <v>109080.25</v>
      </c>
      <c r="F421" s="465">
        <v>88273.06</v>
      </c>
    </row>
    <row r="422" spans="1:6">
      <c r="A422" s="467" t="s">
        <v>181</v>
      </c>
      <c r="B422" s="468" t="s">
        <v>1751</v>
      </c>
      <c r="C422" s="468" t="s">
        <v>446</v>
      </c>
      <c r="D422" s="468" t="s">
        <v>482</v>
      </c>
      <c r="E422" s="469">
        <v>109080.25</v>
      </c>
      <c r="F422" s="469">
        <v>88273.06</v>
      </c>
    </row>
    <row r="423" spans="1:6" ht="101.25">
      <c r="A423" s="466" t="s">
        <v>2661</v>
      </c>
      <c r="B423" s="464" t="s">
        <v>1957</v>
      </c>
      <c r="C423" s="464"/>
      <c r="D423" s="464"/>
      <c r="E423" s="465">
        <v>180833.33</v>
      </c>
      <c r="F423" s="465">
        <v>180833.33</v>
      </c>
    </row>
    <row r="424" spans="1:6" ht="33.75">
      <c r="A424" s="463" t="s">
        <v>445</v>
      </c>
      <c r="B424" s="464" t="s">
        <v>1957</v>
      </c>
      <c r="C424" s="464" t="s">
        <v>446</v>
      </c>
      <c r="D424" s="464"/>
      <c r="E424" s="465">
        <v>180833.33</v>
      </c>
      <c r="F424" s="465">
        <v>180833.33</v>
      </c>
    </row>
    <row r="425" spans="1:6">
      <c r="A425" s="467" t="s">
        <v>181</v>
      </c>
      <c r="B425" s="468" t="s">
        <v>1957</v>
      </c>
      <c r="C425" s="468" t="s">
        <v>446</v>
      </c>
      <c r="D425" s="468" t="s">
        <v>482</v>
      </c>
      <c r="E425" s="469">
        <v>180833.33</v>
      </c>
      <c r="F425" s="469">
        <v>180833.33</v>
      </c>
    </row>
    <row r="426" spans="1:6" ht="101.25">
      <c r="A426" s="466" t="s">
        <v>2616</v>
      </c>
      <c r="B426" s="464" t="s">
        <v>1753</v>
      </c>
      <c r="C426" s="464"/>
      <c r="D426" s="464"/>
      <c r="E426" s="465">
        <v>443530</v>
      </c>
      <c r="F426" s="465">
        <v>432970</v>
      </c>
    </row>
    <row r="427" spans="1:6" ht="45">
      <c r="A427" s="463" t="s">
        <v>461</v>
      </c>
      <c r="B427" s="464" t="s">
        <v>1753</v>
      </c>
      <c r="C427" s="464" t="s">
        <v>462</v>
      </c>
      <c r="D427" s="464"/>
      <c r="E427" s="465">
        <v>443530</v>
      </c>
      <c r="F427" s="465">
        <v>432970</v>
      </c>
    </row>
    <row r="428" spans="1:6">
      <c r="A428" s="467" t="s">
        <v>181</v>
      </c>
      <c r="B428" s="468" t="s">
        <v>1753</v>
      </c>
      <c r="C428" s="468" t="s">
        <v>462</v>
      </c>
      <c r="D428" s="468" t="s">
        <v>482</v>
      </c>
      <c r="E428" s="469">
        <v>443530</v>
      </c>
      <c r="F428" s="469">
        <v>432970</v>
      </c>
    </row>
    <row r="429" spans="1:6" ht="33.75">
      <c r="A429" s="463" t="s">
        <v>1033</v>
      </c>
      <c r="B429" s="464" t="s">
        <v>1297</v>
      </c>
      <c r="C429" s="464"/>
      <c r="D429" s="464"/>
      <c r="E429" s="465">
        <v>600000</v>
      </c>
      <c r="F429" s="465">
        <v>600000</v>
      </c>
    </row>
    <row r="430" spans="1:6" ht="90">
      <c r="A430" s="463" t="s">
        <v>1158</v>
      </c>
      <c r="B430" s="464" t="s">
        <v>1014</v>
      </c>
      <c r="C430" s="464"/>
      <c r="D430" s="464"/>
      <c r="E430" s="465">
        <v>600000</v>
      </c>
      <c r="F430" s="465">
        <v>600000</v>
      </c>
    </row>
    <row r="431" spans="1:6" ht="33.75">
      <c r="A431" s="463" t="s">
        <v>445</v>
      </c>
      <c r="B431" s="464" t="s">
        <v>1014</v>
      </c>
      <c r="C431" s="464" t="s">
        <v>446</v>
      </c>
      <c r="D431" s="464"/>
      <c r="E431" s="465">
        <v>600000</v>
      </c>
      <c r="F431" s="465">
        <v>600000</v>
      </c>
    </row>
    <row r="432" spans="1:6">
      <c r="A432" s="467" t="s">
        <v>45</v>
      </c>
      <c r="B432" s="468" t="s">
        <v>1014</v>
      </c>
      <c r="C432" s="468" t="s">
        <v>446</v>
      </c>
      <c r="D432" s="468" t="s">
        <v>506</v>
      </c>
      <c r="E432" s="469">
        <v>600000</v>
      </c>
      <c r="F432" s="469">
        <v>600000</v>
      </c>
    </row>
    <row r="433" spans="1:6" ht="33.75">
      <c r="A433" s="463" t="s">
        <v>1908</v>
      </c>
      <c r="B433" s="464" t="s">
        <v>1909</v>
      </c>
      <c r="C433" s="464"/>
      <c r="D433" s="464"/>
      <c r="E433" s="465">
        <v>112813</v>
      </c>
      <c r="F433" s="465">
        <v>63225.81</v>
      </c>
    </row>
    <row r="434" spans="1:6" ht="101.25">
      <c r="A434" s="466" t="s">
        <v>2594</v>
      </c>
      <c r="B434" s="464" t="s">
        <v>1892</v>
      </c>
      <c r="C434" s="464"/>
      <c r="D434" s="464"/>
      <c r="E434" s="465">
        <v>112700</v>
      </c>
      <c r="F434" s="465">
        <v>63112.81</v>
      </c>
    </row>
    <row r="435" spans="1:6" ht="33.75">
      <c r="A435" s="463" t="s">
        <v>445</v>
      </c>
      <c r="B435" s="464" t="s">
        <v>1892</v>
      </c>
      <c r="C435" s="464" t="s">
        <v>446</v>
      </c>
      <c r="D435" s="464"/>
      <c r="E435" s="465">
        <v>112700</v>
      </c>
      <c r="F435" s="465">
        <v>63112.81</v>
      </c>
    </row>
    <row r="436" spans="1:6">
      <c r="A436" s="467" t="s">
        <v>1889</v>
      </c>
      <c r="B436" s="468" t="s">
        <v>1892</v>
      </c>
      <c r="C436" s="468" t="s">
        <v>446</v>
      </c>
      <c r="D436" s="468" t="s">
        <v>1890</v>
      </c>
      <c r="E436" s="469">
        <v>112700</v>
      </c>
      <c r="F436" s="469">
        <v>63112.81</v>
      </c>
    </row>
    <row r="437" spans="1:6" ht="101.25">
      <c r="A437" s="466" t="s">
        <v>2595</v>
      </c>
      <c r="B437" s="464" t="s">
        <v>1894</v>
      </c>
      <c r="C437" s="464"/>
      <c r="D437" s="464"/>
      <c r="E437" s="465">
        <v>113</v>
      </c>
      <c r="F437" s="465">
        <v>113</v>
      </c>
    </row>
    <row r="438" spans="1:6" ht="33.75">
      <c r="A438" s="463" t="s">
        <v>445</v>
      </c>
      <c r="B438" s="464" t="s">
        <v>1894</v>
      </c>
      <c r="C438" s="464" t="s">
        <v>446</v>
      </c>
      <c r="D438" s="464"/>
      <c r="E438" s="465">
        <v>113</v>
      </c>
      <c r="F438" s="465">
        <v>113</v>
      </c>
    </row>
    <row r="439" spans="1:6">
      <c r="A439" s="467" t="s">
        <v>1889</v>
      </c>
      <c r="B439" s="468" t="s">
        <v>1894</v>
      </c>
      <c r="C439" s="468" t="s">
        <v>446</v>
      </c>
      <c r="D439" s="468" t="s">
        <v>1890</v>
      </c>
      <c r="E439" s="469">
        <v>113</v>
      </c>
      <c r="F439" s="469">
        <v>113</v>
      </c>
    </row>
    <row r="440" spans="1:6" ht="56.25">
      <c r="A440" s="463" t="s">
        <v>583</v>
      </c>
      <c r="B440" s="464" t="s">
        <v>1209</v>
      </c>
      <c r="C440" s="464"/>
      <c r="D440" s="464"/>
      <c r="E440" s="465">
        <v>27038305</v>
      </c>
      <c r="F440" s="465">
        <v>24499602.530000001</v>
      </c>
    </row>
    <row r="441" spans="1:6" ht="78.75">
      <c r="A441" s="463" t="s">
        <v>584</v>
      </c>
      <c r="B441" s="464" t="s">
        <v>1210</v>
      </c>
      <c r="C441" s="464"/>
      <c r="D441" s="464"/>
      <c r="E441" s="465">
        <v>3031115.04</v>
      </c>
      <c r="F441" s="465">
        <v>2259804.34</v>
      </c>
    </row>
    <row r="442" spans="1:6" ht="101.25">
      <c r="A442" s="466" t="s">
        <v>2584</v>
      </c>
      <c r="B442" s="464" t="s">
        <v>865</v>
      </c>
      <c r="C442" s="464"/>
      <c r="D442" s="464"/>
      <c r="E442" s="465">
        <v>2506297.04</v>
      </c>
      <c r="F442" s="465">
        <v>1958988.19</v>
      </c>
    </row>
    <row r="443" spans="1:6">
      <c r="A443" s="463" t="s">
        <v>1603</v>
      </c>
      <c r="B443" s="464" t="s">
        <v>865</v>
      </c>
      <c r="C443" s="464" t="s">
        <v>460</v>
      </c>
      <c r="D443" s="464"/>
      <c r="E443" s="465">
        <v>1863680.4</v>
      </c>
      <c r="F443" s="465">
        <v>1437666.11</v>
      </c>
    </row>
    <row r="444" spans="1:6" ht="45">
      <c r="A444" s="467" t="s">
        <v>311</v>
      </c>
      <c r="B444" s="468" t="s">
        <v>865</v>
      </c>
      <c r="C444" s="468" t="s">
        <v>460</v>
      </c>
      <c r="D444" s="468" t="s">
        <v>458</v>
      </c>
      <c r="E444" s="469">
        <v>1863680.4</v>
      </c>
      <c r="F444" s="469">
        <v>1437666.11</v>
      </c>
    </row>
    <row r="445" spans="1:6" ht="45">
      <c r="A445" s="463" t="s">
        <v>1604</v>
      </c>
      <c r="B445" s="464" t="s">
        <v>865</v>
      </c>
      <c r="C445" s="464" t="s">
        <v>1290</v>
      </c>
      <c r="D445" s="464"/>
      <c r="E445" s="465">
        <v>562799.6</v>
      </c>
      <c r="F445" s="465">
        <v>442356.08</v>
      </c>
    </row>
    <row r="446" spans="1:6" ht="45">
      <c r="A446" s="467" t="s">
        <v>311</v>
      </c>
      <c r="B446" s="468" t="s">
        <v>865</v>
      </c>
      <c r="C446" s="468" t="s">
        <v>1290</v>
      </c>
      <c r="D446" s="468" t="s">
        <v>458</v>
      </c>
      <c r="E446" s="469">
        <v>562799.6</v>
      </c>
      <c r="F446" s="469">
        <v>442356.08</v>
      </c>
    </row>
    <row r="447" spans="1:6" ht="33.75">
      <c r="A447" s="463" t="s">
        <v>445</v>
      </c>
      <c r="B447" s="464" t="s">
        <v>865</v>
      </c>
      <c r="C447" s="464" t="s">
        <v>446</v>
      </c>
      <c r="D447" s="464"/>
      <c r="E447" s="465">
        <v>79817.039999999994</v>
      </c>
      <c r="F447" s="465">
        <v>78966</v>
      </c>
    </row>
    <row r="448" spans="1:6" ht="45">
      <c r="A448" s="467" t="s">
        <v>311</v>
      </c>
      <c r="B448" s="468" t="s">
        <v>865</v>
      </c>
      <c r="C448" s="468" t="s">
        <v>446</v>
      </c>
      <c r="D448" s="468" t="s">
        <v>458</v>
      </c>
      <c r="E448" s="469">
        <v>79817.039999999994</v>
      </c>
      <c r="F448" s="469">
        <v>78966</v>
      </c>
    </row>
    <row r="449" spans="1:6" ht="101.25">
      <c r="A449" s="466" t="s">
        <v>2585</v>
      </c>
      <c r="B449" s="464" t="s">
        <v>866</v>
      </c>
      <c r="C449" s="464"/>
      <c r="D449" s="464"/>
      <c r="E449" s="465">
        <v>181048</v>
      </c>
      <c r="F449" s="465">
        <v>181048</v>
      </c>
    </row>
    <row r="450" spans="1:6">
      <c r="A450" s="463" t="s">
        <v>1603</v>
      </c>
      <c r="B450" s="464" t="s">
        <v>866</v>
      </c>
      <c r="C450" s="464" t="s">
        <v>460</v>
      </c>
      <c r="D450" s="464"/>
      <c r="E450" s="465">
        <v>139053.6</v>
      </c>
      <c r="F450" s="465">
        <v>139053.6</v>
      </c>
    </row>
    <row r="451" spans="1:6" ht="45">
      <c r="A451" s="467" t="s">
        <v>311</v>
      </c>
      <c r="B451" s="468" t="s">
        <v>866</v>
      </c>
      <c r="C451" s="468" t="s">
        <v>460</v>
      </c>
      <c r="D451" s="468" t="s">
        <v>458</v>
      </c>
      <c r="E451" s="469">
        <v>139053.6</v>
      </c>
      <c r="F451" s="469">
        <v>139053.6</v>
      </c>
    </row>
    <row r="452" spans="1:6" ht="45">
      <c r="A452" s="463" t="s">
        <v>1604</v>
      </c>
      <c r="B452" s="464" t="s">
        <v>866</v>
      </c>
      <c r="C452" s="464" t="s">
        <v>1290</v>
      </c>
      <c r="D452" s="464"/>
      <c r="E452" s="465">
        <v>41994.400000000001</v>
      </c>
      <c r="F452" s="465">
        <v>41994.400000000001</v>
      </c>
    </row>
    <row r="453" spans="1:6" ht="45">
      <c r="A453" s="467" t="s">
        <v>311</v>
      </c>
      <c r="B453" s="468" t="s">
        <v>866</v>
      </c>
      <c r="C453" s="468" t="s">
        <v>1290</v>
      </c>
      <c r="D453" s="468" t="s">
        <v>458</v>
      </c>
      <c r="E453" s="469">
        <v>41994.400000000001</v>
      </c>
      <c r="F453" s="469">
        <v>41994.400000000001</v>
      </c>
    </row>
    <row r="454" spans="1:6" ht="101.25">
      <c r="A454" s="466" t="s">
        <v>2586</v>
      </c>
      <c r="B454" s="464" t="s">
        <v>1732</v>
      </c>
      <c r="C454" s="464"/>
      <c r="D454" s="464"/>
      <c r="E454" s="465">
        <v>343400</v>
      </c>
      <c r="F454" s="465">
        <v>119398.15</v>
      </c>
    </row>
    <row r="455" spans="1:6">
      <c r="A455" s="463" t="s">
        <v>1603</v>
      </c>
      <c r="B455" s="464" t="s">
        <v>1732</v>
      </c>
      <c r="C455" s="464" t="s">
        <v>460</v>
      </c>
      <c r="D455" s="464"/>
      <c r="E455" s="465">
        <v>171582.58</v>
      </c>
      <c r="F455" s="465">
        <v>0</v>
      </c>
    </row>
    <row r="456" spans="1:6" ht="45">
      <c r="A456" s="467" t="s">
        <v>311</v>
      </c>
      <c r="B456" s="468" t="s">
        <v>1732</v>
      </c>
      <c r="C456" s="468" t="s">
        <v>460</v>
      </c>
      <c r="D456" s="468" t="s">
        <v>458</v>
      </c>
      <c r="E456" s="469">
        <v>171582.58</v>
      </c>
      <c r="F456" s="469">
        <v>0</v>
      </c>
    </row>
    <row r="457" spans="1:6" ht="45">
      <c r="A457" s="463" t="s">
        <v>1604</v>
      </c>
      <c r="B457" s="464" t="s">
        <v>1732</v>
      </c>
      <c r="C457" s="464" t="s">
        <v>1290</v>
      </c>
      <c r="D457" s="464"/>
      <c r="E457" s="465">
        <v>51817.42</v>
      </c>
      <c r="F457" s="465">
        <v>0</v>
      </c>
    </row>
    <row r="458" spans="1:6" ht="45">
      <c r="A458" s="467" t="s">
        <v>311</v>
      </c>
      <c r="B458" s="468" t="s">
        <v>1732</v>
      </c>
      <c r="C458" s="468" t="s">
        <v>1290</v>
      </c>
      <c r="D458" s="468" t="s">
        <v>458</v>
      </c>
      <c r="E458" s="469">
        <v>51817.42</v>
      </c>
      <c r="F458" s="469">
        <v>0</v>
      </c>
    </row>
    <row r="459" spans="1:6" ht="33.75">
      <c r="A459" s="463" t="s">
        <v>445</v>
      </c>
      <c r="B459" s="464" t="s">
        <v>1732</v>
      </c>
      <c r="C459" s="464" t="s">
        <v>446</v>
      </c>
      <c r="D459" s="464"/>
      <c r="E459" s="465">
        <v>120000</v>
      </c>
      <c r="F459" s="465">
        <v>119398.15</v>
      </c>
    </row>
    <row r="460" spans="1:6" ht="45">
      <c r="A460" s="467" t="s">
        <v>311</v>
      </c>
      <c r="B460" s="468" t="s">
        <v>1732</v>
      </c>
      <c r="C460" s="468" t="s">
        <v>446</v>
      </c>
      <c r="D460" s="468" t="s">
        <v>458</v>
      </c>
      <c r="E460" s="469">
        <v>120000</v>
      </c>
      <c r="F460" s="469">
        <v>119398.15</v>
      </c>
    </row>
    <row r="461" spans="1:6" ht="101.25">
      <c r="A461" s="466" t="s">
        <v>2587</v>
      </c>
      <c r="B461" s="464" t="s">
        <v>1734</v>
      </c>
      <c r="C461" s="464"/>
      <c r="D461" s="464"/>
      <c r="E461" s="465">
        <v>370</v>
      </c>
      <c r="F461" s="465">
        <v>370</v>
      </c>
    </row>
    <row r="462" spans="1:6" ht="33.75">
      <c r="A462" s="463" t="s">
        <v>445</v>
      </c>
      <c r="B462" s="464" t="s">
        <v>1734</v>
      </c>
      <c r="C462" s="464" t="s">
        <v>446</v>
      </c>
      <c r="D462" s="464"/>
      <c r="E462" s="465">
        <v>370</v>
      </c>
      <c r="F462" s="465">
        <v>370</v>
      </c>
    </row>
    <row r="463" spans="1:6" ht="45">
      <c r="A463" s="467" t="s">
        <v>311</v>
      </c>
      <c r="B463" s="468" t="s">
        <v>1734</v>
      </c>
      <c r="C463" s="468" t="s">
        <v>446</v>
      </c>
      <c r="D463" s="468" t="s">
        <v>458</v>
      </c>
      <c r="E463" s="469">
        <v>370</v>
      </c>
      <c r="F463" s="469">
        <v>370</v>
      </c>
    </row>
    <row r="464" spans="1:6" ht="33.75">
      <c r="A464" s="463" t="s">
        <v>586</v>
      </c>
      <c r="B464" s="464" t="s">
        <v>1211</v>
      </c>
      <c r="C464" s="464"/>
      <c r="D464" s="464"/>
      <c r="E464" s="465">
        <v>23987189.960000001</v>
      </c>
      <c r="F464" s="465">
        <v>22219979.460000001</v>
      </c>
    </row>
    <row r="465" spans="1:6" ht="101.25">
      <c r="A465" s="466" t="s">
        <v>2708</v>
      </c>
      <c r="B465" s="464" t="s">
        <v>867</v>
      </c>
      <c r="C465" s="464"/>
      <c r="D465" s="464"/>
      <c r="E465" s="465">
        <v>16671913.24</v>
      </c>
      <c r="F465" s="465">
        <v>16349831.130000001</v>
      </c>
    </row>
    <row r="466" spans="1:6">
      <c r="A466" s="463" t="s">
        <v>1603</v>
      </c>
      <c r="B466" s="464" t="s">
        <v>867</v>
      </c>
      <c r="C466" s="464" t="s">
        <v>460</v>
      </c>
      <c r="D466" s="464"/>
      <c r="E466" s="465">
        <v>11409658</v>
      </c>
      <c r="F466" s="465">
        <v>11409631</v>
      </c>
    </row>
    <row r="467" spans="1:6">
      <c r="A467" s="467" t="s">
        <v>133</v>
      </c>
      <c r="B467" s="468" t="s">
        <v>867</v>
      </c>
      <c r="C467" s="468" t="s">
        <v>460</v>
      </c>
      <c r="D467" s="468" t="s">
        <v>463</v>
      </c>
      <c r="E467" s="469">
        <v>11409658</v>
      </c>
      <c r="F467" s="469">
        <v>11409631</v>
      </c>
    </row>
    <row r="468" spans="1:6" ht="33.75">
      <c r="A468" s="463" t="s">
        <v>1617</v>
      </c>
      <c r="B468" s="464" t="s">
        <v>867</v>
      </c>
      <c r="C468" s="464" t="s">
        <v>509</v>
      </c>
      <c r="D468" s="464"/>
      <c r="E468" s="465">
        <v>6450</v>
      </c>
      <c r="F468" s="465">
        <v>6450</v>
      </c>
    </row>
    <row r="469" spans="1:6">
      <c r="A469" s="467" t="s">
        <v>133</v>
      </c>
      <c r="B469" s="468" t="s">
        <v>867</v>
      </c>
      <c r="C469" s="468" t="s">
        <v>509</v>
      </c>
      <c r="D469" s="468" t="s">
        <v>463</v>
      </c>
      <c r="E469" s="469">
        <v>6450</v>
      </c>
      <c r="F469" s="469">
        <v>6450</v>
      </c>
    </row>
    <row r="470" spans="1:6" ht="45">
      <c r="A470" s="463" t="s">
        <v>1604</v>
      </c>
      <c r="B470" s="464" t="s">
        <v>867</v>
      </c>
      <c r="C470" s="464" t="s">
        <v>1290</v>
      </c>
      <c r="D470" s="464"/>
      <c r="E470" s="465">
        <v>3445716</v>
      </c>
      <c r="F470" s="465">
        <v>3445716</v>
      </c>
    </row>
    <row r="471" spans="1:6">
      <c r="A471" s="467" t="s">
        <v>133</v>
      </c>
      <c r="B471" s="468" t="s">
        <v>867</v>
      </c>
      <c r="C471" s="468" t="s">
        <v>1290</v>
      </c>
      <c r="D471" s="468" t="s">
        <v>463</v>
      </c>
      <c r="E471" s="469">
        <v>3445716</v>
      </c>
      <c r="F471" s="469">
        <v>3445716</v>
      </c>
    </row>
    <row r="472" spans="1:6" ht="33.75">
      <c r="A472" s="463" t="s">
        <v>445</v>
      </c>
      <c r="B472" s="464" t="s">
        <v>867</v>
      </c>
      <c r="C472" s="464" t="s">
        <v>446</v>
      </c>
      <c r="D472" s="464"/>
      <c r="E472" s="465">
        <v>1756539.24</v>
      </c>
      <c r="F472" s="465">
        <v>1462227.33</v>
      </c>
    </row>
    <row r="473" spans="1:6">
      <c r="A473" s="467" t="s">
        <v>133</v>
      </c>
      <c r="B473" s="468" t="s">
        <v>867</v>
      </c>
      <c r="C473" s="468" t="s">
        <v>446</v>
      </c>
      <c r="D473" s="468" t="s">
        <v>463</v>
      </c>
      <c r="E473" s="469">
        <v>1756539.24</v>
      </c>
      <c r="F473" s="469">
        <v>1462227.33</v>
      </c>
    </row>
    <row r="474" spans="1:6">
      <c r="A474" s="463" t="s">
        <v>1168</v>
      </c>
      <c r="B474" s="464" t="s">
        <v>867</v>
      </c>
      <c r="C474" s="464" t="s">
        <v>626</v>
      </c>
      <c r="D474" s="464"/>
      <c r="E474" s="465">
        <v>49050</v>
      </c>
      <c r="F474" s="465">
        <v>22046</v>
      </c>
    </row>
    <row r="475" spans="1:6">
      <c r="A475" s="467" t="s">
        <v>133</v>
      </c>
      <c r="B475" s="468" t="s">
        <v>867</v>
      </c>
      <c r="C475" s="468" t="s">
        <v>626</v>
      </c>
      <c r="D475" s="468" t="s">
        <v>463</v>
      </c>
      <c r="E475" s="469">
        <v>49050</v>
      </c>
      <c r="F475" s="469">
        <v>22046</v>
      </c>
    </row>
    <row r="476" spans="1:6">
      <c r="A476" s="463" t="s">
        <v>1293</v>
      </c>
      <c r="B476" s="464" t="s">
        <v>867</v>
      </c>
      <c r="C476" s="464" t="s">
        <v>1294</v>
      </c>
      <c r="D476" s="464"/>
      <c r="E476" s="465">
        <v>4500</v>
      </c>
      <c r="F476" s="465">
        <v>3760.8</v>
      </c>
    </row>
    <row r="477" spans="1:6">
      <c r="A477" s="467" t="s">
        <v>133</v>
      </c>
      <c r="B477" s="468" t="s">
        <v>867</v>
      </c>
      <c r="C477" s="468" t="s">
        <v>1294</v>
      </c>
      <c r="D477" s="468" t="s">
        <v>463</v>
      </c>
      <c r="E477" s="469">
        <v>4500</v>
      </c>
      <c r="F477" s="469">
        <v>3760.8</v>
      </c>
    </row>
    <row r="478" spans="1:6" ht="112.5">
      <c r="A478" s="466" t="s">
        <v>2709</v>
      </c>
      <c r="B478" s="464" t="s">
        <v>873</v>
      </c>
      <c r="C478" s="464"/>
      <c r="D478" s="464"/>
      <c r="E478" s="465">
        <v>3232840</v>
      </c>
      <c r="F478" s="465">
        <v>2466424.85</v>
      </c>
    </row>
    <row r="479" spans="1:6">
      <c r="A479" s="463" t="s">
        <v>1603</v>
      </c>
      <c r="B479" s="464" t="s">
        <v>873</v>
      </c>
      <c r="C479" s="464" t="s">
        <v>460</v>
      </c>
      <c r="D479" s="464"/>
      <c r="E479" s="465">
        <v>1787140</v>
      </c>
      <c r="F479" s="465">
        <v>1236686.6100000001</v>
      </c>
    </row>
    <row r="480" spans="1:6">
      <c r="A480" s="467" t="s">
        <v>133</v>
      </c>
      <c r="B480" s="468" t="s">
        <v>873</v>
      </c>
      <c r="C480" s="468" t="s">
        <v>460</v>
      </c>
      <c r="D480" s="468" t="s">
        <v>463</v>
      </c>
      <c r="E480" s="469">
        <v>1787140</v>
      </c>
      <c r="F480" s="469">
        <v>1236686.6100000001</v>
      </c>
    </row>
    <row r="481" spans="1:6" ht="33.75">
      <c r="A481" s="463" t="s">
        <v>1617</v>
      </c>
      <c r="B481" s="464" t="s">
        <v>873</v>
      </c>
      <c r="C481" s="464" t="s">
        <v>509</v>
      </c>
      <c r="D481" s="464"/>
      <c r="E481" s="465">
        <v>2935.88</v>
      </c>
      <c r="F481" s="465">
        <v>2935.88</v>
      </c>
    </row>
    <row r="482" spans="1:6">
      <c r="A482" s="467" t="s">
        <v>133</v>
      </c>
      <c r="B482" s="468" t="s">
        <v>873</v>
      </c>
      <c r="C482" s="468" t="s">
        <v>509</v>
      </c>
      <c r="D482" s="468" t="s">
        <v>463</v>
      </c>
      <c r="E482" s="469">
        <v>2935.88</v>
      </c>
      <c r="F482" s="469">
        <v>2935.88</v>
      </c>
    </row>
    <row r="483" spans="1:6" ht="45">
      <c r="A483" s="463" t="s">
        <v>1604</v>
      </c>
      <c r="B483" s="464" t="s">
        <v>873</v>
      </c>
      <c r="C483" s="464" t="s">
        <v>1290</v>
      </c>
      <c r="D483" s="464"/>
      <c r="E483" s="465">
        <v>539710</v>
      </c>
      <c r="F483" s="465">
        <v>447225.87</v>
      </c>
    </row>
    <row r="484" spans="1:6">
      <c r="A484" s="467" t="s">
        <v>133</v>
      </c>
      <c r="B484" s="468" t="s">
        <v>873</v>
      </c>
      <c r="C484" s="468" t="s">
        <v>1290</v>
      </c>
      <c r="D484" s="468" t="s">
        <v>463</v>
      </c>
      <c r="E484" s="469">
        <v>539710</v>
      </c>
      <c r="F484" s="469">
        <v>447225.87</v>
      </c>
    </row>
    <row r="485" spans="1:6" ht="33.75">
      <c r="A485" s="463" t="s">
        <v>445</v>
      </c>
      <c r="B485" s="464" t="s">
        <v>873</v>
      </c>
      <c r="C485" s="464" t="s">
        <v>446</v>
      </c>
      <c r="D485" s="464"/>
      <c r="E485" s="465">
        <v>794364.12</v>
      </c>
      <c r="F485" s="465">
        <v>676052.87</v>
      </c>
    </row>
    <row r="486" spans="1:6">
      <c r="A486" s="467" t="s">
        <v>133</v>
      </c>
      <c r="B486" s="468" t="s">
        <v>873</v>
      </c>
      <c r="C486" s="468" t="s">
        <v>446</v>
      </c>
      <c r="D486" s="468" t="s">
        <v>463</v>
      </c>
      <c r="E486" s="469">
        <v>794364.12</v>
      </c>
      <c r="F486" s="469">
        <v>676052.87</v>
      </c>
    </row>
    <row r="487" spans="1:6">
      <c r="A487" s="463" t="s">
        <v>1168</v>
      </c>
      <c r="B487" s="464" t="s">
        <v>873</v>
      </c>
      <c r="C487" s="464" t="s">
        <v>626</v>
      </c>
      <c r="D487" s="464"/>
      <c r="E487" s="465">
        <v>105000</v>
      </c>
      <c r="F487" s="465">
        <v>102049</v>
      </c>
    </row>
    <row r="488" spans="1:6">
      <c r="A488" s="467" t="s">
        <v>133</v>
      </c>
      <c r="B488" s="468" t="s">
        <v>873</v>
      </c>
      <c r="C488" s="468" t="s">
        <v>626</v>
      </c>
      <c r="D488" s="468" t="s">
        <v>463</v>
      </c>
      <c r="E488" s="469">
        <v>105000</v>
      </c>
      <c r="F488" s="469">
        <v>102049</v>
      </c>
    </row>
    <row r="489" spans="1:6">
      <c r="A489" s="463" t="s">
        <v>1293</v>
      </c>
      <c r="B489" s="464" t="s">
        <v>873</v>
      </c>
      <c r="C489" s="464" t="s">
        <v>1294</v>
      </c>
      <c r="D489" s="464"/>
      <c r="E489" s="465">
        <v>3690</v>
      </c>
      <c r="F489" s="465">
        <v>1474.62</v>
      </c>
    </row>
    <row r="490" spans="1:6">
      <c r="A490" s="467" t="s">
        <v>133</v>
      </c>
      <c r="B490" s="468" t="s">
        <v>873</v>
      </c>
      <c r="C490" s="468" t="s">
        <v>1294</v>
      </c>
      <c r="D490" s="468" t="s">
        <v>463</v>
      </c>
      <c r="E490" s="469">
        <v>3690</v>
      </c>
      <c r="F490" s="469">
        <v>1474.62</v>
      </c>
    </row>
    <row r="491" spans="1:6" ht="90">
      <c r="A491" s="466" t="s">
        <v>2710</v>
      </c>
      <c r="B491" s="464" t="s">
        <v>1907</v>
      </c>
      <c r="C491" s="464"/>
      <c r="D491" s="464"/>
      <c r="E491" s="465">
        <v>108008.9</v>
      </c>
      <c r="F491" s="465">
        <v>108008.9</v>
      </c>
    </row>
    <row r="492" spans="1:6" ht="33.75">
      <c r="A492" s="463" t="s">
        <v>1617</v>
      </c>
      <c r="B492" s="464" t="s">
        <v>1907</v>
      </c>
      <c r="C492" s="464" t="s">
        <v>509</v>
      </c>
      <c r="D492" s="464"/>
      <c r="E492" s="465">
        <v>108008.9</v>
      </c>
      <c r="F492" s="465">
        <v>108008.9</v>
      </c>
    </row>
    <row r="493" spans="1:6">
      <c r="A493" s="467" t="s">
        <v>133</v>
      </c>
      <c r="B493" s="468" t="s">
        <v>1907</v>
      </c>
      <c r="C493" s="468" t="s">
        <v>509</v>
      </c>
      <c r="D493" s="468" t="s">
        <v>463</v>
      </c>
      <c r="E493" s="469">
        <v>108008.9</v>
      </c>
      <c r="F493" s="469">
        <v>108008.9</v>
      </c>
    </row>
    <row r="494" spans="1:6" ht="90">
      <c r="A494" s="466" t="s">
        <v>2711</v>
      </c>
      <c r="B494" s="464" t="s">
        <v>869</v>
      </c>
      <c r="C494" s="464"/>
      <c r="D494" s="464"/>
      <c r="E494" s="465">
        <v>1613287.86</v>
      </c>
      <c r="F494" s="465">
        <v>1362715.69</v>
      </c>
    </row>
    <row r="495" spans="1:6" ht="33.75">
      <c r="A495" s="463" t="s">
        <v>445</v>
      </c>
      <c r="B495" s="464" t="s">
        <v>869</v>
      </c>
      <c r="C495" s="464" t="s">
        <v>446</v>
      </c>
      <c r="D495" s="464"/>
      <c r="E495" s="465">
        <v>1613287.86</v>
      </c>
      <c r="F495" s="465">
        <v>1362715.69</v>
      </c>
    </row>
    <row r="496" spans="1:6">
      <c r="A496" s="467" t="s">
        <v>133</v>
      </c>
      <c r="B496" s="468" t="s">
        <v>869</v>
      </c>
      <c r="C496" s="468" t="s">
        <v>446</v>
      </c>
      <c r="D496" s="468" t="s">
        <v>463</v>
      </c>
      <c r="E496" s="469">
        <v>1613287.86</v>
      </c>
      <c r="F496" s="469">
        <v>1362715.69</v>
      </c>
    </row>
    <row r="497" spans="1:6" ht="101.25">
      <c r="A497" s="466" t="s">
        <v>2712</v>
      </c>
      <c r="B497" s="464" t="s">
        <v>875</v>
      </c>
      <c r="C497" s="464"/>
      <c r="D497" s="464"/>
      <c r="E497" s="465">
        <v>554660</v>
      </c>
      <c r="F497" s="465">
        <v>216685.15</v>
      </c>
    </row>
    <row r="498" spans="1:6" ht="33.75">
      <c r="A498" s="463" t="s">
        <v>445</v>
      </c>
      <c r="B498" s="464" t="s">
        <v>875</v>
      </c>
      <c r="C498" s="464" t="s">
        <v>446</v>
      </c>
      <c r="D498" s="464"/>
      <c r="E498" s="465">
        <v>554660</v>
      </c>
      <c r="F498" s="465">
        <v>216685.15</v>
      </c>
    </row>
    <row r="499" spans="1:6">
      <c r="A499" s="467" t="s">
        <v>133</v>
      </c>
      <c r="B499" s="468" t="s">
        <v>875</v>
      </c>
      <c r="C499" s="468" t="s">
        <v>446</v>
      </c>
      <c r="D499" s="468" t="s">
        <v>463</v>
      </c>
      <c r="E499" s="469">
        <v>554660</v>
      </c>
      <c r="F499" s="469">
        <v>216685.15</v>
      </c>
    </row>
    <row r="500" spans="1:6" ht="101.25">
      <c r="A500" s="466" t="s">
        <v>2713</v>
      </c>
      <c r="B500" s="464" t="s">
        <v>1194</v>
      </c>
      <c r="C500" s="464"/>
      <c r="D500" s="464"/>
      <c r="E500" s="465">
        <v>460167</v>
      </c>
      <c r="F500" s="465">
        <v>398525.78</v>
      </c>
    </row>
    <row r="501" spans="1:6" ht="33.75">
      <c r="A501" s="463" t="s">
        <v>445</v>
      </c>
      <c r="B501" s="464" t="s">
        <v>1194</v>
      </c>
      <c r="C501" s="464" t="s">
        <v>446</v>
      </c>
      <c r="D501" s="464"/>
      <c r="E501" s="465">
        <v>460167</v>
      </c>
      <c r="F501" s="465">
        <v>398525.78</v>
      </c>
    </row>
    <row r="502" spans="1:6">
      <c r="A502" s="467" t="s">
        <v>133</v>
      </c>
      <c r="B502" s="468" t="s">
        <v>1194</v>
      </c>
      <c r="C502" s="468" t="s">
        <v>446</v>
      </c>
      <c r="D502" s="468" t="s">
        <v>463</v>
      </c>
      <c r="E502" s="469">
        <v>460167</v>
      </c>
      <c r="F502" s="469">
        <v>398525.78</v>
      </c>
    </row>
    <row r="503" spans="1:6" ht="90">
      <c r="A503" s="466" t="s">
        <v>2588</v>
      </c>
      <c r="B503" s="464" t="s">
        <v>1736</v>
      </c>
      <c r="C503" s="464"/>
      <c r="D503" s="464"/>
      <c r="E503" s="465">
        <v>1176000</v>
      </c>
      <c r="F503" s="465">
        <v>1176000</v>
      </c>
    </row>
    <row r="504" spans="1:6" ht="33.75">
      <c r="A504" s="463" t="s">
        <v>445</v>
      </c>
      <c r="B504" s="464" t="s">
        <v>1736</v>
      </c>
      <c r="C504" s="464" t="s">
        <v>446</v>
      </c>
      <c r="D504" s="464"/>
      <c r="E504" s="465">
        <v>2429</v>
      </c>
      <c r="F504" s="465">
        <v>2429</v>
      </c>
    </row>
    <row r="505" spans="1:6">
      <c r="A505" s="467" t="s">
        <v>133</v>
      </c>
      <c r="B505" s="468" t="s">
        <v>1736</v>
      </c>
      <c r="C505" s="468" t="s">
        <v>446</v>
      </c>
      <c r="D505" s="468" t="s">
        <v>463</v>
      </c>
      <c r="E505" s="469">
        <v>2429</v>
      </c>
      <c r="F505" s="469">
        <v>2429</v>
      </c>
    </row>
    <row r="506" spans="1:6">
      <c r="A506" s="463" t="s">
        <v>93</v>
      </c>
      <c r="B506" s="464" t="s">
        <v>1736</v>
      </c>
      <c r="C506" s="464" t="s">
        <v>550</v>
      </c>
      <c r="D506" s="464"/>
      <c r="E506" s="465">
        <v>1173571</v>
      </c>
      <c r="F506" s="465">
        <v>1173571</v>
      </c>
    </row>
    <row r="507" spans="1:6">
      <c r="A507" s="467" t="s">
        <v>133</v>
      </c>
      <c r="B507" s="468" t="s">
        <v>1736</v>
      </c>
      <c r="C507" s="468" t="s">
        <v>550</v>
      </c>
      <c r="D507" s="468" t="s">
        <v>463</v>
      </c>
      <c r="E507" s="469">
        <v>1173571</v>
      </c>
      <c r="F507" s="469">
        <v>1173571</v>
      </c>
    </row>
    <row r="508" spans="1:6" ht="101.25">
      <c r="A508" s="466" t="s">
        <v>2589</v>
      </c>
      <c r="B508" s="464" t="s">
        <v>870</v>
      </c>
      <c r="C508" s="464"/>
      <c r="D508" s="464"/>
      <c r="E508" s="465">
        <v>100000</v>
      </c>
      <c r="F508" s="465">
        <v>71475</v>
      </c>
    </row>
    <row r="509" spans="1:6" ht="33.75">
      <c r="A509" s="463" t="s">
        <v>445</v>
      </c>
      <c r="B509" s="464" t="s">
        <v>870</v>
      </c>
      <c r="C509" s="464" t="s">
        <v>446</v>
      </c>
      <c r="D509" s="464"/>
      <c r="E509" s="465">
        <v>100000</v>
      </c>
      <c r="F509" s="465">
        <v>71475</v>
      </c>
    </row>
    <row r="510" spans="1:6">
      <c r="A510" s="467" t="s">
        <v>133</v>
      </c>
      <c r="B510" s="468" t="s">
        <v>870</v>
      </c>
      <c r="C510" s="468" t="s">
        <v>446</v>
      </c>
      <c r="D510" s="468" t="s">
        <v>463</v>
      </c>
      <c r="E510" s="469">
        <v>100000</v>
      </c>
      <c r="F510" s="469">
        <v>71475</v>
      </c>
    </row>
    <row r="511" spans="1:6" ht="101.25">
      <c r="A511" s="466" t="s">
        <v>2590</v>
      </c>
      <c r="B511" s="464" t="s">
        <v>871</v>
      </c>
      <c r="C511" s="464"/>
      <c r="D511" s="464"/>
      <c r="E511" s="465">
        <v>12500</v>
      </c>
      <c r="F511" s="465">
        <v>12500</v>
      </c>
    </row>
    <row r="512" spans="1:6" ht="33.75">
      <c r="A512" s="463" t="s">
        <v>445</v>
      </c>
      <c r="B512" s="464" t="s">
        <v>871</v>
      </c>
      <c r="C512" s="464" t="s">
        <v>446</v>
      </c>
      <c r="D512" s="464"/>
      <c r="E512" s="465">
        <v>12500</v>
      </c>
      <c r="F512" s="465">
        <v>12500</v>
      </c>
    </row>
    <row r="513" spans="1:6">
      <c r="A513" s="467" t="s">
        <v>133</v>
      </c>
      <c r="B513" s="468" t="s">
        <v>871</v>
      </c>
      <c r="C513" s="468" t="s">
        <v>446</v>
      </c>
      <c r="D513" s="468" t="s">
        <v>463</v>
      </c>
      <c r="E513" s="469">
        <v>12500</v>
      </c>
      <c r="F513" s="469">
        <v>12500</v>
      </c>
    </row>
    <row r="514" spans="1:6" ht="90">
      <c r="A514" s="466" t="s">
        <v>2581</v>
      </c>
      <c r="B514" s="464" t="s">
        <v>854</v>
      </c>
      <c r="C514" s="464"/>
      <c r="D514" s="464"/>
      <c r="E514" s="465">
        <v>57691.51</v>
      </c>
      <c r="F514" s="465">
        <v>57691.51</v>
      </c>
    </row>
    <row r="515" spans="1:6" ht="33.75">
      <c r="A515" s="463" t="s">
        <v>445</v>
      </c>
      <c r="B515" s="464" t="s">
        <v>854</v>
      </c>
      <c r="C515" s="464" t="s">
        <v>446</v>
      </c>
      <c r="D515" s="464"/>
      <c r="E515" s="465">
        <v>57691.51</v>
      </c>
      <c r="F515" s="465">
        <v>57691.51</v>
      </c>
    </row>
    <row r="516" spans="1:6" ht="67.5">
      <c r="A516" s="467" t="s">
        <v>284</v>
      </c>
      <c r="B516" s="468" t="s">
        <v>854</v>
      </c>
      <c r="C516" s="468" t="s">
        <v>446</v>
      </c>
      <c r="D516" s="468" t="s">
        <v>450</v>
      </c>
      <c r="E516" s="469">
        <v>57691.51</v>
      </c>
      <c r="F516" s="469">
        <v>57691.51</v>
      </c>
    </row>
    <row r="517" spans="1:6" ht="101.25">
      <c r="A517" s="466" t="s">
        <v>2591</v>
      </c>
      <c r="B517" s="464" t="s">
        <v>1738</v>
      </c>
      <c r="C517" s="464"/>
      <c r="D517" s="464"/>
      <c r="E517" s="465">
        <v>121.45</v>
      </c>
      <c r="F517" s="465">
        <v>121.45</v>
      </c>
    </row>
    <row r="518" spans="1:6" ht="33.75">
      <c r="A518" s="463" t="s">
        <v>445</v>
      </c>
      <c r="B518" s="464" t="s">
        <v>1738</v>
      </c>
      <c r="C518" s="464" t="s">
        <v>446</v>
      </c>
      <c r="D518" s="464"/>
      <c r="E518" s="465">
        <v>121.45</v>
      </c>
      <c r="F518" s="465">
        <v>121.45</v>
      </c>
    </row>
    <row r="519" spans="1:6">
      <c r="A519" s="467" t="s">
        <v>133</v>
      </c>
      <c r="B519" s="468" t="s">
        <v>1738</v>
      </c>
      <c r="C519" s="468" t="s">
        <v>446</v>
      </c>
      <c r="D519" s="468" t="s">
        <v>463</v>
      </c>
      <c r="E519" s="469">
        <v>121.45</v>
      </c>
      <c r="F519" s="469">
        <v>121.45</v>
      </c>
    </row>
    <row r="520" spans="1:6" ht="56.25">
      <c r="A520" s="463" t="s">
        <v>1825</v>
      </c>
      <c r="B520" s="464" t="s">
        <v>1783</v>
      </c>
      <c r="C520" s="464"/>
      <c r="D520" s="464"/>
      <c r="E520" s="465">
        <v>20000</v>
      </c>
      <c r="F520" s="465">
        <v>19818.73</v>
      </c>
    </row>
    <row r="521" spans="1:6" ht="101.25">
      <c r="A521" s="466" t="s">
        <v>2583</v>
      </c>
      <c r="B521" s="464" t="s">
        <v>1730</v>
      </c>
      <c r="C521" s="464"/>
      <c r="D521" s="464"/>
      <c r="E521" s="465">
        <v>20000</v>
      </c>
      <c r="F521" s="465">
        <v>19818.73</v>
      </c>
    </row>
    <row r="522" spans="1:6" ht="33.75">
      <c r="A522" s="463" t="s">
        <v>445</v>
      </c>
      <c r="B522" s="464" t="s">
        <v>1730</v>
      </c>
      <c r="C522" s="464" t="s">
        <v>446</v>
      </c>
      <c r="D522" s="464"/>
      <c r="E522" s="465">
        <v>20000</v>
      </c>
      <c r="F522" s="465">
        <v>19818.73</v>
      </c>
    </row>
    <row r="523" spans="1:6">
      <c r="A523" s="467" t="s">
        <v>265</v>
      </c>
      <c r="B523" s="468" t="s">
        <v>1730</v>
      </c>
      <c r="C523" s="468" t="s">
        <v>446</v>
      </c>
      <c r="D523" s="468" t="s">
        <v>454</v>
      </c>
      <c r="E523" s="469">
        <v>20000</v>
      </c>
      <c r="F523" s="469">
        <v>19818.73</v>
      </c>
    </row>
    <row r="524" spans="1:6" ht="33.75">
      <c r="A524" s="463" t="s">
        <v>588</v>
      </c>
      <c r="B524" s="464" t="s">
        <v>1212</v>
      </c>
      <c r="C524" s="464"/>
      <c r="D524" s="464"/>
      <c r="E524" s="465">
        <v>217502696.78999999</v>
      </c>
      <c r="F524" s="465">
        <v>204896161.37</v>
      </c>
    </row>
    <row r="525" spans="1:6">
      <c r="A525" s="463" t="s">
        <v>589</v>
      </c>
      <c r="B525" s="464" t="s">
        <v>1213</v>
      </c>
      <c r="C525" s="464"/>
      <c r="D525" s="464"/>
      <c r="E525" s="465">
        <v>41551188.399999999</v>
      </c>
      <c r="F525" s="465">
        <v>38793930</v>
      </c>
    </row>
    <row r="526" spans="1:6" ht="101.25">
      <c r="A526" s="463" t="s">
        <v>1761</v>
      </c>
      <c r="B526" s="464" t="s">
        <v>1762</v>
      </c>
      <c r="C526" s="464"/>
      <c r="D526" s="464"/>
      <c r="E526" s="465">
        <v>888000</v>
      </c>
      <c r="F526" s="465">
        <v>858698.23999999999</v>
      </c>
    </row>
    <row r="527" spans="1:6">
      <c r="A527" s="463" t="s">
        <v>93</v>
      </c>
      <c r="B527" s="464" t="s">
        <v>1762</v>
      </c>
      <c r="C527" s="464" t="s">
        <v>550</v>
      </c>
      <c r="D527" s="464"/>
      <c r="E527" s="465">
        <v>64209</v>
      </c>
      <c r="F527" s="465">
        <v>61911.81</v>
      </c>
    </row>
    <row r="528" spans="1:6">
      <c r="A528" s="467" t="s">
        <v>254</v>
      </c>
      <c r="B528" s="468" t="s">
        <v>1762</v>
      </c>
      <c r="C528" s="468" t="s">
        <v>550</v>
      </c>
      <c r="D528" s="468" t="s">
        <v>510</v>
      </c>
      <c r="E528" s="469">
        <v>64209</v>
      </c>
      <c r="F528" s="469">
        <v>61911.81</v>
      </c>
    </row>
    <row r="529" spans="1:6" ht="67.5">
      <c r="A529" s="463" t="s">
        <v>465</v>
      </c>
      <c r="B529" s="464" t="s">
        <v>1762</v>
      </c>
      <c r="C529" s="464" t="s">
        <v>466</v>
      </c>
      <c r="D529" s="464"/>
      <c r="E529" s="465">
        <v>823791</v>
      </c>
      <c r="F529" s="465">
        <v>796786.43</v>
      </c>
    </row>
    <row r="530" spans="1:6">
      <c r="A530" s="467" t="s">
        <v>254</v>
      </c>
      <c r="B530" s="468" t="s">
        <v>1762</v>
      </c>
      <c r="C530" s="468" t="s">
        <v>466</v>
      </c>
      <c r="D530" s="468" t="s">
        <v>510</v>
      </c>
      <c r="E530" s="469">
        <v>823791</v>
      </c>
      <c r="F530" s="469">
        <v>796786.43</v>
      </c>
    </row>
    <row r="531" spans="1:6" ht="101.25">
      <c r="A531" s="466" t="s">
        <v>2632</v>
      </c>
      <c r="B531" s="464" t="s">
        <v>1899</v>
      </c>
      <c r="C531" s="464"/>
      <c r="D531" s="464"/>
      <c r="E531" s="465">
        <v>4576480.62</v>
      </c>
      <c r="F531" s="465">
        <v>3856560.39</v>
      </c>
    </row>
    <row r="532" spans="1:6" ht="67.5">
      <c r="A532" s="463" t="s">
        <v>465</v>
      </c>
      <c r="B532" s="464" t="s">
        <v>1899</v>
      </c>
      <c r="C532" s="464" t="s">
        <v>466</v>
      </c>
      <c r="D532" s="464"/>
      <c r="E532" s="465">
        <v>4576480.62</v>
      </c>
      <c r="F532" s="465">
        <v>3856560.39</v>
      </c>
    </row>
    <row r="533" spans="1:6">
      <c r="A533" s="467" t="s">
        <v>254</v>
      </c>
      <c r="B533" s="468" t="s">
        <v>1899</v>
      </c>
      <c r="C533" s="468" t="s">
        <v>466</v>
      </c>
      <c r="D533" s="468" t="s">
        <v>510</v>
      </c>
      <c r="E533" s="469">
        <v>4576480.62</v>
      </c>
      <c r="F533" s="469">
        <v>3856560.39</v>
      </c>
    </row>
    <row r="534" spans="1:6" ht="101.25">
      <c r="A534" s="466" t="s">
        <v>2633</v>
      </c>
      <c r="B534" s="464" t="s">
        <v>917</v>
      </c>
      <c r="C534" s="464"/>
      <c r="D534" s="464"/>
      <c r="E534" s="465">
        <v>25057996.329999998</v>
      </c>
      <c r="F534" s="465">
        <v>23886053.030000001</v>
      </c>
    </row>
    <row r="535" spans="1:6" ht="67.5">
      <c r="A535" s="463" t="s">
        <v>465</v>
      </c>
      <c r="B535" s="464" t="s">
        <v>917</v>
      </c>
      <c r="C535" s="464" t="s">
        <v>466</v>
      </c>
      <c r="D535" s="464"/>
      <c r="E535" s="465">
        <v>25057996.329999998</v>
      </c>
      <c r="F535" s="465">
        <v>23886053.030000001</v>
      </c>
    </row>
    <row r="536" spans="1:6">
      <c r="A536" s="467" t="s">
        <v>254</v>
      </c>
      <c r="B536" s="468" t="s">
        <v>917</v>
      </c>
      <c r="C536" s="468" t="s">
        <v>466</v>
      </c>
      <c r="D536" s="468" t="s">
        <v>510</v>
      </c>
      <c r="E536" s="469">
        <v>25057996.329999998</v>
      </c>
      <c r="F536" s="469">
        <v>23886053.030000001</v>
      </c>
    </row>
    <row r="537" spans="1:6" ht="90">
      <c r="A537" s="466" t="s">
        <v>2609</v>
      </c>
      <c r="B537" s="464" t="s">
        <v>918</v>
      </c>
      <c r="C537" s="464"/>
      <c r="D537" s="464"/>
      <c r="E537" s="465">
        <v>4120101.67</v>
      </c>
      <c r="F537" s="465">
        <v>4120101.67</v>
      </c>
    </row>
    <row r="538" spans="1:6" ht="67.5">
      <c r="A538" s="463" t="s">
        <v>465</v>
      </c>
      <c r="B538" s="464" t="s">
        <v>918</v>
      </c>
      <c r="C538" s="464" t="s">
        <v>466</v>
      </c>
      <c r="D538" s="464"/>
      <c r="E538" s="465">
        <v>4120101.67</v>
      </c>
      <c r="F538" s="465">
        <v>4120101.67</v>
      </c>
    </row>
    <row r="539" spans="1:6">
      <c r="A539" s="467" t="s">
        <v>254</v>
      </c>
      <c r="B539" s="468" t="s">
        <v>918</v>
      </c>
      <c r="C539" s="468" t="s">
        <v>466</v>
      </c>
      <c r="D539" s="468" t="s">
        <v>510</v>
      </c>
      <c r="E539" s="469">
        <v>4120101.67</v>
      </c>
      <c r="F539" s="469">
        <v>4120101.67</v>
      </c>
    </row>
    <row r="540" spans="1:6" ht="101.25">
      <c r="A540" s="466" t="s">
        <v>2634</v>
      </c>
      <c r="B540" s="464" t="s">
        <v>1304</v>
      </c>
      <c r="C540" s="464"/>
      <c r="D540" s="464"/>
      <c r="E540" s="465">
        <v>29000</v>
      </c>
      <c r="F540" s="465">
        <v>22195.56</v>
      </c>
    </row>
    <row r="541" spans="1:6" ht="67.5">
      <c r="A541" s="463" t="s">
        <v>465</v>
      </c>
      <c r="B541" s="464" t="s">
        <v>1304</v>
      </c>
      <c r="C541" s="464" t="s">
        <v>466</v>
      </c>
      <c r="D541" s="464"/>
      <c r="E541" s="465">
        <v>29000</v>
      </c>
      <c r="F541" s="465">
        <v>22195.56</v>
      </c>
    </row>
    <row r="542" spans="1:6">
      <c r="A542" s="467" t="s">
        <v>254</v>
      </c>
      <c r="B542" s="468" t="s">
        <v>1304</v>
      </c>
      <c r="C542" s="468" t="s">
        <v>466</v>
      </c>
      <c r="D542" s="468" t="s">
        <v>510</v>
      </c>
      <c r="E542" s="469">
        <v>29000</v>
      </c>
      <c r="F542" s="469">
        <v>22195.56</v>
      </c>
    </row>
    <row r="543" spans="1:6" ht="90">
      <c r="A543" s="466" t="s">
        <v>2635</v>
      </c>
      <c r="B543" s="464" t="s">
        <v>919</v>
      </c>
      <c r="C543" s="464"/>
      <c r="D543" s="464"/>
      <c r="E543" s="465">
        <v>510908</v>
      </c>
      <c r="F543" s="465">
        <v>510908</v>
      </c>
    </row>
    <row r="544" spans="1:6" ht="22.5">
      <c r="A544" s="463" t="s">
        <v>484</v>
      </c>
      <c r="B544" s="464" t="s">
        <v>919</v>
      </c>
      <c r="C544" s="464" t="s">
        <v>485</v>
      </c>
      <c r="D544" s="464"/>
      <c r="E544" s="465">
        <v>510908</v>
      </c>
      <c r="F544" s="465">
        <v>510908</v>
      </c>
    </row>
    <row r="545" spans="1:6">
      <c r="A545" s="467" t="s">
        <v>254</v>
      </c>
      <c r="B545" s="468" t="s">
        <v>919</v>
      </c>
      <c r="C545" s="468" t="s">
        <v>485</v>
      </c>
      <c r="D545" s="468" t="s">
        <v>510</v>
      </c>
      <c r="E545" s="469">
        <v>510908</v>
      </c>
      <c r="F545" s="469">
        <v>510908</v>
      </c>
    </row>
    <row r="546" spans="1:6" ht="90">
      <c r="A546" s="466" t="s">
        <v>2636</v>
      </c>
      <c r="B546" s="464" t="s">
        <v>920</v>
      </c>
      <c r="C546" s="464"/>
      <c r="D546" s="464"/>
      <c r="E546" s="465">
        <v>2987473.78</v>
      </c>
      <c r="F546" s="465">
        <v>2539951.23</v>
      </c>
    </row>
    <row r="547" spans="1:6" ht="67.5">
      <c r="A547" s="463" t="s">
        <v>465</v>
      </c>
      <c r="B547" s="464" t="s">
        <v>920</v>
      </c>
      <c r="C547" s="464" t="s">
        <v>466</v>
      </c>
      <c r="D547" s="464"/>
      <c r="E547" s="465">
        <v>2987473.78</v>
      </c>
      <c r="F547" s="465">
        <v>2539951.23</v>
      </c>
    </row>
    <row r="548" spans="1:6">
      <c r="A548" s="467" t="s">
        <v>254</v>
      </c>
      <c r="B548" s="468" t="s">
        <v>920</v>
      </c>
      <c r="C548" s="468" t="s">
        <v>466</v>
      </c>
      <c r="D548" s="468" t="s">
        <v>510</v>
      </c>
      <c r="E548" s="469">
        <v>2987473.78</v>
      </c>
      <c r="F548" s="469">
        <v>2539951.23</v>
      </c>
    </row>
    <row r="549" spans="1:6" ht="90">
      <c r="A549" s="466" t="s">
        <v>2637</v>
      </c>
      <c r="B549" s="464" t="s">
        <v>1176</v>
      </c>
      <c r="C549" s="464"/>
      <c r="D549" s="464"/>
      <c r="E549" s="465">
        <v>672000</v>
      </c>
      <c r="F549" s="465">
        <v>627199.13</v>
      </c>
    </row>
    <row r="550" spans="1:6" ht="67.5">
      <c r="A550" s="463" t="s">
        <v>465</v>
      </c>
      <c r="B550" s="464" t="s">
        <v>1176</v>
      </c>
      <c r="C550" s="464" t="s">
        <v>466</v>
      </c>
      <c r="D550" s="464"/>
      <c r="E550" s="465">
        <v>672000</v>
      </c>
      <c r="F550" s="465">
        <v>627199.13</v>
      </c>
    </row>
    <row r="551" spans="1:6">
      <c r="A551" s="467" t="s">
        <v>254</v>
      </c>
      <c r="B551" s="468" t="s">
        <v>1176</v>
      </c>
      <c r="C551" s="468" t="s">
        <v>466</v>
      </c>
      <c r="D551" s="468" t="s">
        <v>510</v>
      </c>
      <c r="E551" s="469">
        <v>672000</v>
      </c>
      <c r="F551" s="469">
        <v>627199.13</v>
      </c>
    </row>
    <row r="552" spans="1:6" ht="67.5">
      <c r="A552" s="463" t="s">
        <v>520</v>
      </c>
      <c r="B552" s="464" t="s">
        <v>926</v>
      </c>
      <c r="C552" s="464"/>
      <c r="D552" s="464"/>
      <c r="E552" s="465">
        <v>150901.68</v>
      </c>
      <c r="F552" s="465">
        <v>144626.68</v>
      </c>
    </row>
    <row r="553" spans="1:6" ht="22.5">
      <c r="A553" s="463" t="s">
        <v>484</v>
      </c>
      <c r="B553" s="464" t="s">
        <v>926</v>
      </c>
      <c r="C553" s="464" t="s">
        <v>485</v>
      </c>
      <c r="D553" s="464"/>
      <c r="E553" s="465">
        <v>150901.68</v>
      </c>
      <c r="F553" s="465">
        <v>144626.68</v>
      </c>
    </row>
    <row r="554" spans="1:6">
      <c r="A554" s="467" t="s">
        <v>254</v>
      </c>
      <c r="B554" s="468" t="s">
        <v>926</v>
      </c>
      <c r="C554" s="468" t="s">
        <v>485</v>
      </c>
      <c r="D554" s="468" t="s">
        <v>510</v>
      </c>
      <c r="E554" s="469">
        <v>150901.68</v>
      </c>
      <c r="F554" s="469">
        <v>144626.68</v>
      </c>
    </row>
    <row r="555" spans="1:6" ht="67.5">
      <c r="A555" s="463" t="s">
        <v>521</v>
      </c>
      <c r="B555" s="464" t="s">
        <v>927</v>
      </c>
      <c r="C555" s="464"/>
      <c r="D555" s="464"/>
      <c r="E555" s="465">
        <v>111097.32</v>
      </c>
      <c r="F555" s="465">
        <v>25000</v>
      </c>
    </row>
    <row r="556" spans="1:6" ht="22.5">
      <c r="A556" s="463" t="s">
        <v>484</v>
      </c>
      <c r="B556" s="464" t="s">
        <v>927</v>
      </c>
      <c r="C556" s="464" t="s">
        <v>485</v>
      </c>
      <c r="D556" s="464"/>
      <c r="E556" s="465">
        <v>111097.32</v>
      </c>
      <c r="F556" s="465">
        <v>25000</v>
      </c>
    </row>
    <row r="557" spans="1:6">
      <c r="A557" s="467" t="s">
        <v>254</v>
      </c>
      <c r="B557" s="468" t="s">
        <v>927</v>
      </c>
      <c r="C557" s="468" t="s">
        <v>485</v>
      </c>
      <c r="D557" s="468" t="s">
        <v>510</v>
      </c>
      <c r="E557" s="469">
        <v>111097.32</v>
      </c>
      <c r="F557" s="469">
        <v>25000</v>
      </c>
    </row>
    <row r="558" spans="1:6" ht="78.75">
      <c r="A558" s="463" t="s">
        <v>1763</v>
      </c>
      <c r="B558" s="464" t="s">
        <v>1764</v>
      </c>
      <c r="C558" s="464"/>
      <c r="D558" s="464"/>
      <c r="E558" s="465">
        <v>1945</v>
      </c>
      <c r="F558" s="465">
        <v>1945</v>
      </c>
    </row>
    <row r="559" spans="1:6" ht="22.5">
      <c r="A559" s="463" t="s">
        <v>484</v>
      </c>
      <c r="B559" s="464" t="s">
        <v>1764</v>
      </c>
      <c r="C559" s="464" t="s">
        <v>485</v>
      </c>
      <c r="D559" s="464"/>
      <c r="E559" s="465">
        <v>1945</v>
      </c>
      <c r="F559" s="465">
        <v>1945</v>
      </c>
    </row>
    <row r="560" spans="1:6">
      <c r="A560" s="467" t="s">
        <v>254</v>
      </c>
      <c r="B560" s="468" t="s">
        <v>1764</v>
      </c>
      <c r="C560" s="468" t="s">
        <v>485</v>
      </c>
      <c r="D560" s="468" t="s">
        <v>510</v>
      </c>
      <c r="E560" s="469">
        <v>1945</v>
      </c>
      <c r="F560" s="469">
        <v>1945</v>
      </c>
    </row>
    <row r="561" spans="1:6" ht="56.25">
      <c r="A561" s="463" t="s">
        <v>1765</v>
      </c>
      <c r="B561" s="464" t="s">
        <v>1766</v>
      </c>
      <c r="C561" s="464"/>
      <c r="D561" s="464"/>
      <c r="E561" s="465">
        <v>361700</v>
      </c>
      <c r="F561" s="465">
        <v>361700</v>
      </c>
    </row>
    <row r="562" spans="1:6" ht="22.5">
      <c r="A562" s="463" t="s">
        <v>484</v>
      </c>
      <c r="B562" s="464" t="s">
        <v>1766</v>
      </c>
      <c r="C562" s="464" t="s">
        <v>485</v>
      </c>
      <c r="D562" s="464"/>
      <c r="E562" s="465">
        <v>361700</v>
      </c>
      <c r="F562" s="465">
        <v>361700</v>
      </c>
    </row>
    <row r="563" spans="1:6">
      <c r="A563" s="467" t="s">
        <v>254</v>
      </c>
      <c r="B563" s="468" t="s">
        <v>1766</v>
      </c>
      <c r="C563" s="468" t="s">
        <v>485</v>
      </c>
      <c r="D563" s="468" t="s">
        <v>510</v>
      </c>
      <c r="E563" s="469">
        <v>361700</v>
      </c>
      <c r="F563" s="469">
        <v>361700</v>
      </c>
    </row>
    <row r="564" spans="1:6" ht="90">
      <c r="A564" s="463" t="s">
        <v>1810</v>
      </c>
      <c r="B564" s="464" t="s">
        <v>1811</v>
      </c>
      <c r="C564" s="464"/>
      <c r="D564" s="464"/>
      <c r="E564" s="465">
        <v>86100</v>
      </c>
      <c r="F564" s="465">
        <v>86100</v>
      </c>
    </row>
    <row r="565" spans="1:6" ht="22.5">
      <c r="A565" s="463" t="s">
        <v>484</v>
      </c>
      <c r="B565" s="464" t="s">
        <v>1811</v>
      </c>
      <c r="C565" s="464" t="s">
        <v>485</v>
      </c>
      <c r="D565" s="464"/>
      <c r="E565" s="465">
        <v>86100</v>
      </c>
      <c r="F565" s="465">
        <v>86100</v>
      </c>
    </row>
    <row r="566" spans="1:6">
      <c r="A566" s="467" t="s">
        <v>254</v>
      </c>
      <c r="B566" s="468" t="s">
        <v>1811</v>
      </c>
      <c r="C566" s="468" t="s">
        <v>485</v>
      </c>
      <c r="D566" s="468" t="s">
        <v>510</v>
      </c>
      <c r="E566" s="469">
        <v>86100</v>
      </c>
      <c r="F566" s="469">
        <v>86100</v>
      </c>
    </row>
    <row r="567" spans="1:6" ht="78.75">
      <c r="A567" s="463" t="s">
        <v>519</v>
      </c>
      <c r="B567" s="464" t="s">
        <v>922</v>
      </c>
      <c r="C567" s="464"/>
      <c r="D567" s="464"/>
      <c r="E567" s="465">
        <v>1590411.85</v>
      </c>
      <c r="F567" s="465">
        <v>1438203.18</v>
      </c>
    </row>
    <row r="568" spans="1:6" ht="67.5">
      <c r="A568" s="463" t="s">
        <v>465</v>
      </c>
      <c r="B568" s="464" t="s">
        <v>922</v>
      </c>
      <c r="C568" s="464" t="s">
        <v>466</v>
      </c>
      <c r="D568" s="464"/>
      <c r="E568" s="465">
        <v>1560411.85</v>
      </c>
      <c r="F568" s="465">
        <v>1408235.18</v>
      </c>
    </row>
    <row r="569" spans="1:6">
      <c r="A569" s="467" t="s">
        <v>254</v>
      </c>
      <c r="B569" s="468" t="s">
        <v>922</v>
      </c>
      <c r="C569" s="468" t="s">
        <v>466</v>
      </c>
      <c r="D569" s="468" t="s">
        <v>510</v>
      </c>
      <c r="E569" s="469">
        <v>1560411.85</v>
      </c>
      <c r="F569" s="469">
        <v>1408235.18</v>
      </c>
    </row>
    <row r="570" spans="1:6" ht="22.5">
      <c r="A570" s="463" t="s">
        <v>484</v>
      </c>
      <c r="B570" s="464" t="s">
        <v>922</v>
      </c>
      <c r="C570" s="464" t="s">
        <v>485</v>
      </c>
      <c r="D570" s="464"/>
      <c r="E570" s="465">
        <v>30000</v>
      </c>
      <c r="F570" s="465">
        <v>29968</v>
      </c>
    </row>
    <row r="571" spans="1:6">
      <c r="A571" s="467" t="s">
        <v>254</v>
      </c>
      <c r="B571" s="468" t="s">
        <v>922</v>
      </c>
      <c r="C571" s="468" t="s">
        <v>485</v>
      </c>
      <c r="D571" s="468" t="s">
        <v>510</v>
      </c>
      <c r="E571" s="469">
        <v>30000</v>
      </c>
      <c r="F571" s="469">
        <v>29968</v>
      </c>
    </row>
    <row r="572" spans="1:6" ht="90">
      <c r="A572" s="466" t="s">
        <v>2638</v>
      </c>
      <c r="B572" s="464" t="s">
        <v>1812</v>
      </c>
      <c r="C572" s="464"/>
      <c r="D572" s="464"/>
      <c r="E572" s="465">
        <v>64209</v>
      </c>
      <c r="F572" s="465">
        <v>61911.81</v>
      </c>
    </row>
    <row r="573" spans="1:6" ht="67.5">
      <c r="A573" s="463" t="s">
        <v>465</v>
      </c>
      <c r="B573" s="464" t="s">
        <v>1812</v>
      </c>
      <c r="C573" s="464" t="s">
        <v>466</v>
      </c>
      <c r="D573" s="464"/>
      <c r="E573" s="465">
        <v>64209</v>
      </c>
      <c r="F573" s="465">
        <v>61911.81</v>
      </c>
    </row>
    <row r="574" spans="1:6">
      <c r="A574" s="467" t="s">
        <v>254</v>
      </c>
      <c r="B574" s="468" t="s">
        <v>1812</v>
      </c>
      <c r="C574" s="468" t="s">
        <v>466</v>
      </c>
      <c r="D574" s="468" t="s">
        <v>510</v>
      </c>
      <c r="E574" s="469">
        <v>64209</v>
      </c>
      <c r="F574" s="469">
        <v>61911.81</v>
      </c>
    </row>
    <row r="575" spans="1:6" ht="90">
      <c r="A575" s="466" t="s">
        <v>2639</v>
      </c>
      <c r="B575" s="464" t="s">
        <v>923</v>
      </c>
      <c r="C575" s="464"/>
      <c r="D575" s="464"/>
      <c r="E575" s="465">
        <v>49015.15</v>
      </c>
      <c r="F575" s="465">
        <v>49015.15</v>
      </c>
    </row>
    <row r="576" spans="1:6" ht="67.5">
      <c r="A576" s="463" t="s">
        <v>465</v>
      </c>
      <c r="B576" s="464" t="s">
        <v>923</v>
      </c>
      <c r="C576" s="464" t="s">
        <v>466</v>
      </c>
      <c r="D576" s="464"/>
      <c r="E576" s="465">
        <v>49015.15</v>
      </c>
      <c r="F576" s="465">
        <v>49015.15</v>
      </c>
    </row>
    <row r="577" spans="1:6">
      <c r="A577" s="467" t="s">
        <v>254</v>
      </c>
      <c r="B577" s="468" t="s">
        <v>923</v>
      </c>
      <c r="C577" s="468" t="s">
        <v>466</v>
      </c>
      <c r="D577" s="468" t="s">
        <v>510</v>
      </c>
      <c r="E577" s="469">
        <v>49015.15</v>
      </c>
      <c r="F577" s="469">
        <v>49015.15</v>
      </c>
    </row>
    <row r="578" spans="1:6" ht="101.25">
      <c r="A578" s="466" t="s">
        <v>2640</v>
      </c>
      <c r="B578" s="464" t="s">
        <v>924</v>
      </c>
      <c r="C578" s="464"/>
      <c r="D578" s="464"/>
      <c r="E578" s="465">
        <v>100000</v>
      </c>
      <c r="F578" s="465">
        <v>27781.88</v>
      </c>
    </row>
    <row r="579" spans="1:6" ht="22.5">
      <c r="A579" s="463" t="s">
        <v>484</v>
      </c>
      <c r="B579" s="464" t="s">
        <v>924</v>
      </c>
      <c r="C579" s="464" t="s">
        <v>485</v>
      </c>
      <c r="D579" s="464"/>
      <c r="E579" s="465">
        <v>100000</v>
      </c>
      <c r="F579" s="465">
        <v>27781.88</v>
      </c>
    </row>
    <row r="580" spans="1:6">
      <c r="A580" s="467" t="s">
        <v>254</v>
      </c>
      <c r="B580" s="468" t="s">
        <v>924</v>
      </c>
      <c r="C580" s="468" t="s">
        <v>485</v>
      </c>
      <c r="D580" s="468" t="s">
        <v>510</v>
      </c>
      <c r="E580" s="469">
        <v>100000</v>
      </c>
      <c r="F580" s="469">
        <v>27781.88</v>
      </c>
    </row>
    <row r="581" spans="1:6" ht="101.25">
      <c r="A581" s="466" t="s">
        <v>2641</v>
      </c>
      <c r="B581" s="464" t="s">
        <v>925</v>
      </c>
      <c r="C581" s="464"/>
      <c r="D581" s="464"/>
      <c r="E581" s="465">
        <v>56634</v>
      </c>
      <c r="F581" s="465">
        <v>47740.01</v>
      </c>
    </row>
    <row r="582" spans="1:6" ht="67.5">
      <c r="A582" s="463" t="s">
        <v>465</v>
      </c>
      <c r="B582" s="464" t="s">
        <v>925</v>
      </c>
      <c r="C582" s="464" t="s">
        <v>466</v>
      </c>
      <c r="D582" s="464"/>
      <c r="E582" s="465">
        <v>56634</v>
      </c>
      <c r="F582" s="465">
        <v>47740.01</v>
      </c>
    </row>
    <row r="583" spans="1:6">
      <c r="A583" s="467" t="s">
        <v>254</v>
      </c>
      <c r="B583" s="468" t="s">
        <v>925</v>
      </c>
      <c r="C583" s="468" t="s">
        <v>466</v>
      </c>
      <c r="D583" s="468" t="s">
        <v>510</v>
      </c>
      <c r="E583" s="469">
        <v>56634</v>
      </c>
      <c r="F583" s="469">
        <v>47740.01</v>
      </c>
    </row>
    <row r="584" spans="1:6" ht="90">
      <c r="A584" s="466" t="s">
        <v>2642</v>
      </c>
      <c r="B584" s="464" t="s">
        <v>1178</v>
      </c>
      <c r="C584" s="464"/>
      <c r="D584" s="464"/>
      <c r="E584" s="465">
        <v>137214</v>
      </c>
      <c r="F584" s="465">
        <v>128239.03999999999</v>
      </c>
    </row>
    <row r="585" spans="1:6" ht="67.5">
      <c r="A585" s="463" t="s">
        <v>465</v>
      </c>
      <c r="B585" s="464" t="s">
        <v>1178</v>
      </c>
      <c r="C585" s="464" t="s">
        <v>466</v>
      </c>
      <c r="D585" s="464"/>
      <c r="E585" s="465">
        <v>137214</v>
      </c>
      <c r="F585" s="465">
        <v>128239.03999999999</v>
      </c>
    </row>
    <row r="586" spans="1:6">
      <c r="A586" s="467" t="s">
        <v>254</v>
      </c>
      <c r="B586" s="468" t="s">
        <v>1178</v>
      </c>
      <c r="C586" s="468" t="s">
        <v>466</v>
      </c>
      <c r="D586" s="468" t="s">
        <v>510</v>
      </c>
      <c r="E586" s="469">
        <v>137214</v>
      </c>
      <c r="F586" s="469">
        <v>128239.03999999999</v>
      </c>
    </row>
    <row r="587" spans="1:6" ht="22.5">
      <c r="A587" s="463" t="s">
        <v>759</v>
      </c>
      <c r="B587" s="464" t="s">
        <v>1214</v>
      </c>
      <c r="C587" s="464"/>
      <c r="D587" s="464"/>
      <c r="E587" s="465">
        <v>93783944.620000005</v>
      </c>
      <c r="F587" s="465">
        <v>86878112.349999994</v>
      </c>
    </row>
    <row r="588" spans="1:6" ht="101.25">
      <c r="A588" s="466" t="s">
        <v>2632</v>
      </c>
      <c r="B588" s="464" t="s">
        <v>1901</v>
      </c>
      <c r="C588" s="464"/>
      <c r="D588" s="464"/>
      <c r="E588" s="465">
        <v>7954519.3799999999</v>
      </c>
      <c r="F588" s="465">
        <v>7731918.2400000002</v>
      </c>
    </row>
    <row r="589" spans="1:6">
      <c r="A589" s="463" t="s">
        <v>93</v>
      </c>
      <c r="B589" s="464" t="s">
        <v>1901</v>
      </c>
      <c r="C589" s="464" t="s">
        <v>550</v>
      </c>
      <c r="D589" s="464"/>
      <c r="E589" s="465">
        <v>106684.29</v>
      </c>
      <c r="F589" s="465">
        <v>106684.29</v>
      </c>
    </row>
    <row r="590" spans="1:6">
      <c r="A590" s="467" t="s">
        <v>254</v>
      </c>
      <c r="B590" s="468" t="s">
        <v>1901</v>
      </c>
      <c r="C590" s="468" t="s">
        <v>550</v>
      </c>
      <c r="D590" s="468" t="s">
        <v>510</v>
      </c>
      <c r="E590" s="469">
        <v>106684.29</v>
      </c>
      <c r="F590" s="469">
        <v>106684.29</v>
      </c>
    </row>
    <row r="591" spans="1:6" ht="67.5">
      <c r="A591" s="463" t="s">
        <v>465</v>
      </c>
      <c r="B591" s="464" t="s">
        <v>1901</v>
      </c>
      <c r="C591" s="464" t="s">
        <v>466</v>
      </c>
      <c r="D591" s="464"/>
      <c r="E591" s="465">
        <v>7847835.0899999999</v>
      </c>
      <c r="F591" s="465">
        <v>7625233.9500000002</v>
      </c>
    </row>
    <row r="592" spans="1:6">
      <c r="A592" s="467" t="s">
        <v>254</v>
      </c>
      <c r="B592" s="468" t="s">
        <v>1901</v>
      </c>
      <c r="C592" s="468" t="s">
        <v>466</v>
      </c>
      <c r="D592" s="468" t="s">
        <v>510</v>
      </c>
      <c r="E592" s="469">
        <v>7847835.0899999999</v>
      </c>
      <c r="F592" s="469">
        <v>7625233.9500000002</v>
      </c>
    </row>
    <row r="593" spans="1:6" ht="101.25">
      <c r="A593" s="466" t="s">
        <v>2643</v>
      </c>
      <c r="B593" s="464" t="s">
        <v>929</v>
      </c>
      <c r="C593" s="464"/>
      <c r="D593" s="464"/>
      <c r="E593" s="465">
        <v>33849156.299999997</v>
      </c>
      <c r="F593" s="465">
        <v>31331728.940000001</v>
      </c>
    </row>
    <row r="594" spans="1:6" ht="67.5">
      <c r="A594" s="463" t="s">
        <v>465</v>
      </c>
      <c r="B594" s="464" t="s">
        <v>929</v>
      </c>
      <c r="C594" s="464" t="s">
        <v>466</v>
      </c>
      <c r="D594" s="464"/>
      <c r="E594" s="465">
        <v>33849156.299999997</v>
      </c>
      <c r="F594" s="465">
        <v>31331728.940000001</v>
      </c>
    </row>
    <row r="595" spans="1:6">
      <c r="A595" s="467" t="s">
        <v>254</v>
      </c>
      <c r="B595" s="468" t="s">
        <v>929</v>
      </c>
      <c r="C595" s="468" t="s">
        <v>466</v>
      </c>
      <c r="D595" s="468" t="s">
        <v>510</v>
      </c>
      <c r="E595" s="469">
        <v>33849156.299999997</v>
      </c>
      <c r="F595" s="469">
        <v>31331728.940000001</v>
      </c>
    </row>
    <row r="596" spans="1:6" ht="90">
      <c r="A596" s="466" t="s">
        <v>2609</v>
      </c>
      <c r="B596" s="464" t="s">
        <v>930</v>
      </c>
      <c r="C596" s="464"/>
      <c r="D596" s="464"/>
      <c r="E596" s="465">
        <v>7575081.7000000002</v>
      </c>
      <c r="F596" s="465">
        <v>7575081.7000000002</v>
      </c>
    </row>
    <row r="597" spans="1:6" ht="67.5">
      <c r="A597" s="463" t="s">
        <v>465</v>
      </c>
      <c r="B597" s="464" t="s">
        <v>930</v>
      </c>
      <c r="C597" s="464" t="s">
        <v>466</v>
      </c>
      <c r="D597" s="464"/>
      <c r="E597" s="465">
        <v>7575081.7000000002</v>
      </c>
      <c r="F597" s="465">
        <v>7575081.7000000002</v>
      </c>
    </row>
    <row r="598" spans="1:6">
      <c r="A598" s="467" t="s">
        <v>254</v>
      </c>
      <c r="B598" s="468" t="s">
        <v>930</v>
      </c>
      <c r="C598" s="468" t="s">
        <v>466</v>
      </c>
      <c r="D598" s="468" t="s">
        <v>510</v>
      </c>
      <c r="E598" s="469">
        <v>7575081.7000000002</v>
      </c>
      <c r="F598" s="469">
        <v>7575081.7000000002</v>
      </c>
    </row>
    <row r="599" spans="1:6" ht="90">
      <c r="A599" s="466" t="s">
        <v>2644</v>
      </c>
      <c r="B599" s="464" t="s">
        <v>932</v>
      </c>
      <c r="C599" s="464"/>
      <c r="D599" s="464"/>
      <c r="E599" s="465">
        <v>696626.61</v>
      </c>
      <c r="F599" s="465">
        <v>693479.14</v>
      </c>
    </row>
    <row r="600" spans="1:6" ht="22.5">
      <c r="A600" s="463" t="s">
        <v>484</v>
      </c>
      <c r="B600" s="464" t="s">
        <v>932</v>
      </c>
      <c r="C600" s="464" t="s">
        <v>485</v>
      </c>
      <c r="D600" s="464"/>
      <c r="E600" s="465">
        <v>696626.61</v>
      </c>
      <c r="F600" s="465">
        <v>693479.14</v>
      </c>
    </row>
    <row r="601" spans="1:6">
      <c r="A601" s="467" t="s">
        <v>254</v>
      </c>
      <c r="B601" s="468" t="s">
        <v>932</v>
      </c>
      <c r="C601" s="468" t="s">
        <v>485</v>
      </c>
      <c r="D601" s="468" t="s">
        <v>510</v>
      </c>
      <c r="E601" s="469">
        <v>696626.61</v>
      </c>
      <c r="F601" s="469">
        <v>693479.14</v>
      </c>
    </row>
    <row r="602" spans="1:6" ht="90">
      <c r="A602" s="466" t="s">
        <v>2645</v>
      </c>
      <c r="B602" s="464" t="s">
        <v>933</v>
      </c>
      <c r="C602" s="464"/>
      <c r="D602" s="464"/>
      <c r="E602" s="465">
        <v>13453806.52</v>
      </c>
      <c r="F602" s="465">
        <v>11852973.01</v>
      </c>
    </row>
    <row r="603" spans="1:6" ht="67.5">
      <c r="A603" s="463" t="s">
        <v>465</v>
      </c>
      <c r="B603" s="464" t="s">
        <v>933</v>
      </c>
      <c r="C603" s="464" t="s">
        <v>466</v>
      </c>
      <c r="D603" s="464"/>
      <c r="E603" s="465">
        <v>13453806.52</v>
      </c>
      <c r="F603" s="465">
        <v>11852973.01</v>
      </c>
    </row>
    <row r="604" spans="1:6">
      <c r="A604" s="467" t="s">
        <v>254</v>
      </c>
      <c r="B604" s="468" t="s">
        <v>933</v>
      </c>
      <c r="C604" s="468" t="s">
        <v>466</v>
      </c>
      <c r="D604" s="468" t="s">
        <v>510</v>
      </c>
      <c r="E604" s="469">
        <v>13453806.52</v>
      </c>
      <c r="F604" s="469">
        <v>11852973.01</v>
      </c>
    </row>
    <row r="605" spans="1:6" ht="90">
      <c r="A605" s="466" t="s">
        <v>2646</v>
      </c>
      <c r="B605" s="464" t="s">
        <v>1180</v>
      </c>
      <c r="C605" s="464"/>
      <c r="D605" s="464"/>
      <c r="E605" s="465">
        <v>1562226</v>
      </c>
      <c r="F605" s="465">
        <v>1524884.2</v>
      </c>
    </row>
    <row r="606" spans="1:6" ht="67.5">
      <c r="A606" s="463" t="s">
        <v>465</v>
      </c>
      <c r="B606" s="464" t="s">
        <v>1180</v>
      </c>
      <c r="C606" s="464" t="s">
        <v>466</v>
      </c>
      <c r="D606" s="464"/>
      <c r="E606" s="465">
        <v>1562226</v>
      </c>
      <c r="F606" s="465">
        <v>1524884.2</v>
      </c>
    </row>
    <row r="607" spans="1:6">
      <c r="A607" s="467" t="s">
        <v>254</v>
      </c>
      <c r="B607" s="468" t="s">
        <v>1180</v>
      </c>
      <c r="C607" s="468" t="s">
        <v>466</v>
      </c>
      <c r="D607" s="468" t="s">
        <v>510</v>
      </c>
      <c r="E607" s="469">
        <v>1562226</v>
      </c>
      <c r="F607" s="469">
        <v>1524884.2</v>
      </c>
    </row>
    <row r="608" spans="1:6" ht="67.5">
      <c r="A608" s="463" t="s">
        <v>637</v>
      </c>
      <c r="B608" s="464" t="s">
        <v>911</v>
      </c>
      <c r="C608" s="464"/>
      <c r="D608" s="464"/>
      <c r="E608" s="465">
        <v>3592550</v>
      </c>
      <c r="F608" s="465">
        <v>3342868</v>
      </c>
    </row>
    <row r="609" spans="1:6" ht="22.5">
      <c r="A609" s="463" t="s">
        <v>484</v>
      </c>
      <c r="B609" s="464" t="s">
        <v>911</v>
      </c>
      <c r="C609" s="464" t="s">
        <v>485</v>
      </c>
      <c r="D609" s="464"/>
      <c r="E609" s="465">
        <v>3592550</v>
      </c>
      <c r="F609" s="465">
        <v>3342868</v>
      </c>
    </row>
    <row r="610" spans="1:6">
      <c r="A610" s="467" t="s">
        <v>1442</v>
      </c>
      <c r="B610" s="468" t="s">
        <v>911</v>
      </c>
      <c r="C610" s="468" t="s">
        <v>485</v>
      </c>
      <c r="D610" s="468" t="s">
        <v>1443</v>
      </c>
      <c r="E610" s="469">
        <v>158550</v>
      </c>
      <c r="F610" s="469">
        <v>158550</v>
      </c>
    </row>
    <row r="611" spans="1:6">
      <c r="A611" s="467" t="s">
        <v>254</v>
      </c>
      <c r="B611" s="468" t="s">
        <v>911</v>
      </c>
      <c r="C611" s="468" t="s">
        <v>485</v>
      </c>
      <c r="D611" s="468" t="s">
        <v>510</v>
      </c>
      <c r="E611" s="469">
        <v>3434000</v>
      </c>
      <c r="F611" s="469">
        <v>3184318</v>
      </c>
    </row>
    <row r="612" spans="1:6" ht="90">
      <c r="A612" s="463" t="s">
        <v>649</v>
      </c>
      <c r="B612" s="464" t="s">
        <v>934</v>
      </c>
      <c r="C612" s="464"/>
      <c r="D612" s="464"/>
      <c r="E612" s="465">
        <v>16078558</v>
      </c>
      <c r="F612" s="465">
        <v>15331382.859999999</v>
      </c>
    </row>
    <row r="613" spans="1:6" ht="67.5">
      <c r="A613" s="463" t="s">
        <v>465</v>
      </c>
      <c r="B613" s="464" t="s">
        <v>934</v>
      </c>
      <c r="C613" s="464" t="s">
        <v>466</v>
      </c>
      <c r="D613" s="464"/>
      <c r="E613" s="465">
        <v>16078558</v>
      </c>
      <c r="F613" s="465">
        <v>15331382.859999999</v>
      </c>
    </row>
    <row r="614" spans="1:6">
      <c r="A614" s="467" t="s">
        <v>254</v>
      </c>
      <c r="B614" s="468" t="s">
        <v>934</v>
      </c>
      <c r="C614" s="468" t="s">
        <v>466</v>
      </c>
      <c r="D614" s="468" t="s">
        <v>510</v>
      </c>
      <c r="E614" s="469">
        <v>16078558</v>
      </c>
      <c r="F614" s="469">
        <v>15331382.859999999</v>
      </c>
    </row>
    <row r="615" spans="1:6" ht="90">
      <c r="A615" s="466" t="s">
        <v>2647</v>
      </c>
      <c r="B615" s="464" t="s">
        <v>935</v>
      </c>
      <c r="C615" s="464"/>
      <c r="D615" s="464"/>
      <c r="E615" s="465">
        <v>3256034.11</v>
      </c>
      <c r="F615" s="465">
        <v>2926479.3</v>
      </c>
    </row>
    <row r="616" spans="1:6" ht="67.5">
      <c r="A616" s="463" t="s">
        <v>465</v>
      </c>
      <c r="B616" s="464" t="s">
        <v>935</v>
      </c>
      <c r="C616" s="464" t="s">
        <v>466</v>
      </c>
      <c r="D616" s="464"/>
      <c r="E616" s="465">
        <v>3256034.11</v>
      </c>
      <c r="F616" s="465">
        <v>2926479.3</v>
      </c>
    </row>
    <row r="617" spans="1:6">
      <c r="A617" s="467" t="s">
        <v>254</v>
      </c>
      <c r="B617" s="468" t="s">
        <v>935</v>
      </c>
      <c r="C617" s="468" t="s">
        <v>466</v>
      </c>
      <c r="D617" s="468" t="s">
        <v>510</v>
      </c>
      <c r="E617" s="469">
        <v>3256034.11</v>
      </c>
      <c r="F617" s="469">
        <v>2926479.3</v>
      </c>
    </row>
    <row r="618" spans="1:6" ht="101.25">
      <c r="A618" s="466" t="s">
        <v>2648</v>
      </c>
      <c r="B618" s="464" t="s">
        <v>937</v>
      </c>
      <c r="C618" s="464"/>
      <c r="D618" s="464"/>
      <c r="E618" s="465">
        <v>721770</v>
      </c>
      <c r="F618" s="465">
        <v>385001.93</v>
      </c>
    </row>
    <row r="619" spans="1:6" ht="22.5">
      <c r="A619" s="463" t="s">
        <v>484</v>
      </c>
      <c r="B619" s="464" t="s">
        <v>937</v>
      </c>
      <c r="C619" s="464" t="s">
        <v>485</v>
      </c>
      <c r="D619" s="464"/>
      <c r="E619" s="465">
        <v>721770</v>
      </c>
      <c r="F619" s="465">
        <v>385001.93</v>
      </c>
    </row>
    <row r="620" spans="1:6">
      <c r="A620" s="467" t="s">
        <v>254</v>
      </c>
      <c r="B620" s="468" t="s">
        <v>937</v>
      </c>
      <c r="C620" s="468" t="s">
        <v>485</v>
      </c>
      <c r="D620" s="468" t="s">
        <v>510</v>
      </c>
      <c r="E620" s="469">
        <v>721770</v>
      </c>
      <c r="F620" s="469">
        <v>385001.93</v>
      </c>
    </row>
    <row r="621" spans="1:6" ht="90">
      <c r="A621" s="466" t="s">
        <v>2649</v>
      </c>
      <c r="B621" s="464" t="s">
        <v>938</v>
      </c>
      <c r="C621" s="464"/>
      <c r="D621" s="464"/>
      <c r="E621" s="465">
        <v>4310842</v>
      </c>
      <c r="F621" s="465">
        <v>3470721.53</v>
      </c>
    </row>
    <row r="622" spans="1:6" ht="67.5">
      <c r="A622" s="463" t="s">
        <v>465</v>
      </c>
      <c r="B622" s="464" t="s">
        <v>938</v>
      </c>
      <c r="C622" s="464" t="s">
        <v>466</v>
      </c>
      <c r="D622" s="464"/>
      <c r="E622" s="465">
        <v>4310842</v>
      </c>
      <c r="F622" s="465">
        <v>3470721.53</v>
      </c>
    </row>
    <row r="623" spans="1:6">
      <c r="A623" s="467" t="s">
        <v>254</v>
      </c>
      <c r="B623" s="468" t="s">
        <v>938</v>
      </c>
      <c r="C623" s="468" t="s">
        <v>466</v>
      </c>
      <c r="D623" s="468" t="s">
        <v>510</v>
      </c>
      <c r="E623" s="469">
        <v>4310842</v>
      </c>
      <c r="F623" s="469">
        <v>3470721.53</v>
      </c>
    </row>
    <row r="624" spans="1:6" ht="90">
      <c r="A624" s="466" t="s">
        <v>2650</v>
      </c>
      <c r="B624" s="464" t="s">
        <v>1182</v>
      </c>
      <c r="C624" s="464"/>
      <c r="D624" s="464"/>
      <c r="E624" s="465">
        <v>732774</v>
      </c>
      <c r="F624" s="465">
        <v>711593.5</v>
      </c>
    </row>
    <row r="625" spans="1:6" ht="67.5">
      <c r="A625" s="463" t="s">
        <v>465</v>
      </c>
      <c r="B625" s="464" t="s">
        <v>1182</v>
      </c>
      <c r="C625" s="464" t="s">
        <v>466</v>
      </c>
      <c r="D625" s="464"/>
      <c r="E625" s="465">
        <v>732774</v>
      </c>
      <c r="F625" s="465">
        <v>711593.5</v>
      </c>
    </row>
    <row r="626" spans="1:6">
      <c r="A626" s="467" t="s">
        <v>254</v>
      </c>
      <c r="B626" s="468" t="s">
        <v>1182</v>
      </c>
      <c r="C626" s="468" t="s">
        <v>466</v>
      </c>
      <c r="D626" s="468" t="s">
        <v>510</v>
      </c>
      <c r="E626" s="469">
        <v>732774</v>
      </c>
      <c r="F626" s="469">
        <v>711593.5</v>
      </c>
    </row>
    <row r="627" spans="1:6" ht="33.75">
      <c r="A627" s="463" t="s">
        <v>760</v>
      </c>
      <c r="B627" s="464" t="s">
        <v>1215</v>
      </c>
      <c r="C627" s="464"/>
      <c r="D627" s="464"/>
      <c r="E627" s="465">
        <v>82167563.769999996</v>
      </c>
      <c r="F627" s="465">
        <v>79224119.019999996</v>
      </c>
    </row>
    <row r="628" spans="1:6" ht="90">
      <c r="A628" s="466" t="s">
        <v>2624</v>
      </c>
      <c r="B628" s="464" t="s">
        <v>1897</v>
      </c>
      <c r="C628" s="464"/>
      <c r="D628" s="464"/>
      <c r="E628" s="465">
        <v>1017100</v>
      </c>
      <c r="F628" s="465">
        <v>1011794.88</v>
      </c>
    </row>
    <row r="629" spans="1:6" ht="67.5">
      <c r="A629" s="463" t="s">
        <v>465</v>
      </c>
      <c r="B629" s="464" t="s">
        <v>1897</v>
      </c>
      <c r="C629" s="464" t="s">
        <v>466</v>
      </c>
      <c r="D629" s="464"/>
      <c r="E629" s="465">
        <v>1017100</v>
      </c>
      <c r="F629" s="465">
        <v>1011794.88</v>
      </c>
    </row>
    <row r="630" spans="1:6">
      <c r="A630" s="467" t="s">
        <v>1442</v>
      </c>
      <c r="B630" s="468" t="s">
        <v>1897</v>
      </c>
      <c r="C630" s="468" t="s">
        <v>466</v>
      </c>
      <c r="D630" s="468" t="s">
        <v>1443</v>
      </c>
      <c r="E630" s="469">
        <v>1017100</v>
      </c>
      <c r="F630" s="469">
        <v>1011794.88</v>
      </c>
    </row>
    <row r="631" spans="1:6" ht="112.5">
      <c r="A631" s="466" t="s">
        <v>2625</v>
      </c>
      <c r="B631" s="464" t="s">
        <v>912</v>
      </c>
      <c r="C631" s="464"/>
      <c r="D631" s="464"/>
      <c r="E631" s="465">
        <v>45207012.289999999</v>
      </c>
      <c r="F631" s="465">
        <v>44366114.649999999</v>
      </c>
    </row>
    <row r="632" spans="1:6">
      <c r="A632" s="463" t="s">
        <v>1603</v>
      </c>
      <c r="B632" s="464" t="s">
        <v>912</v>
      </c>
      <c r="C632" s="464" t="s">
        <v>460</v>
      </c>
      <c r="D632" s="464"/>
      <c r="E632" s="465">
        <v>9423030</v>
      </c>
      <c r="F632" s="465">
        <v>9415643.4700000007</v>
      </c>
    </row>
    <row r="633" spans="1:6" ht="22.5">
      <c r="A633" s="467" t="s">
        <v>0</v>
      </c>
      <c r="B633" s="468" t="s">
        <v>912</v>
      </c>
      <c r="C633" s="468" t="s">
        <v>460</v>
      </c>
      <c r="D633" s="468" t="s">
        <v>522</v>
      </c>
      <c r="E633" s="469">
        <v>9423030</v>
      </c>
      <c r="F633" s="469">
        <v>9415643.4700000007</v>
      </c>
    </row>
    <row r="634" spans="1:6" ht="33.75">
      <c r="A634" s="463" t="s">
        <v>1617</v>
      </c>
      <c r="B634" s="464" t="s">
        <v>912</v>
      </c>
      <c r="C634" s="464" t="s">
        <v>509</v>
      </c>
      <c r="D634" s="464"/>
      <c r="E634" s="465">
        <v>33658.58</v>
      </c>
      <c r="F634" s="465">
        <v>33658.58</v>
      </c>
    </row>
    <row r="635" spans="1:6" ht="22.5">
      <c r="A635" s="467" t="s">
        <v>0</v>
      </c>
      <c r="B635" s="468" t="s">
        <v>912</v>
      </c>
      <c r="C635" s="468" t="s">
        <v>509</v>
      </c>
      <c r="D635" s="468" t="s">
        <v>522</v>
      </c>
      <c r="E635" s="469">
        <v>33658.58</v>
      </c>
      <c r="F635" s="469">
        <v>33658.58</v>
      </c>
    </row>
    <row r="636" spans="1:6" ht="45">
      <c r="A636" s="463" t="s">
        <v>1604</v>
      </c>
      <c r="B636" s="464" t="s">
        <v>912</v>
      </c>
      <c r="C636" s="464" t="s">
        <v>1290</v>
      </c>
      <c r="D636" s="464"/>
      <c r="E636" s="465">
        <v>2882253</v>
      </c>
      <c r="F636" s="465">
        <v>2879503.76</v>
      </c>
    </row>
    <row r="637" spans="1:6" ht="22.5">
      <c r="A637" s="467" t="s">
        <v>0</v>
      </c>
      <c r="B637" s="468" t="s">
        <v>912</v>
      </c>
      <c r="C637" s="468" t="s">
        <v>1290</v>
      </c>
      <c r="D637" s="468" t="s">
        <v>522</v>
      </c>
      <c r="E637" s="469">
        <v>2882253</v>
      </c>
      <c r="F637" s="469">
        <v>2879503.76</v>
      </c>
    </row>
    <row r="638" spans="1:6" ht="33.75">
      <c r="A638" s="463" t="s">
        <v>445</v>
      </c>
      <c r="B638" s="464" t="s">
        <v>912</v>
      </c>
      <c r="C638" s="464" t="s">
        <v>446</v>
      </c>
      <c r="D638" s="464"/>
      <c r="E638" s="465">
        <v>1786799.64</v>
      </c>
      <c r="F638" s="465">
        <v>1557329.29</v>
      </c>
    </row>
    <row r="639" spans="1:6" ht="22.5">
      <c r="A639" s="467" t="s">
        <v>0</v>
      </c>
      <c r="B639" s="468" t="s">
        <v>912</v>
      </c>
      <c r="C639" s="468" t="s">
        <v>446</v>
      </c>
      <c r="D639" s="468" t="s">
        <v>522</v>
      </c>
      <c r="E639" s="469">
        <v>1786799.64</v>
      </c>
      <c r="F639" s="469">
        <v>1557329.29</v>
      </c>
    </row>
    <row r="640" spans="1:6" ht="67.5">
      <c r="A640" s="463" t="s">
        <v>465</v>
      </c>
      <c r="B640" s="464" t="s">
        <v>912</v>
      </c>
      <c r="C640" s="464" t="s">
        <v>466</v>
      </c>
      <c r="D640" s="464"/>
      <c r="E640" s="465">
        <v>31081009.050000001</v>
      </c>
      <c r="F640" s="465">
        <v>30479717.530000001</v>
      </c>
    </row>
    <row r="641" spans="1:6">
      <c r="A641" s="467" t="s">
        <v>1442</v>
      </c>
      <c r="B641" s="468" t="s">
        <v>912</v>
      </c>
      <c r="C641" s="468" t="s">
        <v>466</v>
      </c>
      <c r="D641" s="468" t="s">
        <v>1443</v>
      </c>
      <c r="E641" s="469">
        <v>31081009.050000001</v>
      </c>
      <c r="F641" s="469">
        <v>30479717.530000001</v>
      </c>
    </row>
    <row r="642" spans="1:6">
      <c r="A642" s="463" t="s">
        <v>1293</v>
      </c>
      <c r="B642" s="464" t="s">
        <v>912</v>
      </c>
      <c r="C642" s="464" t="s">
        <v>1294</v>
      </c>
      <c r="D642" s="464"/>
      <c r="E642" s="465">
        <v>262.02</v>
      </c>
      <c r="F642" s="465">
        <v>262.02</v>
      </c>
    </row>
    <row r="643" spans="1:6" ht="22.5">
      <c r="A643" s="467" t="s">
        <v>0</v>
      </c>
      <c r="B643" s="468" t="s">
        <v>912</v>
      </c>
      <c r="C643" s="468" t="s">
        <v>1294</v>
      </c>
      <c r="D643" s="468" t="s">
        <v>522</v>
      </c>
      <c r="E643" s="469">
        <v>262.02</v>
      </c>
      <c r="F643" s="469">
        <v>262.02</v>
      </c>
    </row>
    <row r="644" spans="1:6" ht="90">
      <c r="A644" s="463" t="s">
        <v>1867</v>
      </c>
      <c r="B644" s="464" t="s">
        <v>1868</v>
      </c>
      <c r="C644" s="464"/>
      <c r="D644" s="464"/>
      <c r="E644" s="465">
        <v>5945459</v>
      </c>
      <c r="F644" s="465">
        <v>5867357.04</v>
      </c>
    </row>
    <row r="645" spans="1:6">
      <c r="A645" s="463" t="s">
        <v>1603</v>
      </c>
      <c r="B645" s="464" t="s">
        <v>1868</v>
      </c>
      <c r="C645" s="464" t="s">
        <v>460</v>
      </c>
      <c r="D645" s="464"/>
      <c r="E645" s="465">
        <v>4472762</v>
      </c>
      <c r="F645" s="465">
        <v>4394660.26</v>
      </c>
    </row>
    <row r="646" spans="1:6" ht="22.5">
      <c r="A646" s="467" t="s">
        <v>0</v>
      </c>
      <c r="B646" s="468" t="s">
        <v>1868</v>
      </c>
      <c r="C646" s="468" t="s">
        <v>460</v>
      </c>
      <c r="D646" s="468" t="s">
        <v>522</v>
      </c>
      <c r="E646" s="469">
        <v>4472762</v>
      </c>
      <c r="F646" s="469">
        <v>4394660.26</v>
      </c>
    </row>
    <row r="647" spans="1:6" ht="33.75">
      <c r="A647" s="463" t="s">
        <v>1617</v>
      </c>
      <c r="B647" s="464" t="s">
        <v>1868</v>
      </c>
      <c r="C647" s="464" t="s">
        <v>509</v>
      </c>
      <c r="D647" s="464"/>
      <c r="E647" s="465">
        <v>1170</v>
      </c>
      <c r="F647" s="465">
        <v>1170</v>
      </c>
    </row>
    <row r="648" spans="1:6" ht="22.5">
      <c r="A648" s="467" t="s">
        <v>0</v>
      </c>
      <c r="B648" s="468" t="s">
        <v>1868</v>
      </c>
      <c r="C648" s="468" t="s">
        <v>509</v>
      </c>
      <c r="D648" s="468" t="s">
        <v>522</v>
      </c>
      <c r="E648" s="469">
        <v>1170</v>
      </c>
      <c r="F648" s="469">
        <v>1170</v>
      </c>
    </row>
    <row r="649" spans="1:6" ht="45">
      <c r="A649" s="463" t="s">
        <v>1604</v>
      </c>
      <c r="B649" s="464" t="s">
        <v>1868</v>
      </c>
      <c r="C649" s="464" t="s">
        <v>1290</v>
      </c>
      <c r="D649" s="464"/>
      <c r="E649" s="465">
        <v>1471527</v>
      </c>
      <c r="F649" s="465">
        <v>1471526.78</v>
      </c>
    </row>
    <row r="650" spans="1:6" ht="22.5">
      <c r="A650" s="467" t="s">
        <v>0</v>
      </c>
      <c r="B650" s="468" t="s">
        <v>1868</v>
      </c>
      <c r="C650" s="468" t="s">
        <v>1290</v>
      </c>
      <c r="D650" s="468" t="s">
        <v>522</v>
      </c>
      <c r="E650" s="469">
        <v>1471527</v>
      </c>
      <c r="F650" s="469">
        <v>1471526.78</v>
      </c>
    </row>
    <row r="651" spans="1:6" ht="90">
      <c r="A651" s="466" t="s">
        <v>2609</v>
      </c>
      <c r="B651" s="464" t="s">
        <v>913</v>
      </c>
      <c r="C651" s="464"/>
      <c r="D651" s="464"/>
      <c r="E651" s="465">
        <v>8030000</v>
      </c>
      <c r="F651" s="465">
        <v>7256871.0499999998</v>
      </c>
    </row>
    <row r="652" spans="1:6">
      <c r="A652" s="463" t="s">
        <v>1603</v>
      </c>
      <c r="B652" s="464" t="s">
        <v>913</v>
      </c>
      <c r="C652" s="464" t="s">
        <v>460</v>
      </c>
      <c r="D652" s="464"/>
      <c r="E652" s="465">
        <v>604360</v>
      </c>
      <c r="F652" s="465">
        <v>533906.23</v>
      </c>
    </row>
    <row r="653" spans="1:6" ht="22.5">
      <c r="A653" s="467" t="s">
        <v>0</v>
      </c>
      <c r="B653" s="468" t="s">
        <v>913</v>
      </c>
      <c r="C653" s="468" t="s">
        <v>460</v>
      </c>
      <c r="D653" s="468" t="s">
        <v>522</v>
      </c>
      <c r="E653" s="469">
        <v>604360</v>
      </c>
      <c r="F653" s="469">
        <v>533906.23</v>
      </c>
    </row>
    <row r="654" spans="1:6" ht="45">
      <c r="A654" s="463" t="s">
        <v>1604</v>
      </c>
      <c r="B654" s="464" t="s">
        <v>913</v>
      </c>
      <c r="C654" s="464" t="s">
        <v>1290</v>
      </c>
      <c r="D654" s="464"/>
      <c r="E654" s="465">
        <v>198140</v>
      </c>
      <c r="F654" s="465">
        <v>147080.07</v>
      </c>
    </row>
    <row r="655" spans="1:6" ht="22.5">
      <c r="A655" s="467" t="s">
        <v>0</v>
      </c>
      <c r="B655" s="468" t="s">
        <v>913</v>
      </c>
      <c r="C655" s="468" t="s">
        <v>1290</v>
      </c>
      <c r="D655" s="468" t="s">
        <v>522</v>
      </c>
      <c r="E655" s="469">
        <v>198140</v>
      </c>
      <c r="F655" s="469">
        <v>147080.07</v>
      </c>
    </row>
    <row r="656" spans="1:6" ht="67.5">
      <c r="A656" s="463" t="s">
        <v>465</v>
      </c>
      <c r="B656" s="464" t="s">
        <v>913</v>
      </c>
      <c r="C656" s="464" t="s">
        <v>466</v>
      </c>
      <c r="D656" s="464"/>
      <c r="E656" s="465">
        <v>7227500</v>
      </c>
      <c r="F656" s="465">
        <v>6575884.75</v>
      </c>
    </row>
    <row r="657" spans="1:6">
      <c r="A657" s="467" t="s">
        <v>1442</v>
      </c>
      <c r="B657" s="468" t="s">
        <v>913</v>
      </c>
      <c r="C657" s="468" t="s">
        <v>466</v>
      </c>
      <c r="D657" s="468" t="s">
        <v>1443</v>
      </c>
      <c r="E657" s="469">
        <v>7227500</v>
      </c>
      <c r="F657" s="469">
        <v>6575884.75</v>
      </c>
    </row>
    <row r="658" spans="1:6" ht="90">
      <c r="A658" s="466" t="s">
        <v>2655</v>
      </c>
      <c r="B658" s="464" t="s">
        <v>1870</v>
      </c>
      <c r="C658" s="464"/>
      <c r="D658" s="464"/>
      <c r="E658" s="465">
        <v>9348494</v>
      </c>
      <c r="F658" s="465">
        <v>8961836.2699999996</v>
      </c>
    </row>
    <row r="659" spans="1:6">
      <c r="A659" s="463" t="s">
        <v>1603</v>
      </c>
      <c r="B659" s="464" t="s">
        <v>1870</v>
      </c>
      <c r="C659" s="464" t="s">
        <v>460</v>
      </c>
      <c r="D659" s="464"/>
      <c r="E659" s="465">
        <v>7180101</v>
      </c>
      <c r="F659" s="465">
        <v>7016324.54</v>
      </c>
    </row>
    <row r="660" spans="1:6" ht="22.5">
      <c r="A660" s="467" t="s">
        <v>0</v>
      </c>
      <c r="B660" s="468" t="s">
        <v>1870</v>
      </c>
      <c r="C660" s="468" t="s">
        <v>460</v>
      </c>
      <c r="D660" s="468" t="s">
        <v>522</v>
      </c>
      <c r="E660" s="469">
        <v>7180101</v>
      </c>
      <c r="F660" s="469">
        <v>7016324.54</v>
      </c>
    </row>
    <row r="661" spans="1:6" ht="45">
      <c r="A661" s="463" t="s">
        <v>1604</v>
      </c>
      <c r="B661" s="464" t="s">
        <v>1870</v>
      </c>
      <c r="C661" s="464" t="s">
        <v>1290</v>
      </c>
      <c r="D661" s="464"/>
      <c r="E661" s="465">
        <v>2168393</v>
      </c>
      <c r="F661" s="465">
        <v>1945511.73</v>
      </c>
    </row>
    <row r="662" spans="1:6" ht="22.5">
      <c r="A662" s="467" t="s">
        <v>0</v>
      </c>
      <c r="B662" s="468" t="s">
        <v>1870</v>
      </c>
      <c r="C662" s="468" t="s">
        <v>1290</v>
      </c>
      <c r="D662" s="468" t="s">
        <v>522</v>
      </c>
      <c r="E662" s="469">
        <v>2168393</v>
      </c>
      <c r="F662" s="469">
        <v>1945511.73</v>
      </c>
    </row>
    <row r="663" spans="1:6" ht="101.25">
      <c r="A663" s="466" t="s">
        <v>2626</v>
      </c>
      <c r="B663" s="464" t="s">
        <v>914</v>
      </c>
      <c r="C663" s="464"/>
      <c r="D663" s="464"/>
      <c r="E663" s="465">
        <v>276930.27</v>
      </c>
      <c r="F663" s="465">
        <v>169570.01</v>
      </c>
    </row>
    <row r="664" spans="1:6" ht="67.5">
      <c r="A664" s="463" t="s">
        <v>465</v>
      </c>
      <c r="B664" s="464" t="s">
        <v>914</v>
      </c>
      <c r="C664" s="464" t="s">
        <v>466</v>
      </c>
      <c r="D664" s="464"/>
      <c r="E664" s="465">
        <v>276930.27</v>
      </c>
      <c r="F664" s="465">
        <v>169570.01</v>
      </c>
    </row>
    <row r="665" spans="1:6">
      <c r="A665" s="467" t="s">
        <v>1442</v>
      </c>
      <c r="B665" s="468" t="s">
        <v>914</v>
      </c>
      <c r="C665" s="468" t="s">
        <v>466</v>
      </c>
      <c r="D665" s="468" t="s">
        <v>1443</v>
      </c>
      <c r="E665" s="469">
        <v>276930.27</v>
      </c>
      <c r="F665" s="469">
        <v>169570.01</v>
      </c>
    </row>
    <row r="666" spans="1:6" ht="90">
      <c r="A666" s="466" t="s">
        <v>2627</v>
      </c>
      <c r="B666" s="464" t="s">
        <v>915</v>
      </c>
      <c r="C666" s="464"/>
      <c r="D666" s="464"/>
      <c r="E666" s="465">
        <v>721077.39</v>
      </c>
      <c r="F666" s="465">
        <v>721077.39</v>
      </c>
    </row>
    <row r="667" spans="1:6" ht="33.75">
      <c r="A667" s="463" t="s">
        <v>1617</v>
      </c>
      <c r="B667" s="464" t="s">
        <v>915</v>
      </c>
      <c r="C667" s="464" t="s">
        <v>509</v>
      </c>
      <c r="D667" s="464"/>
      <c r="E667" s="465">
        <v>178152</v>
      </c>
      <c r="F667" s="465">
        <v>178152</v>
      </c>
    </row>
    <row r="668" spans="1:6" ht="22.5">
      <c r="A668" s="467" t="s">
        <v>0</v>
      </c>
      <c r="B668" s="468" t="s">
        <v>915</v>
      </c>
      <c r="C668" s="468" t="s">
        <v>509</v>
      </c>
      <c r="D668" s="468" t="s">
        <v>522</v>
      </c>
      <c r="E668" s="469">
        <v>178152</v>
      </c>
      <c r="F668" s="469">
        <v>178152</v>
      </c>
    </row>
    <row r="669" spans="1:6" ht="22.5">
      <c r="A669" s="463" t="s">
        <v>484</v>
      </c>
      <c r="B669" s="464" t="s">
        <v>915</v>
      </c>
      <c r="C669" s="464" t="s">
        <v>485</v>
      </c>
      <c r="D669" s="464"/>
      <c r="E669" s="465">
        <v>542925.39</v>
      </c>
      <c r="F669" s="465">
        <v>542925.39</v>
      </c>
    </row>
    <row r="670" spans="1:6">
      <c r="A670" s="467" t="s">
        <v>1442</v>
      </c>
      <c r="B670" s="468" t="s">
        <v>915</v>
      </c>
      <c r="C670" s="468" t="s">
        <v>485</v>
      </c>
      <c r="D670" s="468" t="s">
        <v>1443</v>
      </c>
      <c r="E670" s="469">
        <v>542925.39</v>
      </c>
      <c r="F670" s="469">
        <v>542925.39</v>
      </c>
    </row>
    <row r="671" spans="1:6" ht="101.25">
      <c r="A671" s="466" t="s">
        <v>2628</v>
      </c>
      <c r="B671" s="464" t="s">
        <v>916</v>
      </c>
      <c r="C671" s="464"/>
      <c r="D671" s="464"/>
      <c r="E671" s="465">
        <v>2768657.33</v>
      </c>
      <c r="F671" s="465">
        <v>2205639.7000000002</v>
      </c>
    </row>
    <row r="672" spans="1:6" ht="33.75">
      <c r="A672" s="463" t="s">
        <v>445</v>
      </c>
      <c r="B672" s="464" t="s">
        <v>916</v>
      </c>
      <c r="C672" s="464" t="s">
        <v>446</v>
      </c>
      <c r="D672" s="464"/>
      <c r="E672" s="465">
        <v>308531.76</v>
      </c>
      <c r="F672" s="465">
        <v>243199.76</v>
      </c>
    </row>
    <row r="673" spans="1:6" ht="22.5">
      <c r="A673" s="467" t="s">
        <v>0</v>
      </c>
      <c r="B673" s="468" t="s">
        <v>916</v>
      </c>
      <c r="C673" s="468" t="s">
        <v>446</v>
      </c>
      <c r="D673" s="468" t="s">
        <v>522</v>
      </c>
      <c r="E673" s="469">
        <v>308531.76</v>
      </c>
      <c r="F673" s="469">
        <v>243199.76</v>
      </c>
    </row>
    <row r="674" spans="1:6" ht="67.5">
      <c r="A674" s="463" t="s">
        <v>465</v>
      </c>
      <c r="B674" s="464" t="s">
        <v>916</v>
      </c>
      <c r="C674" s="464" t="s">
        <v>466</v>
      </c>
      <c r="D674" s="464"/>
      <c r="E674" s="465">
        <v>2460125.5699999998</v>
      </c>
      <c r="F674" s="465">
        <v>1962439.94</v>
      </c>
    </row>
    <row r="675" spans="1:6">
      <c r="A675" s="467" t="s">
        <v>1442</v>
      </c>
      <c r="B675" s="468" t="s">
        <v>916</v>
      </c>
      <c r="C675" s="468" t="s">
        <v>466</v>
      </c>
      <c r="D675" s="468" t="s">
        <v>1443</v>
      </c>
      <c r="E675" s="469">
        <v>2460125.5699999998</v>
      </c>
      <c r="F675" s="469">
        <v>1962439.94</v>
      </c>
    </row>
    <row r="676" spans="1:6" ht="90">
      <c r="A676" s="463" t="s">
        <v>1183</v>
      </c>
      <c r="B676" s="464" t="s">
        <v>1184</v>
      </c>
      <c r="C676" s="464"/>
      <c r="D676" s="464"/>
      <c r="E676" s="465">
        <v>74603</v>
      </c>
      <c r="F676" s="465">
        <v>74603</v>
      </c>
    </row>
    <row r="677" spans="1:6" ht="33.75">
      <c r="A677" s="463" t="s">
        <v>445</v>
      </c>
      <c r="B677" s="464" t="s">
        <v>1184</v>
      </c>
      <c r="C677" s="464" t="s">
        <v>446</v>
      </c>
      <c r="D677" s="464"/>
      <c r="E677" s="465">
        <v>74603</v>
      </c>
      <c r="F677" s="465">
        <v>74603</v>
      </c>
    </row>
    <row r="678" spans="1:6" ht="22.5">
      <c r="A678" s="467" t="s">
        <v>0</v>
      </c>
      <c r="B678" s="468" t="s">
        <v>1184</v>
      </c>
      <c r="C678" s="468" t="s">
        <v>446</v>
      </c>
      <c r="D678" s="468" t="s">
        <v>522</v>
      </c>
      <c r="E678" s="469">
        <v>74603</v>
      </c>
      <c r="F678" s="469">
        <v>74603</v>
      </c>
    </row>
    <row r="679" spans="1:6" ht="101.25">
      <c r="A679" s="466" t="s">
        <v>2629</v>
      </c>
      <c r="B679" s="464" t="s">
        <v>1174</v>
      </c>
      <c r="C679" s="464"/>
      <c r="D679" s="464"/>
      <c r="E679" s="465">
        <v>421880</v>
      </c>
      <c r="F679" s="465">
        <v>369139.93</v>
      </c>
    </row>
    <row r="680" spans="1:6" ht="33.75">
      <c r="A680" s="463" t="s">
        <v>445</v>
      </c>
      <c r="B680" s="464" t="s">
        <v>1174</v>
      </c>
      <c r="C680" s="464" t="s">
        <v>446</v>
      </c>
      <c r="D680" s="464"/>
      <c r="E680" s="465">
        <v>141000</v>
      </c>
      <c r="F680" s="465">
        <v>141000</v>
      </c>
    </row>
    <row r="681" spans="1:6" ht="22.5">
      <c r="A681" s="467" t="s">
        <v>0</v>
      </c>
      <c r="B681" s="468" t="s">
        <v>1174</v>
      </c>
      <c r="C681" s="468" t="s">
        <v>446</v>
      </c>
      <c r="D681" s="468" t="s">
        <v>522</v>
      </c>
      <c r="E681" s="469">
        <v>141000</v>
      </c>
      <c r="F681" s="469">
        <v>141000</v>
      </c>
    </row>
    <row r="682" spans="1:6" ht="67.5">
      <c r="A682" s="463" t="s">
        <v>465</v>
      </c>
      <c r="B682" s="464" t="s">
        <v>1174</v>
      </c>
      <c r="C682" s="464" t="s">
        <v>466</v>
      </c>
      <c r="D682" s="464"/>
      <c r="E682" s="465">
        <v>280880</v>
      </c>
      <c r="F682" s="465">
        <v>228139.93</v>
      </c>
    </row>
    <row r="683" spans="1:6">
      <c r="A683" s="467" t="s">
        <v>1442</v>
      </c>
      <c r="B683" s="468" t="s">
        <v>1174</v>
      </c>
      <c r="C683" s="468" t="s">
        <v>466</v>
      </c>
      <c r="D683" s="468" t="s">
        <v>1443</v>
      </c>
      <c r="E683" s="469">
        <v>280880</v>
      </c>
      <c r="F683" s="469">
        <v>228139.93</v>
      </c>
    </row>
    <row r="684" spans="1:6" ht="90">
      <c r="A684" s="466" t="s">
        <v>2630</v>
      </c>
      <c r="B684" s="464" t="s">
        <v>2009</v>
      </c>
      <c r="C684" s="464"/>
      <c r="D684" s="464"/>
      <c r="E684" s="465">
        <v>1113030</v>
      </c>
      <c r="F684" s="465">
        <v>1113024.8700000001</v>
      </c>
    </row>
    <row r="685" spans="1:6">
      <c r="A685" s="463" t="s">
        <v>1603</v>
      </c>
      <c r="B685" s="464" t="s">
        <v>2009</v>
      </c>
      <c r="C685" s="464" t="s">
        <v>460</v>
      </c>
      <c r="D685" s="464"/>
      <c r="E685" s="465">
        <v>10000</v>
      </c>
      <c r="F685" s="465">
        <v>10000</v>
      </c>
    </row>
    <row r="686" spans="1:6" ht="22.5">
      <c r="A686" s="467" t="s">
        <v>0</v>
      </c>
      <c r="B686" s="468" t="s">
        <v>2009</v>
      </c>
      <c r="C686" s="468" t="s">
        <v>460</v>
      </c>
      <c r="D686" s="468" t="s">
        <v>522</v>
      </c>
      <c r="E686" s="469">
        <v>10000</v>
      </c>
      <c r="F686" s="469">
        <v>10000</v>
      </c>
    </row>
    <row r="687" spans="1:6" ht="45">
      <c r="A687" s="463" t="s">
        <v>1604</v>
      </c>
      <c r="B687" s="464" t="s">
        <v>2009</v>
      </c>
      <c r="C687" s="464" t="s">
        <v>1290</v>
      </c>
      <c r="D687" s="464"/>
      <c r="E687" s="465">
        <v>3020</v>
      </c>
      <c r="F687" s="465">
        <v>3020</v>
      </c>
    </row>
    <row r="688" spans="1:6" ht="22.5">
      <c r="A688" s="467" t="s">
        <v>0</v>
      </c>
      <c r="B688" s="468" t="s">
        <v>2009</v>
      </c>
      <c r="C688" s="468" t="s">
        <v>1290</v>
      </c>
      <c r="D688" s="468" t="s">
        <v>522</v>
      </c>
      <c r="E688" s="469">
        <v>3020</v>
      </c>
      <c r="F688" s="469">
        <v>3020</v>
      </c>
    </row>
    <row r="689" spans="1:6" ht="22.5">
      <c r="A689" s="463" t="s">
        <v>484</v>
      </c>
      <c r="B689" s="464" t="s">
        <v>2009</v>
      </c>
      <c r="C689" s="464" t="s">
        <v>485</v>
      </c>
      <c r="D689" s="464"/>
      <c r="E689" s="465">
        <v>1100010</v>
      </c>
      <c r="F689" s="465">
        <v>1100004.8700000001</v>
      </c>
    </row>
    <row r="690" spans="1:6">
      <c r="A690" s="467" t="s">
        <v>1442</v>
      </c>
      <c r="B690" s="468" t="s">
        <v>2009</v>
      </c>
      <c r="C690" s="468" t="s">
        <v>485</v>
      </c>
      <c r="D690" s="468" t="s">
        <v>1443</v>
      </c>
      <c r="E690" s="469">
        <v>47020</v>
      </c>
      <c r="F690" s="469">
        <v>47015</v>
      </c>
    </row>
    <row r="691" spans="1:6">
      <c r="A691" s="467" t="s">
        <v>254</v>
      </c>
      <c r="B691" s="468" t="s">
        <v>2009</v>
      </c>
      <c r="C691" s="468" t="s">
        <v>485</v>
      </c>
      <c r="D691" s="468" t="s">
        <v>510</v>
      </c>
      <c r="E691" s="469">
        <v>1052990</v>
      </c>
      <c r="F691" s="469">
        <v>1052989.8700000001</v>
      </c>
    </row>
    <row r="692" spans="1:6" ht="78.75">
      <c r="A692" s="463" t="s">
        <v>1759</v>
      </c>
      <c r="B692" s="464" t="s">
        <v>1760</v>
      </c>
      <c r="C692" s="464"/>
      <c r="D692" s="464"/>
      <c r="E692" s="465">
        <v>1373989.93</v>
      </c>
      <c r="F692" s="465">
        <v>1373989.93</v>
      </c>
    </row>
    <row r="693" spans="1:6" ht="45">
      <c r="A693" s="463" t="s">
        <v>461</v>
      </c>
      <c r="B693" s="464" t="s">
        <v>1760</v>
      </c>
      <c r="C693" s="464" t="s">
        <v>462</v>
      </c>
      <c r="D693" s="464"/>
      <c r="E693" s="465">
        <v>301952</v>
      </c>
      <c r="F693" s="465">
        <v>301952</v>
      </c>
    </row>
    <row r="694" spans="1:6">
      <c r="A694" s="467" t="s">
        <v>254</v>
      </c>
      <c r="B694" s="468" t="s">
        <v>1760</v>
      </c>
      <c r="C694" s="468" t="s">
        <v>462</v>
      </c>
      <c r="D694" s="468" t="s">
        <v>510</v>
      </c>
      <c r="E694" s="469">
        <v>301952</v>
      </c>
      <c r="F694" s="469">
        <v>301952</v>
      </c>
    </row>
    <row r="695" spans="1:6" ht="22.5">
      <c r="A695" s="463" t="s">
        <v>484</v>
      </c>
      <c r="B695" s="464" t="s">
        <v>1760</v>
      </c>
      <c r="C695" s="464" t="s">
        <v>485</v>
      </c>
      <c r="D695" s="464"/>
      <c r="E695" s="465">
        <v>1072037.93</v>
      </c>
      <c r="F695" s="465">
        <v>1072037.93</v>
      </c>
    </row>
    <row r="696" spans="1:6">
      <c r="A696" s="467" t="s">
        <v>1442</v>
      </c>
      <c r="B696" s="468" t="s">
        <v>1760</v>
      </c>
      <c r="C696" s="468" t="s">
        <v>485</v>
      </c>
      <c r="D696" s="468" t="s">
        <v>1443</v>
      </c>
      <c r="E696" s="469">
        <v>664257.30000000005</v>
      </c>
      <c r="F696" s="469">
        <v>664257.30000000005</v>
      </c>
    </row>
    <row r="697" spans="1:6">
      <c r="A697" s="467" t="s">
        <v>254</v>
      </c>
      <c r="B697" s="468" t="s">
        <v>1760</v>
      </c>
      <c r="C697" s="468" t="s">
        <v>485</v>
      </c>
      <c r="D697" s="468" t="s">
        <v>510</v>
      </c>
      <c r="E697" s="469">
        <v>407780.63</v>
      </c>
      <c r="F697" s="469">
        <v>407780.63</v>
      </c>
    </row>
    <row r="698" spans="1:6" ht="90">
      <c r="A698" s="463" t="s">
        <v>1109</v>
      </c>
      <c r="B698" s="464" t="s">
        <v>1108</v>
      </c>
      <c r="C698" s="464"/>
      <c r="D698" s="464"/>
      <c r="E698" s="465">
        <v>119000</v>
      </c>
      <c r="F698" s="465">
        <v>119000</v>
      </c>
    </row>
    <row r="699" spans="1:6" ht="22.5">
      <c r="A699" s="463" t="s">
        <v>484</v>
      </c>
      <c r="B699" s="464" t="s">
        <v>1108</v>
      </c>
      <c r="C699" s="464" t="s">
        <v>485</v>
      </c>
      <c r="D699" s="464"/>
      <c r="E699" s="465">
        <v>119000</v>
      </c>
      <c r="F699" s="465">
        <v>119000</v>
      </c>
    </row>
    <row r="700" spans="1:6">
      <c r="A700" s="467" t="s">
        <v>254</v>
      </c>
      <c r="B700" s="468" t="s">
        <v>1108</v>
      </c>
      <c r="C700" s="468" t="s">
        <v>485</v>
      </c>
      <c r="D700" s="468" t="s">
        <v>510</v>
      </c>
      <c r="E700" s="469">
        <v>119000</v>
      </c>
      <c r="F700" s="469">
        <v>119000</v>
      </c>
    </row>
    <row r="701" spans="1:6" ht="90">
      <c r="A701" s="466" t="s">
        <v>2651</v>
      </c>
      <c r="B701" s="464" t="s">
        <v>1833</v>
      </c>
      <c r="C701" s="464"/>
      <c r="D701" s="464"/>
      <c r="E701" s="465">
        <v>611100</v>
      </c>
      <c r="F701" s="465">
        <v>611100</v>
      </c>
    </row>
    <row r="702" spans="1:6" ht="22.5">
      <c r="A702" s="463" t="s">
        <v>484</v>
      </c>
      <c r="B702" s="464" t="s">
        <v>1833</v>
      </c>
      <c r="C702" s="464" t="s">
        <v>485</v>
      </c>
      <c r="D702" s="464"/>
      <c r="E702" s="465">
        <v>611100</v>
      </c>
      <c r="F702" s="465">
        <v>611100</v>
      </c>
    </row>
    <row r="703" spans="1:6">
      <c r="A703" s="467" t="s">
        <v>254</v>
      </c>
      <c r="B703" s="468" t="s">
        <v>1833</v>
      </c>
      <c r="C703" s="468" t="s">
        <v>485</v>
      </c>
      <c r="D703" s="468" t="s">
        <v>510</v>
      </c>
      <c r="E703" s="469">
        <v>611100</v>
      </c>
      <c r="F703" s="469">
        <v>611100</v>
      </c>
    </row>
    <row r="704" spans="1:6" ht="90">
      <c r="A704" s="466" t="s">
        <v>2652</v>
      </c>
      <c r="B704" s="464" t="s">
        <v>1814</v>
      </c>
      <c r="C704" s="464"/>
      <c r="D704" s="464"/>
      <c r="E704" s="465">
        <v>6900</v>
      </c>
      <c r="F704" s="465">
        <v>6900</v>
      </c>
    </row>
    <row r="705" spans="1:6" ht="22.5">
      <c r="A705" s="463" t="s">
        <v>484</v>
      </c>
      <c r="B705" s="464" t="s">
        <v>1814</v>
      </c>
      <c r="C705" s="464" t="s">
        <v>485</v>
      </c>
      <c r="D705" s="464"/>
      <c r="E705" s="465">
        <v>6900</v>
      </c>
      <c r="F705" s="465">
        <v>6900</v>
      </c>
    </row>
    <row r="706" spans="1:6">
      <c r="A706" s="467" t="s">
        <v>254</v>
      </c>
      <c r="B706" s="468" t="s">
        <v>1814</v>
      </c>
      <c r="C706" s="468" t="s">
        <v>485</v>
      </c>
      <c r="D706" s="468" t="s">
        <v>510</v>
      </c>
      <c r="E706" s="469">
        <v>6900</v>
      </c>
      <c r="F706" s="469">
        <v>6900</v>
      </c>
    </row>
    <row r="707" spans="1:6" ht="101.25">
      <c r="A707" s="466" t="s">
        <v>2653</v>
      </c>
      <c r="B707" s="464" t="s">
        <v>1952</v>
      </c>
      <c r="C707" s="464"/>
      <c r="D707" s="464"/>
      <c r="E707" s="465">
        <v>7032.37</v>
      </c>
      <c r="F707" s="465">
        <v>7032.37</v>
      </c>
    </row>
    <row r="708" spans="1:6" ht="22.5">
      <c r="A708" s="463" t="s">
        <v>484</v>
      </c>
      <c r="B708" s="464" t="s">
        <v>1952</v>
      </c>
      <c r="C708" s="464" t="s">
        <v>485</v>
      </c>
      <c r="D708" s="464"/>
      <c r="E708" s="465">
        <v>7032.37</v>
      </c>
      <c r="F708" s="465">
        <v>7032.37</v>
      </c>
    </row>
    <row r="709" spans="1:6">
      <c r="A709" s="467" t="s">
        <v>254</v>
      </c>
      <c r="B709" s="468" t="s">
        <v>1952</v>
      </c>
      <c r="C709" s="468" t="s">
        <v>485</v>
      </c>
      <c r="D709" s="468" t="s">
        <v>510</v>
      </c>
      <c r="E709" s="469">
        <v>7032.37</v>
      </c>
      <c r="F709" s="469">
        <v>7032.37</v>
      </c>
    </row>
    <row r="710" spans="1:6" ht="90">
      <c r="A710" s="463" t="s">
        <v>641</v>
      </c>
      <c r="B710" s="464" t="s">
        <v>940</v>
      </c>
      <c r="C710" s="464"/>
      <c r="D710" s="464"/>
      <c r="E710" s="465">
        <v>83659</v>
      </c>
      <c r="F710" s="465">
        <v>83659</v>
      </c>
    </row>
    <row r="711" spans="1:6" ht="22.5">
      <c r="A711" s="463" t="s">
        <v>484</v>
      </c>
      <c r="B711" s="464" t="s">
        <v>940</v>
      </c>
      <c r="C711" s="464" t="s">
        <v>485</v>
      </c>
      <c r="D711" s="464"/>
      <c r="E711" s="465">
        <v>83659</v>
      </c>
      <c r="F711" s="465">
        <v>83659</v>
      </c>
    </row>
    <row r="712" spans="1:6">
      <c r="A712" s="467" t="s">
        <v>1442</v>
      </c>
      <c r="B712" s="468" t="s">
        <v>940</v>
      </c>
      <c r="C712" s="468" t="s">
        <v>485</v>
      </c>
      <c r="D712" s="468" t="s">
        <v>1443</v>
      </c>
      <c r="E712" s="469">
        <v>83659</v>
      </c>
      <c r="F712" s="469">
        <v>83659</v>
      </c>
    </row>
    <row r="713" spans="1:6" ht="101.25">
      <c r="A713" s="466" t="s">
        <v>2631</v>
      </c>
      <c r="B713" s="464" t="s">
        <v>941</v>
      </c>
      <c r="C713" s="464"/>
      <c r="D713" s="464"/>
      <c r="E713" s="465">
        <v>301234.3</v>
      </c>
      <c r="F713" s="465">
        <v>301234.3</v>
      </c>
    </row>
    <row r="714" spans="1:6" ht="22.5">
      <c r="A714" s="463" t="s">
        <v>484</v>
      </c>
      <c r="B714" s="464" t="s">
        <v>941</v>
      </c>
      <c r="C714" s="464" t="s">
        <v>485</v>
      </c>
      <c r="D714" s="464"/>
      <c r="E714" s="465">
        <v>301234.3</v>
      </c>
      <c r="F714" s="465">
        <v>301234.3</v>
      </c>
    </row>
    <row r="715" spans="1:6">
      <c r="A715" s="467" t="s">
        <v>1442</v>
      </c>
      <c r="B715" s="468" t="s">
        <v>941</v>
      </c>
      <c r="C715" s="468" t="s">
        <v>485</v>
      </c>
      <c r="D715" s="468" t="s">
        <v>1443</v>
      </c>
      <c r="E715" s="469">
        <v>160138.29999999999</v>
      </c>
      <c r="F715" s="469">
        <v>160138.29999999999</v>
      </c>
    </row>
    <row r="716" spans="1:6">
      <c r="A716" s="467" t="s">
        <v>254</v>
      </c>
      <c r="B716" s="468" t="s">
        <v>941</v>
      </c>
      <c r="C716" s="468" t="s">
        <v>485</v>
      </c>
      <c r="D716" s="468" t="s">
        <v>510</v>
      </c>
      <c r="E716" s="469">
        <v>141096</v>
      </c>
      <c r="F716" s="469">
        <v>141096</v>
      </c>
    </row>
    <row r="717" spans="1:6" ht="101.25">
      <c r="A717" s="466" t="s">
        <v>2656</v>
      </c>
      <c r="B717" s="464" t="s">
        <v>1872</v>
      </c>
      <c r="C717" s="464"/>
      <c r="D717" s="464"/>
      <c r="E717" s="465">
        <v>1701155</v>
      </c>
      <c r="F717" s="465">
        <v>1698801.83</v>
      </c>
    </row>
    <row r="718" spans="1:6">
      <c r="A718" s="463" t="s">
        <v>1603</v>
      </c>
      <c r="B718" s="464" t="s">
        <v>1872</v>
      </c>
      <c r="C718" s="464" t="s">
        <v>460</v>
      </c>
      <c r="D718" s="464"/>
      <c r="E718" s="465">
        <v>1296624</v>
      </c>
      <c r="F718" s="465">
        <v>1296623.29</v>
      </c>
    </row>
    <row r="719" spans="1:6" ht="22.5">
      <c r="A719" s="467" t="s">
        <v>0</v>
      </c>
      <c r="B719" s="468" t="s">
        <v>1872</v>
      </c>
      <c r="C719" s="468" t="s">
        <v>460</v>
      </c>
      <c r="D719" s="468" t="s">
        <v>522</v>
      </c>
      <c r="E719" s="469">
        <v>1296624</v>
      </c>
      <c r="F719" s="469">
        <v>1296623.29</v>
      </c>
    </row>
    <row r="720" spans="1:6" ht="33.75">
      <c r="A720" s="463" t="s">
        <v>1617</v>
      </c>
      <c r="B720" s="464" t="s">
        <v>1872</v>
      </c>
      <c r="C720" s="464" t="s">
        <v>509</v>
      </c>
      <c r="D720" s="464"/>
      <c r="E720" s="465">
        <v>780</v>
      </c>
      <c r="F720" s="465">
        <v>144.68</v>
      </c>
    </row>
    <row r="721" spans="1:6" ht="22.5">
      <c r="A721" s="467" t="s">
        <v>0</v>
      </c>
      <c r="B721" s="468" t="s">
        <v>1872</v>
      </c>
      <c r="C721" s="468" t="s">
        <v>509</v>
      </c>
      <c r="D721" s="468" t="s">
        <v>522</v>
      </c>
      <c r="E721" s="469">
        <v>780</v>
      </c>
      <c r="F721" s="469">
        <v>144.68</v>
      </c>
    </row>
    <row r="722" spans="1:6" ht="45">
      <c r="A722" s="463" t="s">
        <v>1604</v>
      </c>
      <c r="B722" s="464" t="s">
        <v>1872</v>
      </c>
      <c r="C722" s="464" t="s">
        <v>1290</v>
      </c>
      <c r="D722" s="464"/>
      <c r="E722" s="465">
        <v>403751</v>
      </c>
      <c r="F722" s="465">
        <v>402033.86</v>
      </c>
    </row>
    <row r="723" spans="1:6" ht="22.5">
      <c r="A723" s="467" t="s">
        <v>0</v>
      </c>
      <c r="B723" s="468" t="s">
        <v>1872</v>
      </c>
      <c r="C723" s="468" t="s">
        <v>1290</v>
      </c>
      <c r="D723" s="468" t="s">
        <v>522</v>
      </c>
      <c r="E723" s="469">
        <v>403751</v>
      </c>
      <c r="F723" s="469">
        <v>402033.86</v>
      </c>
    </row>
    <row r="724" spans="1:6" ht="101.25">
      <c r="A724" s="466" t="s">
        <v>2657</v>
      </c>
      <c r="B724" s="464" t="s">
        <v>1874</v>
      </c>
      <c r="C724" s="464"/>
      <c r="D724" s="464"/>
      <c r="E724" s="465">
        <v>35804</v>
      </c>
      <c r="F724" s="465">
        <v>32470.41</v>
      </c>
    </row>
    <row r="725" spans="1:6">
      <c r="A725" s="463" t="s">
        <v>1603</v>
      </c>
      <c r="B725" s="464" t="s">
        <v>1874</v>
      </c>
      <c r="C725" s="464" t="s">
        <v>460</v>
      </c>
      <c r="D725" s="464"/>
      <c r="E725" s="465">
        <v>27499</v>
      </c>
      <c r="F725" s="465">
        <v>25311.49</v>
      </c>
    </row>
    <row r="726" spans="1:6" ht="22.5">
      <c r="A726" s="467" t="s">
        <v>0</v>
      </c>
      <c r="B726" s="468" t="s">
        <v>1874</v>
      </c>
      <c r="C726" s="468" t="s">
        <v>460</v>
      </c>
      <c r="D726" s="468" t="s">
        <v>522</v>
      </c>
      <c r="E726" s="469">
        <v>27499</v>
      </c>
      <c r="F726" s="469">
        <v>25311.49</v>
      </c>
    </row>
    <row r="727" spans="1:6" ht="45">
      <c r="A727" s="463" t="s">
        <v>1604</v>
      </c>
      <c r="B727" s="464" t="s">
        <v>1874</v>
      </c>
      <c r="C727" s="464" t="s">
        <v>1290</v>
      </c>
      <c r="D727" s="464"/>
      <c r="E727" s="465">
        <v>8305</v>
      </c>
      <c r="F727" s="465">
        <v>7158.92</v>
      </c>
    </row>
    <row r="728" spans="1:6" ht="22.5">
      <c r="A728" s="467" t="s">
        <v>0</v>
      </c>
      <c r="B728" s="468" t="s">
        <v>1874</v>
      </c>
      <c r="C728" s="468" t="s">
        <v>1290</v>
      </c>
      <c r="D728" s="468" t="s">
        <v>522</v>
      </c>
      <c r="E728" s="469">
        <v>8305</v>
      </c>
      <c r="F728" s="469">
        <v>7158.92</v>
      </c>
    </row>
    <row r="729" spans="1:6" ht="90">
      <c r="A729" s="466" t="s">
        <v>2647</v>
      </c>
      <c r="B729" s="464" t="s">
        <v>1876</v>
      </c>
      <c r="C729" s="464"/>
      <c r="D729" s="464"/>
      <c r="E729" s="465">
        <v>2872817.29</v>
      </c>
      <c r="F729" s="465">
        <v>2828412.07</v>
      </c>
    </row>
    <row r="730" spans="1:6">
      <c r="A730" s="463" t="s">
        <v>1603</v>
      </c>
      <c r="B730" s="464" t="s">
        <v>1876</v>
      </c>
      <c r="C730" s="464" t="s">
        <v>460</v>
      </c>
      <c r="D730" s="464"/>
      <c r="E730" s="465">
        <v>2252648.3199999998</v>
      </c>
      <c r="F730" s="465">
        <v>2215298.96</v>
      </c>
    </row>
    <row r="731" spans="1:6" ht="22.5">
      <c r="A731" s="467" t="s">
        <v>0</v>
      </c>
      <c r="B731" s="468" t="s">
        <v>1876</v>
      </c>
      <c r="C731" s="468" t="s">
        <v>460</v>
      </c>
      <c r="D731" s="468" t="s">
        <v>522</v>
      </c>
      <c r="E731" s="469">
        <v>2252648.3199999998</v>
      </c>
      <c r="F731" s="469">
        <v>2215298.96</v>
      </c>
    </row>
    <row r="732" spans="1:6" ht="45">
      <c r="A732" s="463" t="s">
        <v>1604</v>
      </c>
      <c r="B732" s="464" t="s">
        <v>1876</v>
      </c>
      <c r="C732" s="464" t="s">
        <v>1290</v>
      </c>
      <c r="D732" s="464"/>
      <c r="E732" s="465">
        <v>620168.97</v>
      </c>
      <c r="F732" s="465">
        <v>613113.11</v>
      </c>
    </row>
    <row r="733" spans="1:6" ht="22.5">
      <c r="A733" s="467" t="s">
        <v>0</v>
      </c>
      <c r="B733" s="468" t="s">
        <v>1876</v>
      </c>
      <c r="C733" s="468" t="s">
        <v>1290</v>
      </c>
      <c r="D733" s="468" t="s">
        <v>522</v>
      </c>
      <c r="E733" s="469">
        <v>620168.97</v>
      </c>
      <c r="F733" s="469">
        <v>613113.11</v>
      </c>
    </row>
    <row r="734" spans="1:6" ht="90">
      <c r="A734" s="466" t="s">
        <v>2639</v>
      </c>
      <c r="B734" s="464" t="s">
        <v>1878</v>
      </c>
      <c r="C734" s="464"/>
      <c r="D734" s="464"/>
      <c r="E734" s="465">
        <v>70131</v>
      </c>
      <c r="F734" s="465">
        <v>44490.32</v>
      </c>
    </row>
    <row r="735" spans="1:6">
      <c r="A735" s="463" t="s">
        <v>1603</v>
      </c>
      <c r="B735" s="464" t="s">
        <v>1878</v>
      </c>
      <c r="C735" s="464" t="s">
        <v>460</v>
      </c>
      <c r="D735" s="464"/>
      <c r="E735" s="465">
        <v>53864</v>
      </c>
      <c r="F735" s="465">
        <v>34689.4</v>
      </c>
    </row>
    <row r="736" spans="1:6" ht="22.5">
      <c r="A736" s="467" t="s">
        <v>0</v>
      </c>
      <c r="B736" s="468" t="s">
        <v>1878</v>
      </c>
      <c r="C736" s="468" t="s">
        <v>460</v>
      </c>
      <c r="D736" s="468" t="s">
        <v>522</v>
      </c>
      <c r="E736" s="469">
        <v>53864</v>
      </c>
      <c r="F736" s="469">
        <v>34689.4</v>
      </c>
    </row>
    <row r="737" spans="1:6" ht="45">
      <c r="A737" s="463" t="s">
        <v>1604</v>
      </c>
      <c r="B737" s="464" t="s">
        <v>1878</v>
      </c>
      <c r="C737" s="464" t="s">
        <v>1290</v>
      </c>
      <c r="D737" s="464"/>
      <c r="E737" s="465">
        <v>16267</v>
      </c>
      <c r="F737" s="465">
        <v>9800.92</v>
      </c>
    </row>
    <row r="738" spans="1:6" ht="22.5">
      <c r="A738" s="467" t="s">
        <v>0</v>
      </c>
      <c r="B738" s="468" t="s">
        <v>1878</v>
      </c>
      <c r="C738" s="468" t="s">
        <v>1290</v>
      </c>
      <c r="D738" s="468" t="s">
        <v>522</v>
      </c>
      <c r="E738" s="469">
        <v>16267</v>
      </c>
      <c r="F738" s="469">
        <v>9800.92</v>
      </c>
    </row>
    <row r="739" spans="1:6" ht="101.25">
      <c r="A739" s="466" t="s">
        <v>2654</v>
      </c>
      <c r="B739" s="464" t="s">
        <v>1866</v>
      </c>
      <c r="C739" s="464"/>
      <c r="D739" s="464"/>
      <c r="E739" s="465">
        <v>60497.599999999999</v>
      </c>
      <c r="F739" s="465">
        <v>0</v>
      </c>
    </row>
    <row r="740" spans="1:6" ht="22.5">
      <c r="A740" s="463" t="s">
        <v>484</v>
      </c>
      <c r="B740" s="464" t="s">
        <v>1866</v>
      </c>
      <c r="C740" s="464" t="s">
        <v>485</v>
      </c>
      <c r="D740" s="464"/>
      <c r="E740" s="465">
        <v>60497.599999999999</v>
      </c>
      <c r="F740" s="465">
        <v>0</v>
      </c>
    </row>
    <row r="741" spans="1:6">
      <c r="A741" s="467" t="s">
        <v>254</v>
      </c>
      <c r="B741" s="468" t="s">
        <v>1866</v>
      </c>
      <c r="C741" s="468" t="s">
        <v>485</v>
      </c>
      <c r="D741" s="468" t="s">
        <v>510</v>
      </c>
      <c r="E741" s="469">
        <v>60497.599999999999</v>
      </c>
      <c r="F741" s="469">
        <v>0</v>
      </c>
    </row>
    <row r="742" spans="1:6" ht="22.5">
      <c r="A742" s="463" t="s">
        <v>593</v>
      </c>
      <c r="B742" s="464" t="s">
        <v>1216</v>
      </c>
      <c r="C742" s="464"/>
      <c r="D742" s="464"/>
      <c r="E742" s="465">
        <v>15652707</v>
      </c>
      <c r="F742" s="465">
        <v>15564883.5</v>
      </c>
    </row>
    <row r="743" spans="1:6" ht="33.75">
      <c r="A743" s="463" t="s">
        <v>594</v>
      </c>
      <c r="B743" s="464" t="s">
        <v>1217</v>
      </c>
      <c r="C743" s="464"/>
      <c r="D743" s="464"/>
      <c r="E743" s="465">
        <v>1138400</v>
      </c>
      <c r="F743" s="465">
        <v>1134350</v>
      </c>
    </row>
    <row r="744" spans="1:6" ht="56.25">
      <c r="A744" s="463" t="s">
        <v>1171</v>
      </c>
      <c r="B744" s="464" t="s">
        <v>1172</v>
      </c>
      <c r="C744" s="464"/>
      <c r="D744" s="464"/>
      <c r="E744" s="465">
        <v>164160</v>
      </c>
      <c r="F744" s="465">
        <v>160110</v>
      </c>
    </row>
    <row r="745" spans="1:6" ht="22.5">
      <c r="A745" s="463" t="s">
        <v>484</v>
      </c>
      <c r="B745" s="464" t="s">
        <v>1172</v>
      </c>
      <c r="C745" s="464" t="s">
        <v>485</v>
      </c>
      <c r="D745" s="464"/>
      <c r="E745" s="465">
        <v>164160</v>
      </c>
      <c r="F745" s="465">
        <v>160110</v>
      </c>
    </row>
    <row r="746" spans="1:6">
      <c r="A746" s="467" t="s">
        <v>1440</v>
      </c>
      <c r="B746" s="468" t="s">
        <v>1172</v>
      </c>
      <c r="C746" s="468" t="s">
        <v>485</v>
      </c>
      <c r="D746" s="468" t="s">
        <v>483</v>
      </c>
      <c r="E746" s="469">
        <v>164160</v>
      </c>
      <c r="F746" s="469">
        <v>160110</v>
      </c>
    </row>
    <row r="747" spans="1:6" ht="90">
      <c r="A747" s="463" t="s">
        <v>486</v>
      </c>
      <c r="B747" s="464" t="s">
        <v>891</v>
      </c>
      <c r="C747" s="464"/>
      <c r="D747" s="464"/>
      <c r="E747" s="465">
        <v>300000</v>
      </c>
      <c r="F747" s="465">
        <v>300000</v>
      </c>
    </row>
    <row r="748" spans="1:6" ht="22.5">
      <c r="A748" s="463" t="s">
        <v>484</v>
      </c>
      <c r="B748" s="464" t="s">
        <v>891</v>
      </c>
      <c r="C748" s="464" t="s">
        <v>485</v>
      </c>
      <c r="D748" s="464"/>
      <c r="E748" s="465">
        <v>300000</v>
      </c>
      <c r="F748" s="465">
        <v>300000</v>
      </c>
    </row>
    <row r="749" spans="1:6">
      <c r="A749" s="467" t="s">
        <v>1440</v>
      </c>
      <c r="B749" s="468" t="s">
        <v>891</v>
      </c>
      <c r="C749" s="468" t="s">
        <v>485</v>
      </c>
      <c r="D749" s="468" t="s">
        <v>483</v>
      </c>
      <c r="E749" s="469">
        <v>300000</v>
      </c>
      <c r="F749" s="469">
        <v>300000</v>
      </c>
    </row>
    <row r="750" spans="1:6" ht="90">
      <c r="A750" s="463" t="s">
        <v>556</v>
      </c>
      <c r="B750" s="464" t="s">
        <v>1008</v>
      </c>
      <c r="C750" s="464"/>
      <c r="D750" s="464"/>
      <c r="E750" s="465">
        <v>674240</v>
      </c>
      <c r="F750" s="465">
        <v>674240</v>
      </c>
    </row>
    <row r="751" spans="1:6">
      <c r="A751" s="463" t="s">
        <v>93</v>
      </c>
      <c r="B751" s="464" t="s">
        <v>1008</v>
      </c>
      <c r="C751" s="464" t="s">
        <v>550</v>
      </c>
      <c r="D751" s="464"/>
      <c r="E751" s="465">
        <v>674240</v>
      </c>
      <c r="F751" s="465">
        <v>674240</v>
      </c>
    </row>
    <row r="752" spans="1:6">
      <c r="A752" s="467" t="s">
        <v>1440</v>
      </c>
      <c r="B752" s="468" t="s">
        <v>1008</v>
      </c>
      <c r="C752" s="468" t="s">
        <v>550</v>
      </c>
      <c r="D752" s="468" t="s">
        <v>483</v>
      </c>
      <c r="E752" s="469">
        <v>674240</v>
      </c>
      <c r="F752" s="469">
        <v>674240</v>
      </c>
    </row>
    <row r="753" spans="1:6" ht="33.75">
      <c r="A753" s="463" t="s">
        <v>596</v>
      </c>
      <c r="B753" s="464" t="s">
        <v>1448</v>
      </c>
      <c r="C753" s="464"/>
      <c r="D753" s="464"/>
      <c r="E753" s="465">
        <v>537297</v>
      </c>
      <c r="F753" s="465">
        <v>537297</v>
      </c>
    </row>
    <row r="754" spans="1:6" ht="90">
      <c r="A754" s="463" t="s">
        <v>1885</v>
      </c>
      <c r="B754" s="464" t="s">
        <v>1886</v>
      </c>
      <c r="C754" s="464"/>
      <c r="D754" s="464"/>
      <c r="E754" s="465">
        <v>97297</v>
      </c>
      <c r="F754" s="465">
        <v>97297</v>
      </c>
    </row>
    <row r="755" spans="1:6" ht="22.5">
      <c r="A755" s="463" t="s">
        <v>484</v>
      </c>
      <c r="B755" s="464" t="s">
        <v>1886</v>
      </c>
      <c r="C755" s="464" t="s">
        <v>485</v>
      </c>
      <c r="D755" s="464"/>
      <c r="E755" s="465">
        <v>97297</v>
      </c>
      <c r="F755" s="465">
        <v>97297</v>
      </c>
    </row>
    <row r="756" spans="1:6">
      <c r="A756" s="467" t="s">
        <v>1440</v>
      </c>
      <c r="B756" s="468" t="s">
        <v>1886</v>
      </c>
      <c r="C756" s="468" t="s">
        <v>485</v>
      </c>
      <c r="D756" s="468" t="s">
        <v>483</v>
      </c>
      <c r="E756" s="469">
        <v>97297</v>
      </c>
      <c r="F756" s="469">
        <v>97297</v>
      </c>
    </row>
    <row r="757" spans="1:6" ht="56.25">
      <c r="A757" s="463" t="s">
        <v>487</v>
      </c>
      <c r="B757" s="464" t="s">
        <v>892</v>
      </c>
      <c r="C757" s="464"/>
      <c r="D757" s="464"/>
      <c r="E757" s="465">
        <v>430000</v>
      </c>
      <c r="F757" s="465">
        <v>430000</v>
      </c>
    </row>
    <row r="758" spans="1:6" ht="22.5">
      <c r="A758" s="463" t="s">
        <v>484</v>
      </c>
      <c r="B758" s="464" t="s">
        <v>892</v>
      </c>
      <c r="C758" s="464" t="s">
        <v>485</v>
      </c>
      <c r="D758" s="464"/>
      <c r="E758" s="465">
        <v>430000</v>
      </c>
      <c r="F758" s="465">
        <v>430000</v>
      </c>
    </row>
    <row r="759" spans="1:6">
      <c r="A759" s="467" t="s">
        <v>1440</v>
      </c>
      <c r="B759" s="468" t="s">
        <v>892</v>
      </c>
      <c r="C759" s="468" t="s">
        <v>485</v>
      </c>
      <c r="D759" s="468" t="s">
        <v>483</v>
      </c>
      <c r="E759" s="469">
        <v>430000</v>
      </c>
      <c r="F759" s="469">
        <v>430000</v>
      </c>
    </row>
    <row r="760" spans="1:6" ht="101.25">
      <c r="A760" s="466" t="s">
        <v>2607</v>
      </c>
      <c r="B760" s="464" t="s">
        <v>1888</v>
      </c>
      <c r="C760" s="464"/>
      <c r="D760" s="464"/>
      <c r="E760" s="465">
        <v>10000</v>
      </c>
      <c r="F760" s="465">
        <v>10000</v>
      </c>
    </row>
    <row r="761" spans="1:6" ht="22.5">
      <c r="A761" s="463" t="s">
        <v>484</v>
      </c>
      <c r="B761" s="464" t="s">
        <v>1888</v>
      </c>
      <c r="C761" s="464" t="s">
        <v>485</v>
      </c>
      <c r="D761" s="464"/>
      <c r="E761" s="465">
        <v>10000</v>
      </c>
      <c r="F761" s="465">
        <v>10000</v>
      </c>
    </row>
    <row r="762" spans="1:6">
      <c r="A762" s="467" t="s">
        <v>1440</v>
      </c>
      <c r="B762" s="468" t="s">
        <v>1888</v>
      </c>
      <c r="C762" s="468" t="s">
        <v>485</v>
      </c>
      <c r="D762" s="468" t="s">
        <v>483</v>
      </c>
      <c r="E762" s="469">
        <v>10000</v>
      </c>
      <c r="F762" s="469">
        <v>10000</v>
      </c>
    </row>
    <row r="763" spans="1:6" ht="33.75">
      <c r="A763" s="463" t="s">
        <v>598</v>
      </c>
      <c r="B763" s="464" t="s">
        <v>1218</v>
      </c>
      <c r="C763" s="464"/>
      <c r="D763" s="464"/>
      <c r="E763" s="465">
        <v>6711504</v>
      </c>
      <c r="F763" s="465">
        <v>6711504</v>
      </c>
    </row>
    <row r="764" spans="1:6" ht="101.25">
      <c r="A764" s="466" t="s">
        <v>2662</v>
      </c>
      <c r="B764" s="464" t="s">
        <v>1311</v>
      </c>
      <c r="C764" s="464"/>
      <c r="D764" s="464"/>
      <c r="E764" s="465">
        <v>2555400</v>
      </c>
      <c r="F764" s="465">
        <v>2555400</v>
      </c>
    </row>
    <row r="765" spans="1:6" ht="22.5">
      <c r="A765" s="463" t="s">
        <v>768</v>
      </c>
      <c r="B765" s="464" t="s">
        <v>1311</v>
      </c>
      <c r="C765" s="464" t="s">
        <v>767</v>
      </c>
      <c r="D765" s="464"/>
      <c r="E765" s="465">
        <v>2555400</v>
      </c>
      <c r="F765" s="465">
        <v>2555400</v>
      </c>
    </row>
    <row r="766" spans="1:6">
      <c r="A766" s="467" t="s">
        <v>127</v>
      </c>
      <c r="B766" s="468" t="s">
        <v>1311</v>
      </c>
      <c r="C766" s="468" t="s">
        <v>767</v>
      </c>
      <c r="D766" s="468" t="s">
        <v>496</v>
      </c>
      <c r="E766" s="469">
        <v>2555400</v>
      </c>
      <c r="F766" s="469">
        <v>2555400</v>
      </c>
    </row>
    <row r="767" spans="1:6" ht="90">
      <c r="A767" s="463" t="s">
        <v>1116</v>
      </c>
      <c r="B767" s="464" t="s">
        <v>1815</v>
      </c>
      <c r="C767" s="464"/>
      <c r="D767" s="464"/>
      <c r="E767" s="465">
        <v>4156104</v>
      </c>
      <c r="F767" s="465">
        <v>4156104</v>
      </c>
    </row>
    <row r="768" spans="1:6" ht="22.5">
      <c r="A768" s="463" t="s">
        <v>768</v>
      </c>
      <c r="B768" s="464" t="s">
        <v>1815</v>
      </c>
      <c r="C768" s="464" t="s">
        <v>767</v>
      </c>
      <c r="D768" s="464"/>
      <c r="E768" s="465">
        <v>4156104</v>
      </c>
      <c r="F768" s="465">
        <v>4156104</v>
      </c>
    </row>
    <row r="769" spans="1:6">
      <c r="A769" s="467" t="s">
        <v>127</v>
      </c>
      <c r="B769" s="468" t="s">
        <v>1815</v>
      </c>
      <c r="C769" s="468" t="s">
        <v>767</v>
      </c>
      <c r="D769" s="468" t="s">
        <v>496</v>
      </c>
      <c r="E769" s="469">
        <v>4156104</v>
      </c>
      <c r="F769" s="469">
        <v>4156104</v>
      </c>
    </row>
    <row r="770" spans="1:6" ht="33.75">
      <c r="A770" s="463" t="s">
        <v>574</v>
      </c>
      <c r="B770" s="464" t="s">
        <v>1219</v>
      </c>
      <c r="C770" s="464"/>
      <c r="D770" s="464"/>
      <c r="E770" s="465">
        <v>7265506</v>
      </c>
      <c r="F770" s="465">
        <v>7181732.5</v>
      </c>
    </row>
    <row r="771" spans="1:6" ht="90">
      <c r="A771" s="463" t="s">
        <v>1744</v>
      </c>
      <c r="B771" s="464" t="s">
        <v>1745</v>
      </c>
      <c r="C771" s="464"/>
      <c r="D771" s="464"/>
      <c r="E771" s="465">
        <v>675300</v>
      </c>
      <c r="F771" s="465">
        <v>675300</v>
      </c>
    </row>
    <row r="772" spans="1:6" ht="67.5">
      <c r="A772" s="463" t="s">
        <v>465</v>
      </c>
      <c r="B772" s="464" t="s">
        <v>1745</v>
      </c>
      <c r="C772" s="464" t="s">
        <v>466</v>
      </c>
      <c r="D772" s="464"/>
      <c r="E772" s="465">
        <v>675300</v>
      </c>
      <c r="F772" s="465">
        <v>675300</v>
      </c>
    </row>
    <row r="773" spans="1:6">
      <c r="A773" s="467" t="s">
        <v>1440</v>
      </c>
      <c r="B773" s="468" t="s">
        <v>1745</v>
      </c>
      <c r="C773" s="468" t="s">
        <v>466</v>
      </c>
      <c r="D773" s="468" t="s">
        <v>483</v>
      </c>
      <c r="E773" s="469">
        <v>675300</v>
      </c>
      <c r="F773" s="469">
        <v>675300</v>
      </c>
    </row>
    <row r="774" spans="1:6" ht="112.5">
      <c r="A774" s="466" t="s">
        <v>2608</v>
      </c>
      <c r="B774" s="464" t="s">
        <v>894</v>
      </c>
      <c r="C774" s="464"/>
      <c r="D774" s="464"/>
      <c r="E774" s="465">
        <v>4917400</v>
      </c>
      <c r="F774" s="465">
        <v>4917400</v>
      </c>
    </row>
    <row r="775" spans="1:6" ht="67.5">
      <c r="A775" s="463" t="s">
        <v>465</v>
      </c>
      <c r="B775" s="464" t="s">
        <v>894</v>
      </c>
      <c r="C775" s="464" t="s">
        <v>466</v>
      </c>
      <c r="D775" s="464"/>
      <c r="E775" s="465">
        <v>4917400</v>
      </c>
      <c r="F775" s="465">
        <v>4917400</v>
      </c>
    </row>
    <row r="776" spans="1:6">
      <c r="A776" s="467" t="s">
        <v>1440</v>
      </c>
      <c r="B776" s="468" t="s">
        <v>894</v>
      </c>
      <c r="C776" s="468" t="s">
        <v>466</v>
      </c>
      <c r="D776" s="468" t="s">
        <v>483</v>
      </c>
      <c r="E776" s="469">
        <v>4917400</v>
      </c>
      <c r="F776" s="469">
        <v>4917400</v>
      </c>
    </row>
    <row r="777" spans="1:6" ht="90">
      <c r="A777" s="466" t="s">
        <v>2609</v>
      </c>
      <c r="B777" s="464" t="s">
        <v>895</v>
      </c>
      <c r="C777" s="464"/>
      <c r="D777" s="464"/>
      <c r="E777" s="465">
        <v>828106</v>
      </c>
      <c r="F777" s="465">
        <v>828106</v>
      </c>
    </row>
    <row r="778" spans="1:6" ht="67.5">
      <c r="A778" s="463" t="s">
        <v>465</v>
      </c>
      <c r="B778" s="464" t="s">
        <v>895</v>
      </c>
      <c r="C778" s="464" t="s">
        <v>466</v>
      </c>
      <c r="D778" s="464"/>
      <c r="E778" s="465">
        <v>828106</v>
      </c>
      <c r="F778" s="465">
        <v>828106</v>
      </c>
    </row>
    <row r="779" spans="1:6">
      <c r="A779" s="467" t="s">
        <v>1440</v>
      </c>
      <c r="B779" s="468" t="s">
        <v>895</v>
      </c>
      <c r="C779" s="468" t="s">
        <v>466</v>
      </c>
      <c r="D779" s="468" t="s">
        <v>483</v>
      </c>
      <c r="E779" s="469">
        <v>828106</v>
      </c>
      <c r="F779" s="469">
        <v>828106</v>
      </c>
    </row>
    <row r="780" spans="1:6" ht="90">
      <c r="A780" s="466" t="s">
        <v>2610</v>
      </c>
      <c r="B780" s="464" t="s">
        <v>1117</v>
      </c>
      <c r="C780" s="464"/>
      <c r="D780" s="464"/>
      <c r="E780" s="465">
        <v>50000</v>
      </c>
      <c r="F780" s="465">
        <v>7242.7</v>
      </c>
    </row>
    <row r="781" spans="1:6" ht="22.5">
      <c r="A781" s="463" t="s">
        <v>484</v>
      </c>
      <c r="B781" s="464" t="s">
        <v>1117</v>
      </c>
      <c r="C781" s="464" t="s">
        <v>485</v>
      </c>
      <c r="D781" s="464"/>
      <c r="E781" s="465">
        <v>50000</v>
      </c>
      <c r="F781" s="465">
        <v>7242.7</v>
      </c>
    </row>
    <row r="782" spans="1:6">
      <c r="A782" s="467" t="s">
        <v>1440</v>
      </c>
      <c r="B782" s="468" t="s">
        <v>1117</v>
      </c>
      <c r="C782" s="468" t="s">
        <v>485</v>
      </c>
      <c r="D782" s="468" t="s">
        <v>483</v>
      </c>
      <c r="E782" s="469">
        <v>50000</v>
      </c>
      <c r="F782" s="469">
        <v>7242.7</v>
      </c>
    </row>
    <row r="783" spans="1:6" ht="78.75">
      <c r="A783" s="463" t="s">
        <v>488</v>
      </c>
      <c r="B783" s="464" t="s">
        <v>893</v>
      </c>
      <c r="C783" s="464"/>
      <c r="D783" s="464"/>
      <c r="E783" s="465">
        <v>794700</v>
      </c>
      <c r="F783" s="465">
        <v>753683.8</v>
      </c>
    </row>
    <row r="784" spans="1:6" ht="22.5">
      <c r="A784" s="463" t="s">
        <v>484</v>
      </c>
      <c r="B784" s="464" t="s">
        <v>893</v>
      </c>
      <c r="C784" s="464" t="s">
        <v>485</v>
      </c>
      <c r="D784" s="464"/>
      <c r="E784" s="465">
        <v>794700</v>
      </c>
      <c r="F784" s="465">
        <v>753683.8</v>
      </c>
    </row>
    <row r="785" spans="1:6">
      <c r="A785" s="467" t="s">
        <v>1440</v>
      </c>
      <c r="B785" s="468" t="s">
        <v>893</v>
      </c>
      <c r="C785" s="468" t="s">
        <v>485</v>
      </c>
      <c r="D785" s="468" t="s">
        <v>483</v>
      </c>
      <c r="E785" s="469">
        <v>794700</v>
      </c>
      <c r="F785" s="469">
        <v>753683.8</v>
      </c>
    </row>
    <row r="786" spans="1:6" ht="33.75">
      <c r="A786" s="463" t="s">
        <v>601</v>
      </c>
      <c r="B786" s="464" t="s">
        <v>1220</v>
      </c>
      <c r="C786" s="464"/>
      <c r="D786" s="464"/>
      <c r="E786" s="465">
        <v>1945700</v>
      </c>
      <c r="F786" s="465">
        <v>1616842.56</v>
      </c>
    </row>
    <row r="787" spans="1:6" ht="22.5">
      <c r="A787" s="463" t="s">
        <v>602</v>
      </c>
      <c r="B787" s="464" t="s">
        <v>1221</v>
      </c>
      <c r="C787" s="464"/>
      <c r="D787" s="464"/>
      <c r="E787" s="465">
        <v>1745700</v>
      </c>
      <c r="F787" s="465">
        <v>1436944.36</v>
      </c>
    </row>
    <row r="788" spans="1:6" ht="90">
      <c r="A788" s="463" t="s">
        <v>500</v>
      </c>
      <c r="B788" s="464" t="s">
        <v>897</v>
      </c>
      <c r="C788" s="464"/>
      <c r="D788" s="464"/>
      <c r="E788" s="465">
        <v>632026.26</v>
      </c>
      <c r="F788" s="465">
        <v>468562.93</v>
      </c>
    </row>
    <row r="789" spans="1:6" ht="56.25">
      <c r="A789" s="463" t="s">
        <v>1619</v>
      </c>
      <c r="B789" s="464" t="s">
        <v>897</v>
      </c>
      <c r="C789" s="464" t="s">
        <v>1295</v>
      </c>
      <c r="D789" s="464"/>
      <c r="E789" s="465">
        <v>20000</v>
      </c>
      <c r="F789" s="465">
        <v>20000</v>
      </c>
    </row>
    <row r="790" spans="1:6">
      <c r="A790" s="467" t="s">
        <v>258</v>
      </c>
      <c r="B790" s="468" t="s">
        <v>897</v>
      </c>
      <c r="C790" s="468" t="s">
        <v>1295</v>
      </c>
      <c r="D790" s="468" t="s">
        <v>499</v>
      </c>
      <c r="E790" s="469">
        <v>20000</v>
      </c>
      <c r="F790" s="469">
        <v>20000</v>
      </c>
    </row>
    <row r="791" spans="1:6" ht="33.75">
      <c r="A791" s="463" t="s">
        <v>445</v>
      </c>
      <c r="B791" s="464" t="s">
        <v>897</v>
      </c>
      <c r="C791" s="464" t="s">
        <v>446</v>
      </c>
      <c r="D791" s="464"/>
      <c r="E791" s="465">
        <v>612026.26</v>
      </c>
      <c r="F791" s="465">
        <v>448562.93</v>
      </c>
    </row>
    <row r="792" spans="1:6">
      <c r="A792" s="467" t="s">
        <v>258</v>
      </c>
      <c r="B792" s="468" t="s">
        <v>897</v>
      </c>
      <c r="C792" s="468" t="s">
        <v>446</v>
      </c>
      <c r="D792" s="468" t="s">
        <v>499</v>
      </c>
      <c r="E792" s="469">
        <v>612026.26</v>
      </c>
      <c r="F792" s="469">
        <v>448562.93</v>
      </c>
    </row>
    <row r="793" spans="1:6" ht="90">
      <c r="A793" s="463" t="s">
        <v>501</v>
      </c>
      <c r="B793" s="464" t="s">
        <v>898</v>
      </c>
      <c r="C793" s="464"/>
      <c r="D793" s="464"/>
      <c r="E793" s="465">
        <v>858738.74</v>
      </c>
      <c r="F793" s="465">
        <v>713446.43</v>
      </c>
    </row>
    <row r="794" spans="1:6" ht="33.75">
      <c r="A794" s="463" t="s">
        <v>1617</v>
      </c>
      <c r="B794" s="464" t="s">
        <v>898</v>
      </c>
      <c r="C794" s="464" t="s">
        <v>509</v>
      </c>
      <c r="D794" s="464"/>
      <c r="E794" s="465">
        <v>60000</v>
      </c>
      <c r="F794" s="465">
        <v>53531</v>
      </c>
    </row>
    <row r="795" spans="1:6">
      <c r="A795" s="467" t="s">
        <v>258</v>
      </c>
      <c r="B795" s="468" t="s">
        <v>898</v>
      </c>
      <c r="C795" s="468" t="s">
        <v>509</v>
      </c>
      <c r="D795" s="468" t="s">
        <v>499</v>
      </c>
      <c r="E795" s="469">
        <v>60000</v>
      </c>
      <c r="F795" s="469">
        <v>53531</v>
      </c>
    </row>
    <row r="796" spans="1:6" ht="56.25">
      <c r="A796" s="463" t="s">
        <v>1619</v>
      </c>
      <c r="B796" s="464" t="s">
        <v>898</v>
      </c>
      <c r="C796" s="464" t="s">
        <v>1295</v>
      </c>
      <c r="D796" s="464"/>
      <c r="E796" s="465">
        <v>486123.61</v>
      </c>
      <c r="F796" s="465">
        <v>462713.2</v>
      </c>
    </row>
    <row r="797" spans="1:6">
      <c r="A797" s="467" t="s">
        <v>258</v>
      </c>
      <c r="B797" s="468" t="s">
        <v>898</v>
      </c>
      <c r="C797" s="468" t="s">
        <v>1295</v>
      </c>
      <c r="D797" s="468" t="s">
        <v>499</v>
      </c>
      <c r="E797" s="469">
        <v>486123.61</v>
      </c>
      <c r="F797" s="469">
        <v>462713.2</v>
      </c>
    </row>
    <row r="798" spans="1:6" ht="33.75">
      <c r="A798" s="463" t="s">
        <v>445</v>
      </c>
      <c r="B798" s="464" t="s">
        <v>898</v>
      </c>
      <c r="C798" s="464" t="s">
        <v>446</v>
      </c>
      <c r="D798" s="464"/>
      <c r="E798" s="465">
        <v>312615.13</v>
      </c>
      <c r="F798" s="465">
        <v>197202.23</v>
      </c>
    </row>
    <row r="799" spans="1:6">
      <c r="A799" s="467" t="s">
        <v>258</v>
      </c>
      <c r="B799" s="468" t="s">
        <v>898</v>
      </c>
      <c r="C799" s="468" t="s">
        <v>446</v>
      </c>
      <c r="D799" s="468" t="s">
        <v>499</v>
      </c>
      <c r="E799" s="469">
        <v>312615.13</v>
      </c>
      <c r="F799" s="469">
        <v>197202.23</v>
      </c>
    </row>
    <row r="800" spans="1:6" ht="78.75">
      <c r="A800" s="463" t="s">
        <v>1620</v>
      </c>
      <c r="B800" s="464" t="s">
        <v>1621</v>
      </c>
      <c r="C800" s="464"/>
      <c r="D800" s="464"/>
      <c r="E800" s="465">
        <v>254935</v>
      </c>
      <c r="F800" s="465">
        <v>254935</v>
      </c>
    </row>
    <row r="801" spans="1:6" ht="33.75">
      <c r="A801" s="463" t="s">
        <v>445</v>
      </c>
      <c r="B801" s="464" t="s">
        <v>1621</v>
      </c>
      <c r="C801" s="464" t="s">
        <v>446</v>
      </c>
      <c r="D801" s="464"/>
      <c r="E801" s="465">
        <v>254935</v>
      </c>
      <c r="F801" s="465">
        <v>254935</v>
      </c>
    </row>
    <row r="802" spans="1:6">
      <c r="A802" s="467" t="s">
        <v>258</v>
      </c>
      <c r="B802" s="468" t="s">
        <v>1621</v>
      </c>
      <c r="C802" s="468" t="s">
        <v>446</v>
      </c>
      <c r="D802" s="468" t="s">
        <v>499</v>
      </c>
      <c r="E802" s="469">
        <v>254935</v>
      </c>
      <c r="F802" s="469">
        <v>254935</v>
      </c>
    </row>
    <row r="803" spans="1:6" ht="22.5">
      <c r="A803" s="463" t="s">
        <v>604</v>
      </c>
      <c r="B803" s="464" t="s">
        <v>1222</v>
      </c>
      <c r="C803" s="464"/>
      <c r="D803" s="464"/>
      <c r="E803" s="465">
        <v>200000</v>
      </c>
      <c r="F803" s="465">
        <v>179898.2</v>
      </c>
    </row>
    <row r="804" spans="1:6" ht="101.25">
      <c r="A804" s="466" t="s">
        <v>2612</v>
      </c>
      <c r="B804" s="464" t="s">
        <v>899</v>
      </c>
      <c r="C804" s="464"/>
      <c r="D804" s="464"/>
      <c r="E804" s="465">
        <v>16900</v>
      </c>
      <c r="F804" s="465">
        <v>16900</v>
      </c>
    </row>
    <row r="805" spans="1:6" ht="22.5">
      <c r="A805" s="463" t="s">
        <v>484</v>
      </c>
      <c r="B805" s="464" t="s">
        <v>899</v>
      </c>
      <c r="C805" s="464" t="s">
        <v>485</v>
      </c>
      <c r="D805" s="464"/>
      <c r="E805" s="465">
        <v>16900</v>
      </c>
      <c r="F805" s="465">
        <v>16900</v>
      </c>
    </row>
    <row r="806" spans="1:6">
      <c r="A806" s="467" t="s">
        <v>258</v>
      </c>
      <c r="B806" s="468" t="s">
        <v>899</v>
      </c>
      <c r="C806" s="468" t="s">
        <v>485</v>
      </c>
      <c r="D806" s="468" t="s">
        <v>499</v>
      </c>
      <c r="E806" s="469">
        <v>16900</v>
      </c>
      <c r="F806" s="469">
        <v>16900</v>
      </c>
    </row>
    <row r="807" spans="1:6" ht="90">
      <c r="A807" s="463" t="s">
        <v>502</v>
      </c>
      <c r="B807" s="464" t="s">
        <v>900</v>
      </c>
      <c r="C807" s="464"/>
      <c r="D807" s="464"/>
      <c r="E807" s="465">
        <v>176400</v>
      </c>
      <c r="F807" s="465">
        <v>162998.20000000001</v>
      </c>
    </row>
    <row r="808" spans="1:6" ht="22.5">
      <c r="A808" s="463" t="s">
        <v>484</v>
      </c>
      <c r="B808" s="464" t="s">
        <v>900</v>
      </c>
      <c r="C808" s="464" t="s">
        <v>485</v>
      </c>
      <c r="D808" s="464"/>
      <c r="E808" s="465">
        <v>176400</v>
      </c>
      <c r="F808" s="465">
        <v>162998.20000000001</v>
      </c>
    </row>
    <row r="809" spans="1:6">
      <c r="A809" s="467" t="s">
        <v>258</v>
      </c>
      <c r="B809" s="468" t="s">
        <v>900</v>
      </c>
      <c r="C809" s="468" t="s">
        <v>485</v>
      </c>
      <c r="D809" s="468" t="s">
        <v>499</v>
      </c>
      <c r="E809" s="469">
        <v>176400</v>
      </c>
      <c r="F809" s="469">
        <v>162998.20000000001</v>
      </c>
    </row>
    <row r="810" spans="1:6" ht="101.25">
      <c r="A810" s="466" t="s">
        <v>2613</v>
      </c>
      <c r="B810" s="464" t="s">
        <v>901</v>
      </c>
      <c r="C810" s="464"/>
      <c r="D810" s="464"/>
      <c r="E810" s="465">
        <v>6700</v>
      </c>
      <c r="F810" s="465">
        <v>0</v>
      </c>
    </row>
    <row r="811" spans="1:6" ht="22.5">
      <c r="A811" s="463" t="s">
        <v>484</v>
      </c>
      <c r="B811" s="464" t="s">
        <v>901</v>
      </c>
      <c r="C811" s="464" t="s">
        <v>485</v>
      </c>
      <c r="D811" s="464"/>
      <c r="E811" s="465">
        <v>6700</v>
      </c>
      <c r="F811" s="465">
        <v>0</v>
      </c>
    </row>
    <row r="812" spans="1:6">
      <c r="A812" s="467" t="s">
        <v>258</v>
      </c>
      <c r="B812" s="468" t="s">
        <v>901</v>
      </c>
      <c r="C812" s="468" t="s">
        <v>485</v>
      </c>
      <c r="D812" s="468" t="s">
        <v>499</v>
      </c>
      <c r="E812" s="469">
        <v>6700</v>
      </c>
      <c r="F812" s="469">
        <v>0</v>
      </c>
    </row>
    <row r="813" spans="1:6" ht="56.25">
      <c r="A813" s="463" t="s">
        <v>606</v>
      </c>
      <c r="B813" s="464" t="s">
        <v>1223</v>
      </c>
      <c r="C813" s="464"/>
      <c r="D813" s="464"/>
      <c r="E813" s="465">
        <v>2457000</v>
      </c>
      <c r="F813" s="465">
        <v>2457000</v>
      </c>
    </row>
    <row r="814" spans="1:6" ht="45">
      <c r="A814" s="463" t="s">
        <v>607</v>
      </c>
      <c r="B814" s="464" t="s">
        <v>1224</v>
      </c>
      <c r="C814" s="464"/>
      <c r="D814" s="464"/>
      <c r="E814" s="465">
        <v>2454000</v>
      </c>
      <c r="F814" s="465">
        <v>2454000</v>
      </c>
    </row>
    <row r="815" spans="1:6" ht="101.25">
      <c r="A815" s="466" t="s">
        <v>2596</v>
      </c>
      <c r="B815" s="464" t="s">
        <v>1119</v>
      </c>
      <c r="C815" s="464"/>
      <c r="D815" s="464"/>
      <c r="E815" s="465">
        <v>1500000</v>
      </c>
      <c r="F815" s="465">
        <v>1500000</v>
      </c>
    </row>
    <row r="816" spans="1:6" ht="56.25">
      <c r="A816" s="463" t="s">
        <v>1740</v>
      </c>
      <c r="B816" s="464" t="s">
        <v>1119</v>
      </c>
      <c r="C816" s="464" t="s">
        <v>1741</v>
      </c>
      <c r="D816" s="464"/>
      <c r="E816" s="465">
        <v>1500000</v>
      </c>
      <c r="F816" s="465">
        <v>1500000</v>
      </c>
    </row>
    <row r="817" spans="1:6" ht="22.5">
      <c r="A817" s="467" t="s">
        <v>180</v>
      </c>
      <c r="B817" s="468" t="s">
        <v>1119</v>
      </c>
      <c r="C817" s="468" t="s">
        <v>1741</v>
      </c>
      <c r="D817" s="468" t="s">
        <v>478</v>
      </c>
      <c r="E817" s="469">
        <v>1500000</v>
      </c>
      <c r="F817" s="469">
        <v>1500000</v>
      </c>
    </row>
    <row r="818" spans="1:6" ht="101.25">
      <c r="A818" s="466" t="s">
        <v>2597</v>
      </c>
      <c r="B818" s="464" t="s">
        <v>883</v>
      </c>
      <c r="C818" s="464"/>
      <c r="D818" s="464"/>
      <c r="E818" s="465">
        <v>865052.63</v>
      </c>
      <c r="F818" s="465">
        <v>865052.63</v>
      </c>
    </row>
    <row r="819" spans="1:6" ht="56.25">
      <c r="A819" s="463" t="s">
        <v>1740</v>
      </c>
      <c r="B819" s="464" t="s">
        <v>883</v>
      </c>
      <c r="C819" s="464" t="s">
        <v>1741</v>
      </c>
      <c r="D819" s="464"/>
      <c r="E819" s="465">
        <v>865052.63</v>
      </c>
      <c r="F819" s="465">
        <v>865052.63</v>
      </c>
    </row>
    <row r="820" spans="1:6" ht="22.5">
      <c r="A820" s="467" t="s">
        <v>180</v>
      </c>
      <c r="B820" s="468" t="s">
        <v>883</v>
      </c>
      <c r="C820" s="468" t="s">
        <v>1741</v>
      </c>
      <c r="D820" s="468" t="s">
        <v>478</v>
      </c>
      <c r="E820" s="469">
        <v>865052.63</v>
      </c>
      <c r="F820" s="469">
        <v>865052.63</v>
      </c>
    </row>
    <row r="821" spans="1:6" ht="101.25">
      <c r="A821" s="466" t="s">
        <v>2598</v>
      </c>
      <c r="B821" s="464" t="s">
        <v>881</v>
      </c>
      <c r="C821" s="464"/>
      <c r="D821" s="464"/>
      <c r="E821" s="465">
        <v>10000</v>
      </c>
      <c r="F821" s="465">
        <v>10000</v>
      </c>
    </row>
    <row r="822" spans="1:6" ht="33.75">
      <c r="A822" s="463" t="s">
        <v>445</v>
      </c>
      <c r="B822" s="464" t="s">
        <v>881</v>
      </c>
      <c r="C822" s="464" t="s">
        <v>446</v>
      </c>
      <c r="D822" s="464"/>
      <c r="E822" s="465">
        <v>10000</v>
      </c>
      <c r="F822" s="465">
        <v>10000</v>
      </c>
    </row>
    <row r="823" spans="1:6" ht="22.5">
      <c r="A823" s="467" t="s">
        <v>180</v>
      </c>
      <c r="B823" s="468" t="s">
        <v>881</v>
      </c>
      <c r="C823" s="468" t="s">
        <v>446</v>
      </c>
      <c r="D823" s="468" t="s">
        <v>478</v>
      </c>
      <c r="E823" s="469">
        <v>10000</v>
      </c>
      <c r="F823" s="469">
        <v>10000</v>
      </c>
    </row>
    <row r="824" spans="1:6" ht="101.25">
      <c r="A824" s="466" t="s">
        <v>2599</v>
      </c>
      <c r="B824" s="464" t="s">
        <v>1950</v>
      </c>
      <c r="C824" s="464"/>
      <c r="D824" s="464"/>
      <c r="E824" s="465">
        <v>78947.37</v>
      </c>
      <c r="F824" s="465">
        <v>78947.37</v>
      </c>
    </row>
    <row r="825" spans="1:6" ht="56.25">
      <c r="A825" s="463" t="s">
        <v>1740</v>
      </c>
      <c r="B825" s="464" t="s">
        <v>1950</v>
      </c>
      <c r="C825" s="464" t="s">
        <v>1741</v>
      </c>
      <c r="D825" s="464"/>
      <c r="E825" s="465">
        <v>78947.37</v>
      </c>
      <c r="F825" s="465">
        <v>78947.37</v>
      </c>
    </row>
    <row r="826" spans="1:6" ht="22.5">
      <c r="A826" s="467" t="s">
        <v>180</v>
      </c>
      <c r="B826" s="468" t="s">
        <v>1950</v>
      </c>
      <c r="C826" s="468" t="s">
        <v>1741</v>
      </c>
      <c r="D826" s="468" t="s">
        <v>478</v>
      </c>
      <c r="E826" s="469">
        <v>78947.37</v>
      </c>
      <c r="F826" s="469">
        <v>78947.37</v>
      </c>
    </row>
    <row r="827" spans="1:6" ht="33.75">
      <c r="A827" s="463" t="s">
        <v>574</v>
      </c>
      <c r="B827" s="464" t="s">
        <v>1225</v>
      </c>
      <c r="C827" s="464"/>
      <c r="D827" s="464"/>
      <c r="E827" s="465">
        <v>3000</v>
      </c>
      <c r="F827" s="465">
        <v>3000</v>
      </c>
    </row>
    <row r="828" spans="1:6" ht="101.25">
      <c r="A828" s="466" t="s">
        <v>2600</v>
      </c>
      <c r="B828" s="464" t="s">
        <v>884</v>
      </c>
      <c r="C828" s="464"/>
      <c r="D828" s="464"/>
      <c r="E828" s="465">
        <v>3000</v>
      </c>
      <c r="F828" s="465">
        <v>3000</v>
      </c>
    </row>
    <row r="829" spans="1:6" ht="33.75">
      <c r="A829" s="463" t="s">
        <v>445</v>
      </c>
      <c r="B829" s="464" t="s">
        <v>884</v>
      </c>
      <c r="C829" s="464" t="s">
        <v>446</v>
      </c>
      <c r="D829" s="464"/>
      <c r="E829" s="465">
        <v>3000</v>
      </c>
      <c r="F829" s="465">
        <v>3000</v>
      </c>
    </row>
    <row r="830" spans="1:6" ht="22.5">
      <c r="A830" s="467" t="s">
        <v>180</v>
      </c>
      <c r="B830" s="468" t="s">
        <v>884</v>
      </c>
      <c r="C830" s="468" t="s">
        <v>446</v>
      </c>
      <c r="D830" s="468" t="s">
        <v>478</v>
      </c>
      <c r="E830" s="469">
        <v>3000</v>
      </c>
      <c r="F830" s="469">
        <v>3000</v>
      </c>
    </row>
    <row r="831" spans="1:6" ht="33.75">
      <c r="A831" s="463" t="s">
        <v>610</v>
      </c>
      <c r="B831" s="464" t="s">
        <v>1226</v>
      </c>
      <c r="C831" s="464"/>
      <c r="D831" s="464"/>
      <c r="E831" s="465">
        <v>70319280</v>
      </c>
      <c r="F831" s="465">
        <v>69744586.180000007</v>
      </c>
    </row>
    <row r="832" spans="1:6" ht="22.5">
      <c r="A832" s="463" t="s">
        <v>611</v>
      </c>
      <c r="B832" s="464" t="s">
        <v>1227</v>
      </c>
      <c r="C832" s="464"/>
      <c r="D832" s="464"/>
      <c r="E832" s="465">
        <v>35013530</v>
      </c>
      <c r="F832" s="465">
        <v>34762366.649999999</v>
      </c>
    </row>
    <row r="833" spans="1:6" ht="101.25">
      <c r="A833" s="466" t="s">
        <v>2720</v>
      </c>
      <c r="B833" s="464" t="s">
        <v>1121</v>
      </c>
      <c r="C833" s="464"/>
      <c r="D833" s="464"/>
      <c r="E833" s="465">
        <v>5912130</v>
      </c>
      <c r="F833" s="465">
        <v>5912130</v>
      </c>
    </row>
    <row r="834" spans="1:6">
      <c r="A834" s="463" t="s">
        <v>93</v>
      </c>
      <c r="B834" s="464" t="s">
        <v>1121</v>
      </c>
      <c r="C834" s="464" t="s">
        <v>550</v>
      </c>
      <c r="D834" s="464"/>
      <c r="E834" s="465">
        <v>5912130</v>
      </c>
      <c r="F834" s="465">
        <v>5912130</v>
      </c>
    </row>
    <row r="835" spans="1:6">
      <c r="A835" s="467" t="s">
        <v>303</v>
      </c>
      <c r="B835" s="468" t="s">
        <v>1121</v>
      </c>
      <c r="C835" s="468" t="s">
        <v>550</v>
      </c>
      <c r="D835" s="468" t="s">
        <v>476</v>
      </c>
      <c r="E835" s="469">
        <v>5912130</v>
      </c>
      <c r="F835" s="469">
        <v>5912130</v>
      </c>
    </row>
    <row r="836" spans="1:6" ht="90">
      <c r="A836" s="466" t="s">
        <v>2721</v>
      </c>
      <c r="B836" s="464" t="s">
        <v>1775</v>
      </c>
      <c r="C836" s="464"/>
      <c r="D836" s="464"/>
      <c r="E836" s="465">
        <v>29068700</v>
      </c>
      <c r="F836" s="465">
        <v>28817536.649999999</v>
      </c>
    </row>
    <row r="837" spans="1:6">
      <c r="A837" s="463" t="s">
        <v>93</v>
      </c>
      <c r="B837" s="464" t="s">
        <v>1775</v>
      </c>
      <c r="C837" s="464" t="s">
        <v>550</v>
      </c>
      <c r="D837" s="464"/>
      <c r="E837" s="465">
        <v>29068700</v>
      </c>
      <c r="F837" s="465">
        <v>28817536.649999999</v>
      </c>
    </row>
    <row r="838" spans="1:6">
      <c r="A838" s="467" t="s">
        <v>303</v>
      </c>
      <c r="B838" s="468" t="s">
        <v>1775</v>
      </c>
      <c r="C838" s="468" t="s">
        <v>550</v>
      </c>
      <c r="D838" s="468" t="s">
        <v>476</v>
      </c>
      <c r="E838" s="469">
        <v>29068700</v>
      </c>
      <c r="F838" s="469">
        <v>28817536.649999999</v>
      </c>
    </row>
    <row r="839" spans="1:6" ht="56.25">
      <c r="A839" s="463" t="s">
        <v>477</v>
      </c>
      <c r="B839" s="464" t="s">
        <v>880</v>
      </c>
      <c r="C839" s="464"/>
      <c r="D839" s="464"/>
      <c r="E839" s="465">
        <v>32700</v>
      </c>
      <c r="F839" s="465">
        <v>32700</v>
      </c>
    </row>
    <row r="840" spans="1:6" ht="33.75">
      <c r="A840" s="463" t="s">
        <v>445</v>
      </c>
      <c r="B840" s="464" t="s">
        <v>880</v>
      </c>
      <c r="C840" s="464" t="s">
        <v>446</v>
      </c>
      <c r="D840" s="464"/>
      <c r="E840" s="465">
        <v>32700</v>
      </c>
      <c r="F840" s="465">
        <v>32700</v>
      </c>
    </row>
    <row r="841" spans="1:6">
      <c r="A841" s="467" t="s">
        <v>303</v>
      </c>
      <c r="B841" s="468" t="s">
        <v>880</v>
      </c>
      <c r="C841" s="468" t="s">
        <v>446</v>
      </c>
      <c r="D841" s="468" t="s">
        <v>476</v>
      </c>
      <c r="E841" s="469">
        <v>32700</v>
      </c>
      <c r="F841" s="469">
        <v>32700</v>
      </c>
    </row>
    <row r="842" spans="1:6" ht="33.75">
      <c r="A842" s="463" t="s">
        <v>613</v>
      </c>
      <c r="B842" s="464" t="s">
        <v>1228</v>
      </c>
      <c r="C842" s="464"/>
      <c r="D842" s="464"/>
      <c r="E842" s="465">
        <v>34957000</v>
      </c>
      <c r="F842" s="465">
        <v>34635970.030000001</v>
      </c>
    </row>
    <row r="843" spans="1:6" ht="78.75">
      <c r="A843" s="463" t="s">
        <v>1036</v>
      </c>
      <c r="B843" s="464" t="s">
        <v>1162</v>
      </c>
      <c r="C843" s="464"/>
      <c r="D843" s="464"/>
      <c r="E843" s="465">
        <v>304800</v>
      </c>
      <c r="F843" s="465">
        <v>0</v>
      </c>
    </row>
    <row r="844" spans="1:6" ht="56.25">
      <c r="A844" s="463" t="s">
        <v>1740</v>
      </c>
      <c r="B844" s="464" t="s">
        <v>1162</v>
      </c>
      <c r="C844" s="464" t="s">
        <v>1741</v>
      </c>
      <c r="D844" s="464"/>
      <c r="E844" s="465">
        <v>304800</v>
      </c>
      <c r="F844" s="465">
        <v>0</v>
      </c>
    </row>
    <row r="845" spans="1:6">
      <c r="A845" s="467" t="s">
        <v>224</v>
      </c>
      <c r="B845" s="468" t="s">
        <v>1162</v>
      </c>
      <c r="C845" s="468" t="s">
        <v>1741</v>
      </c>
      <c r="D845" s="468" t="s">
        <v>474</v>
      </c>
      <c r="E845" s="469">
        <v>304800</v>
      </c>
      <c r="F845" s="469">
        <v>0</v>
      </c>
    </row>
    <row r="846" spans="1:6" ht="78.75">
      <c r="A846" s="463" t="s">
        <v>475</v>
      </c>
      <c r="B846" s="464" t="s">
        <v>879</v>
      </c>
      <c r="C846" s="464"/>
      <c r="D846" s="464"/>
      <c r="E846" s="465">
        <v>24252200</v>
      </c>
      <c r="F846" s="465">
        <v>24235970.030000001</v>
      </c>
    </row>
    <row r="847" spans="1:6" ht="56.25">
      <c r="A847" s="463" t="s">
        <v>1740</v>
      </c>
      <c r="B847" s="464" t="s">
        <v>879</v>
      </c>
      <c r="C847" s="464" t="s">
        <v>1741</v>
      </c>
      <c r="D847" s="464"/>
      <c r="E847" s="465">
        <v>24252200</v>
      </c>
      <c r="F847" s="465">
        <v>24235970.030000001</v>
      </c>
    </row>
    <row r="848" spans="1:6">
      <c r="A848" s="467" t="s">
        <v>224</v>
      </c>
      <c r="B848" s="468" t="s">
        <v>879</v>
      </c>
      <c r="C848" s="468" t="s">
        <v>1741</v>
      </c>
      <c r="D848" s="468" t="s">
        <v>474</v>
      </c>
      <c r="E848" s="469">
        <v>24252200</v>
      </c>
      <c r="F848" s="469">
        <v>24235970.030000001</v>
      </c>
    </row>
    <row r="849" spans="1:6" ht="90">
      <c r="A849" s="463" t="s">
        <v>1006</v>
      </c>
      <c r="B849" s="464" t="s">
        <v>1007</v>
      </c>
      <c r="C849" s="464"/>
      <c r="D849" s="464"/>
      <c r="E849" s="465">
        <v>10400000</v>
      </c>
      <c r="F849" s="465">
        <v>10400000</v>
      </c>
    </row>
    <row r="850" spans="1:6">
      <c r="A850" s="463" t="s">
        <v>93</v>
      </c>
      <c r="B850" s="464" t="s">
        <v>1007</v>
      </c>
      <c r="C850" s="464" t="s">
        <v>550</v>
      </c>
      <c r="D850" s="464"/>
      <c r="E850" s="465">
        <v>10400000</v>
      </c>
      <c r="F850" s="465">
        <v>10400000</v>
      </c>
    </row>
    <row r="851" spans="1:6">
      <c r="A851" s="467" t="s">
        <v>224</v>
      </c>
      <c r="B851" s="468" t="s">
        <v>1007</v>
      </c>
      <c r="C851" s="468" t="s">
        <v>550</v>
      </c>
      <c r="D851" s="468" t="s">
        <v>474</v>
      </c>
      <c r="E851" s="469">
        <v>10400000</v>
      </c>
      <c r="F851" s="469">
        <v>10400000</v>
      </c>
    </row>
    <row r="852" spans="1:6" ht="33.75">
      <c r="A852" s="463" t="s">
        <v>615</v>
      </c>
      <c r="B852" s="464" t="s">
        <v>1229</v>
      </c>
      <c r="C852" s="464"/>
      <c r="D852" s="464"/>
      <c r="E852" s="465">
        <v>348750</v>
      </c>
      <c r="F852" s="465">
        <v>346249.5</v>
      </c>
    </row>
    <row r="853" spans="1:6" ht="101.25">
      <c r="A853" s="466" t="s">
        <v>2683</v>
      </c>
      <c r="B853" s="464" t="s">
        <v>1821</v>
      </c>
      <c r="C853" s="464"/>
      <c r="D853" s="464"/>
      <c r="E853" s="465">
        <v>11940</v>
      </c>
      <c r="F853" s="465">
        <v>10203.700000000001</v>
      </c>
    </row>
    <row r="854" spans="1:6" ht="33.75">
      <c r="A854" s="463" t="s">
        <v>445</v>
      </c>
      <c r="B854" s="464" t="s">
        <v>1821</v>
      </c>
      <c r="C854" s="464" t="s">
        <v>446</v>
      </c>
      <c r="D854" s="464"/>
      <c r="E854" s="465">
        <v>11940</v>
      </c>
      <c r="F854" s="465">
        <v>10203.700000000001</v>
      </c>
    </row>
    <row r="855" spans="1:6">
      <c r="A855" s="467" t="s">
        <v>188</v>
      </c>
      <c r="B855" s="468" t="s">
        <v>1821</v>
      </c>
      <c r="C855" s="468" t="s">
        <v>446</v>
      </c>
      <c r="D855" s="468" t="s">
        <v>515</v>
      </c>
      <c r="E855" s="469">
        <v>11940</v>
      </c>
      <c r="F855" s="469">
        <v>10203.700000000001</v>
      </c>
    </row>
    <row r="856" spans="1:6" ht="90">
      <c r="A856" s="466" t="s">
        <v>2722</v>
      </c>
      <c r="B856" s="464" t="s">
        <v>1777</v>
      </c>
      <c r="C856" s="464"/>
      <c r="D856" s="464"/>
      <c r="E856" s="465">
        <v>278800</v>
      </c>
      <c r="F856" s="465">
        <v>278800</v>
      </c>
    </row>
    <row r="857" spans="1:6">
      <c r="A857" s="463" t="s">
        <v>93</v>
      </c>
      <c r="B857" s="464" t="s">
        <v>1777</v>
      </c>
      <c r="C857" s="464" t="s">
        <v>550</v>
      </c>
      <c r="D857" s="464"/>
      <c r="E857" s="465">
        <v>278800</v>
      </c>
      <c r="F857" s="465">
        <v>278800</v>
      </c>
    </row>
    <row r="858" spans="1:6">
      <c r="A858" s="467" t="s">
        <v>303</v>
      </c>
      <c r="B858" s="468" t="s">
        <v>1777</v>
      </c>
      <c r="C858" s="468" t="s">
        <v>550</v>
      </c>
      <c r="D858" s="468" t="s">
        <v>476</v>
      </c>
      <c r="E858" s="469">
        <v>278800</v>
      </c>
      <c r="F858" s="469">
        <v>278800</v>
      </c>
    </row>
    <row r="859" spans="1:6" ht="67.5">
      <c r="A859" s="463" t="s">
        <v>527</v>
      </c>
      <c r="B859" s="464" t="s">
        <v>975</v>
      </c>
      <c r="C859" s="464"/>
      <c r="D859" s="464"/>
      <c r="E859" s="465">
        <v>53010</v>
      </c>
      <c r="F859" s="465">
        <v>52965.8</v>
      </c>
    </row>
    <row r="860" spans="1:6" ht="33.75">
      <c r="A860" s="463" t="s">
        <v>1617</v>
      </c>
      <c r="B860" s="464" t="s">
        <v>975</v>
      </c>
      <c r="C860" s="464" t="s">
        <v>509</v>
      </c>
      <c r="D860" s="464"/>
      <c r="E860" s="465">
        <v>6019.8</v>
      </c>
      <c r="F860" s="465">
        <v>6019.8</v>
      </c>
    </row>
    <row r="861" spans="1:6">
      <c r="A861" s="467" t="s">
        <v>188</v>
      </c>
      <c r="B861" s="468" t="s">
        <v>975</v>
      </c>
      <c r="C861" s="468" t="s">
        <v>509</v>
      </c>
      <c r="D861" s="468" t="s">
        <v>515</v>
      </c>
      <c r="E861" s="469">
        <v>6019.8</v>
      </c>
      <c r="F861" s="469">
        <v>6019.8</v>
      </c>
    </row>
    <row r="862" spans="1:6" ht="56.25">
      <c r="A862" s="463" t="s">
        <v>1619</v>
      </c>
      <c r="B862" s="464" t="s">
        <v>975</v>
      </c>
      <c r="C862" s="464" t="s">
        <v>1295</v>
      </c>
      <c r="D862" s="464"/>
      <c r="E862" s="465">
        <v>5980.2</v>
      </c>
      <c r="F862" s="465">
        <v>5936</v>
      </c>
    </row>
    <row r="863" spans="1:6">
      <c r="A863" s="467" t="s">
        <v>188</v>
      </c>
      <c r="B863" s="468" t="s">
        <v>975</v>
      </c>
      <c r="C863" s="468" t="s">
        <v>1295</v>
      </c>
      <c r="D863" s="468" t="s">
        <v>515</v>
      </c>
      <c r="E863" s="469">
        <v>5980.2</v>
      </c>
      <c r="F863" s="469">
        <v>5936</v>
      </c>
    </row>
    <row r="864" spans="1:6" ht="33.75">
      <c r="A864" s="463" t="s">
        <v>445</v>
      </c>
      <c r="B864" s="464" t="s">
        <v>975</v>
      </c>
      <c r="C864" s="464" t="s">
        <v>446</v>
      </c>
      <c r="D864" s="464"/>
      <c r="E864" s="465">
        <v>41010</v>
      </c>
      <c r="F864" s="465">
        <v>41010</v>
      </c>
    </row>
    <row r="865" spans="1:6">
      <c r="A865" s="467" t="s">
        <v>188</v>
      </c>
      <c r="B865" s="468" t="s">
        <v>975</v>
      </c>
      <c r="C865" s="468" t="s">
        <v>446</v>
      </c>
      <c r="D865" s="468" t="s">
        <v>515</v>
      </c>
      <c r="E865" s="469">
        <v>41010</v>
      </c>
      <c r="F865" s="469">
        <v>41010</v>
      </c>
    </row>
    <row r="866" spans="1:6" ht="101.25">
      <c r="A866" s="466" t="s">
        <v>2684</v>
      </c>
      <c r="B866" s="464" t="s">
        <v>1823</v>
      </c>
      <c r="C866" s="464"/>
      <c r="D866" s="464"/>
      <c r="E866" s="465">
        <v>5000</v>
      </c>
      <c r="F866" s="465">
        <v>4280</v>
      </c>
    </row>
    <row r="867" spans="1:6" ht="33.75">
      <c r="A867" s="463" t="s">
        <v>445</v>
      </c>
      <c r="B867" s="464" t="s">
        <v>1823</v>
      </c>
      <c r="C867" s="464" t="s">
        <v>446</v>
      </c>
      <c r="D867" s="464"/>
      <c r="E867" s="465">
        <v>5000</v>
      </c>
      <c r="F867" s="465">
        <v>4280</v>
      </c>
    </row>
    <row r="868" spans="1:6">
      <c r="A868" s="467" t="s">
        <v>188</v>
      </c>
      <c r="B868" s="468" t="s">
        <v>1823</v>
      </c>
      <c r="C868" s="468" t="s">
        <v>446</v>
      </c>
      <c r="D868" s="468" t="s">
        <v>515</v>
      </c>
      <c r="E868" s="469">
        <v>5000</v>
      </c>
      <c r="F868" s="469">
        <v>4280</v>
      </c>
    </row>
    <row r="869" spans="1:6" ht="45">
      <c r="A869" s="463" t="s">
        <v>761</v>
      </c>
      <c r="B869" s="464" t="s">
        <v>1230</v>
      </c>
      <c r="C869" s="464"/>
      <c r="D869" s="464"/>
      <c r="E869" s="465">
        <v>10923310.82</v>
      </c>
      <c r="F869" s="465">
        <v>8118212.1200000001</v>
      </c>
    </row>
    <row r="870" spans="1:6" ht="45">
      <c r="A870" s="463" t="s">
        <v>1126</v>
      </c>
      <c r="B870" s="464" t="s">
        <v>1784</v>
      </c>
      <c r="C870" s="464"/>
      <c r="D870" s="464"/>
      <c r="E870" s="465">
        <v>2069412.12</v>
      </c>
      <c r="F870" s="465">
        <v>2069412.12</v>
      </c>
    </row>
    <row r="871" spans="1:6" ht="101.25">
      <c r="A871" s="466" t="s">
        <v>2723</v>
      </c>
      <c r="B871" s="464" t="s">
        <v>1779</v>
      </c>
      <c r="C871" s="464"/>
      <c r="D871" s="464"/>
      <c r="E871" s="465">
        <v>1935165.09</v>
      </c>
      <c r="F871" s="465">
        <v>1935165.09</v>
      </c>
    </row>
    <row r="872" spans="1:6">
      <c r="A872" s="463" t="s">
        <v>93</v>
      </c>
      <c r="B872" s="464" t="s">
        <v>1779</v>
      </c>
      <c r="C872" s="464" t="s">
        <v>550</v>
      </c>
      <c r="D872" s="464"/>
      <c r="E872" s="465">
        <v>1935165.09</v>
      </c>
      <c r="F872" s="465">
        <v>1935165.09</v>
      </c>
    </row>
    <row r="873" spans="1:6">
      <c r="A873" s="467" t="s">
        <v>3</v>
      </c>
      <c r="B873" s="468" t="s">
        <v>1779</v>
      </c>
      <c r="C873" s="468" t="s">
        <v>550</v>
      </c>
      <c r="D873" s="468" t="s">
        <v>504</v>
      </c>
      <c r="E873" s="469">
        <v>1935165.09</v>
      </c>
      <c r="F873" s="469">
        <v>1935165.09</v>
      </c>
    </row>
    <row r="874" spans="1:6" ht="101.25">
      <c r="A874" s="466" t="s">
        <v>2724</v>
      </c>
      <c r="B874" s="464" t="s">
        <v>1781</v>
      </c>
      <c r="C874" s="464"/>
      <c r="D874" s="464"/>
      <c r="E874" s="465">
        <v>134247.03</v>
      </c>
      <c r="F874" s="465">
        <v>134247.03</v>
      </c>
    </row>
    <row r="875" spans="1:6">
      <c r="A875" s="463" t="s">
        <v>93</v>
      </c>
      <c r="B875" s="464" t="s">
        <v>1781</v>
      </c>
      <c r="C875" s="464" t="s">
        <v>550</v>
      </c>
      <c r="D875" s="464"/>
      <c r="E875" s="465">
        <v>134247.03</v>
      </c>
      <c r="F875" s="465">
        <v>134247.03</v>
      </c>
    </row>
    <row r="876" spans="1:6">
      <c r="A876" s="467" t="s">
        <v>3</v>
      </c>
      <c r="B876" s="468" t="s">
        <v>1781</v>
      </c>
      <c r="C876" s="468" t="s">
        <v>550</v>
      </c>
      <c r="D876" s="468" t="s">
        <v>504</v>
      </c>
      <c r="E876" s="469">
        <v>134247.03</v>
      </c>
      <c r="F876" s="469">
        <v>134247.03</v>
      </c>
    </row>
    <row r="877" spans="1:6" ht="33.75">
      <c r="A877" s="463" t="s">
        <v>1959</v>
      </c>
      <c r="B877" s="464" t="s">
        <v>1960</v>
      </c>
      <c r="C877" s="464"/>
      <c r="D877" s="464"/>
      <c r="E877" s="465">
        <v>2853898.7</v>
      </c>
      <c r="F877" s="465">
        <v>48800</v>
      </c>
    </row>
    <row r="878" spans="1:6" ht="101.25">
      <c r="A878" s="466" t="s">
        <v>2658</v>
      </c>
      <c r="B878" s="464" t="s">
        <v>1958</v>
      </c>
      <c r="C878" s="464"/>
      <c r="D878" s="464"/>
      <c r="E878" s="465">
        <v>2761000</v>
      </c>
      <c r="F878" s="465">
        <v>0</v>
      </c>
    </row>
    <row r="879" spans="1:6" ht="33.75">
      <c r="A879" s="463" t="s">
        <v>445</v>
      </c>
      <c r="B879" s="464" t="s">
        <v>1958</v>
      </c>
      <c r="C879" s="464" t="s">
        <v>446</v>
      </c>
      <c r="D879" s="464"/>
      <c r="E879" s="465">
        <v>2761000</v>
      </c>
      <c r="F879" s="465">
        <v>0</v>
      </c>
    </row>
    <row r="880" spans="1:6" ht="22.5">
      <c r="A880" s="467" t="s">
        <v>180</v>
      </c>
      <c r="B880" s="468" t="s">
        <v>1958</v>
      </c>
      <c r="C880" s="468" t="s">
        <v>446</v>
      </c>
      <c r="D880" s="468" t="s">
        <v>478</v>
      </c>
      <c r="E880" s="469">
        <v>2761000</v>
      </c>
      <c r="F880" s="469">
        <v>0</v>
      </c>
    </row>
    <row r="881" spans="1:6" ht="101.25">
      <c r="A881" s="466" t="s">
        <v>2659</v>
      </c>
      <c r="B881" s="464" t="s">
        <v>1955</v>
      </c>
      <c r="C881" s="464"/>
      <c r="D881" s="464"/>
      <c r="E881" s="465">
        <v>92898.7</v>
      </c>
      <c r="F881" s="465">
        <v>48800</v>
      </c>
    </row>
    <row r="882" spans="1:6" ht="33.75">
      <c r="A882" s="463" t="s">
        <v>445</v>
      </c>
      <c r="B882" s="464" t="s">
        <v>1955</v>
      </c>
      <c r="C882" s="464" t="s">
        <v>446</v>
      </c>
      <c r="D882" s="464"/>
      <c r="E882" s="465">
        <v>92898.7</v>
      </c>
      <c r="F882" s="465">
        <v>48800</v>
      </c>
    </row>
    <row r="883" spans="1:6" ht="22.5">
      <c r="A883" s="467" t="s">
        <v>180</v>
      </c>
      <c r="B883" s="468" t="s">
        <v>1955</v>
      </c>
      <c r="C883" s="468" t="s">
        <v>446</v>
      </c>
      <c r="D883" s="468" t="s">
        <v>478</v>
      </c>
      <c r="E883" s="469">
        <v>92898.7</v>
      </c>
      <c r="F883" s="469">
        <v>48800</v>
      </c>
    </row>
    <row r="884" spans="1:6" ht="33.75">
      <c r="A884" s="463" t="s">
        <v>762</v>
      </c>
      <c r="B884" s="464" t="s">
        <v>1231</v>
      </c>
      <c r="C884" s="464"/>
      <c r="D884" s="464"/>
      <c r="E884" s="465">
        <v>6000000</v>
      </c>
      <c r="F884" s="465">
        <v>6000000</v>
      </c>
    </row>
    <row r="885" spans="1:6" ht="90">
      <c r="A885" s="463" t="s">
        <v>657</v>
      </c>
      <c r="B885" s="464" t="s">
        <v>945</v>
      </c>
      <c r="C885" s="464"/>
      <c r="D885" s="464"/>
      <c r="E885" s="465">
        <v>6000000</v>
      </c>
      <c r="F885" s="465">
        <v>6000000</v>
      </c>
    </row>
    <row r="886" spans="1:6" ht="45">
      <c r="A886" s="463" t="s">
        <v>524</v>
      </c>
      <c r="B886" s="464" t="s">
        <v>945</v>
      </c>
      <c r="C886" s="464" t="s">
        <v>525</v>
      </c>
      <c r="D886" s="464"/>
      <c r="E886" s="465">
        <v>6000000</v>
      </c>
      <c r="F886" s="465">
        <v>6000000</v>
      </c>
    </row>
    <row r="887" spans="1:6">
      <c r="A887" s="467" t="s">
        <v>3</v>
      </c>
      <c r="B887" s="468" t="s">
        <v>945</v>
      </c>
      <c r="C887" s="468" t="s">
        <v>525</v>
      </c>
      <c r="D887" s="468" t="s">
        <v>504</v>
      </c>
      <c r="E887" s="469">
        <v>6000000</v>
      </c>
      <c r="F887" s="469">
        <v>6000000</v>
      </c>
    </row>
    <row r="888" spans="1:6" ht="33.75">
      <c r="A888" s="463" t="s">
        <v>618</v>
      </c>
      <c r="B888" s="464" t="s">
        <v>1232</v>
      </c>
      <c r="C888" s="464"/>
      <c r="D888" s="464"/>
      <c r="E888" s="465">
        <v>125854911.55</v>
      </c>
      <c r="F888" s="465">
        <v>122630583.28</v>
      </c>
    </row>
    <row r="889" spans="1:6" ht="67.5">
      <c r="A889" s="463" t="s">
        <v>763</v>
      </c>
      <c r="B889" s="464" t="s">
        <v>1233</v>
      </c>
      <c r="C889" s="464"/>
      <c r="D889" s="464"/>
      <c r="E889" s="465">
        <v>113163883</v>
      </c>
      <c r="F889" s="465">
        <v>109939554.73</v>
      </c>
    </row>
    <row r="890" spans="1:6" ht="101.25">
      <c r="A890" s="466" t="s">
        <v>2727</v>
      </c>
      <c r="B890" s="464" t="s">
        <v>1137</v>
      </c>
      <c r="C890" s="464"/>
      <c r="D890" s="464"/>
      <c r="E890" s="465">
        <v>499000</v>
      </c>
      <c r="F890" s="465">
        <v>499000</v>
      </c>
    </row>
    <row r="891" spans="1:6">
      <c r="A891" s="463" t="s">
        <v>93</v>
      </c>
      <c r="B891" s="464" t="s">
        <v>1137</v>
      </c>
      <c r="C891" s="464" t="s">
        <v>550</v>
      </c>
      <c r="D891" s="464"/>
      <c r="E891" s="465">
        <v>499000</v>
      </c>
      <c r="F891" s="465">
        <v>499000</v>
      </c>
    </row>
    <row r="892" spans="1:6">
      <c r="A892" s="467" t="s">
        <v>254</v>
      </c>
      <c r="B892" s="468" t="s">
        <v>1137</v>
      </c>
      <c r="C892" s="468" t="s">
        <v>550</v>
      </c>
      <c r="D892" s="468" t="s">
        <v>510</v>
      </c>
      <c r="E892" s="469">
        <v>389000</v>
      </c>
      <c r="F892" s="469">
        <v>389000</v>
      </c>
    </row>
    <row r="893" spans="1:6" ht="22.5">
      <c r="A893" s="467" t="s">
        <v>301</v>
      </c>
      <c r="B893" s="468" t="s">
        <v>1137</v>
      </c>
      <c r="C893" s="468" t="s">
        <v>550</v>
      </c>
      <c r="D893" s="468" t="s">
        <v>562</v>
      </c>
      <c r="E893" s="469">
        <v>110000</v>
      </c>
      <c r="F893" s="469">
        <v>110000</v>
      </c>
    </row>
    <row r="894" spans="1:6" ht="101.25">
      <c r="A894" s="466" t="s">
        <v>2719</v>
      </c>
      <c r="B894" s="464" t="s">
        <v>1005</v>
      </c>
      <c r="C894" s="464"/>
      <c r="D894" s="464"/>
      <c r="E894" s="465">
        <v>4131005</v>
      </c>
      <c r="F894" s="465">
        <v>4076645.37</v>
      </c>
    </row>
    <row r="895" spans="1:6">
      <c r="A895" s="463" t="s">
        <v>554</v>
      </c>
      <c r="B895" s="464" t="s">
        <v>1005</v>
      </c>
      <c r="C895" s="464" t="s">
        <v>555</v>
      </c>
      <c r="D895" s="464"/>
      <c r="E895" s="465">
        <v>4131005</v>
      </c>
      <c r="F895" s="465">
        <v>4076645.37</v>
      </c>
    </row>
    <row r="896" spans="1:6" ht="22.5">
      <c r="A896" s="467" t="s">
        <v>233</v>
      </c>
      <c r="B896" s="468" t="s">
        <v>1005</v>
      </c>
      <c r="C896" s="468" t="s">
        <v>555</v>
      </c>
      <c r="D896" s="468" t="s">
        <v>553</v>
      </c>
      <c r="E896" s="469">
        <v>4131005</v>
      </c>
      <c r="F896" s="469">
        <v>4076645.37</v>
      </c>
    </row>
    <row r="897" spans="1:6" ht="101.25">
      <c r="A897" s="466" t="s">
        <v>2718</v>
      </c>
      <c r="B897" s="464" t="s">
        <v>1003</v>
      </c>
      <c r="C897" s="464"/>
      <c r="D897" s="464"/>
      <c r="E897" s="465">
        <v>178100</v>
      </c>
      <c r="F897" s="465">
        <v>178100</v>
      </c>
    </row>
    <row r="898" spans="1:6">
      <c r="A898" s="463" t="s">
        <v>554</v>
      </c>
      <c r="B898" s="464" t="s">
        <v>1003</v>
      </c>
      <c r="C898" s="464" t="s">
        <v>555</v>
      </c>
      <c r="D898" s="464"/>
      <c r="E898" s="465">
        <v>178100</v>
      </c>
      <c r="F898" s="465">
        <v>178100</v>
      </c>
    </row>
    <row r="899" spans="1:6">
      <c r="A899" s="467" t="s">
        <v>265</v>
      </c>
      <c r="B899" s="468" t="s">
        <v>1003</v>
      </c>
      <c r="C899" s="468" t="s">
        <v>555</v>
      </c>
      <c r="D899" s="468" t="s">
        <v>454</v>
      </c>
      <c r="E899" s="469">
        <v>178100</v>
      </c>
      <c r="F899" s="469">
        <v>178100</v>
      </c>
    </row>
    <row r="900" spans="1:6" ht="101.25">
      <c r="A900" s="466" t="s">
        <v>2728</v>
      </c>
      <c r="B900" s="464" t="s">
        <v>1010</v>
      </c>
      <c r="C900" s="464"/>
      <c r="D900" s="464"/>
      <c r="E900" s="465">
        <v>26666200</v>
      </c>
      <c r="F900" s="465">
        <v>26666200</v>
      </c>
    </row>
    <row r="901" spans="1:6" ht="22.5">
      <c r="A901" s="463" t="s">
        <v>680</v>
      </c>
      <c r="B901" s="464" t="s">
        <v>1010</v>
      </c>
      <c r="C901" s="464" t="s">
        <v>561</v>
      </c>
      <c r="D901" s="464"/>
      <c r="E901" s="465">
        <v>26666200</v>
      </c>
      <c r="F901" s="465">
        <v>26666200</v>
      </c>
    </row>
    <row r="902" spans="1:6" ht="33.75">
      <c r="A902" s="467" t="s">
        <v>259</v>
      </c>
      <c r="B902" s="468" t="s">
        <v>1010</v>
      </c>
      <c r="C902" s="468" t="s">
        <v>561</v>
      </c>
      <c r="D902" s="468" t="s">
        <v>560</v>
      </c>
      <c r="E902" s="469">
        <v>26666200</v>
      </c>
      <c r="F902" s="469">
        <v>26666200</v>
      </c>
    </row>
    <row r="903" spans="1:6" ht="112.5">
      <c r="A903" s="466" t="s">
        <v>2725</v>
      </c>
      <c r="B903" s="464" t="s">
        <v>1141</v>
      </c>
      <c r="C903" s="464"/>
      <c r="D903" s="464"/>
      <c r="E903" s="465">
        <v>3780740</v>
      </c>
      <c r="F903" s="465">
        <v>3431421.54</v>
      </c>
    </row>
    <row r="904" spans="1:6">
      <c r="A904" s="463" t="s">
        <v>93</v>
      </c>
      <c r="B904" s="464" t="s">
        <v>1141</v>
      </c>
      <c r="C904" s="464" t="s">
        <v>550</v>
      </c>
      <c r="D904" s="464"/>
      <c r="E904" s="465">
        <v>3780740</v>
      </c>
      <c r="F904" s="465">
        <v>3431421.54</v>
      </c>
    </row>
    <row r="905" spans="1:6">
      <c r="A905" s="467" t="s">
        <v>45</v>
      </c>
      <c r="B905" s="468" t="s">
        <v>1141</v>
      </c>
      <c r="C905" s="468" t="s">
        <v>550</v>
      </c>
      <c r="D905" s="468" t="s">
        <v>506</v>
      </c>
      <c r="E905" s="469">
        <v>3780740</v>
      </c>
      <c r="F905" s="469">
        <v>3431421.54</v>
      </c>
    </row>
    <row r="906" spans="1:6" ht="101.25">
      <c r="A906" s="466" t="s">
        <v>2726</v>
      </c>
      <c r="B906" s="464" t="s">
        <v>1860</v>
      </c>
      <c r="C906" s="464"/>
      <c r="D906" s="464"/>
      <c r="E906" s="465">
        <v>350000</v>
      </c>
      <c r="F906" s="465">
        <v>350000</v>
      </c>
    </row>
    <row r="907" spans="1:6">
      <c r="A907" s="463" t="s">
        <v>93</v>
      </c>
      <c r="B907" s="464" t="s">
        <v>1860</v>
      </c>
      <c r="C907" s="464" t="s">
        <v>550</v>
      </c>
      <c r="D907" s="464"/>
      <c r="E907" s="465">
        <v>350000</v>
      </c>
      <c r="F907" s="465">
        <v>350000</v>
      </c>
    </row>
    <row r="908" spans="1:6">
      <c r="A908" s="467" t="s">
        <v>45</v>
      </c>
      <c r="B908" s="468" t="s">
        <v>1860</v>
      </c>
      <c r="C908" s="468" t="s">
        <v>550</v>
      </c>
      <c r="D908" s="468" t="s">
        <v>506</v>
      </c>
      <c r="E908" s="469">
        <v>350000</v>
      </c>
      <c r="F908" s="469">
        <v>350000</v>
      </c>
    </row>
    <row r="909" spans="1:6" ht="112.5">
      <c r="A909" s="466" t="s">
        <v>2730</v>
      </c>
      <c r="B909" s="464" t="s">
        <v>1862</v>
      </c>
      <c r="C909" s="464"/>
      <c r="D909" s="464"/>
      <c r="E909" s="465">
        <v>3100000</v>
      </c>
      <c r="F909" s="465">
        <v>2283749.8199999998</v>
      </c>
    </row>
    <row r="910" spans="1:6">
      <c r="A910" s="463" t="s">
        <v>93</v>
      </c>
      <c r="B910" s="464" t="s">
        <v>1862</v>
      </c>
      <c r="C910" s="464" t="s">
        <v>550</v>
      </c>
      <c r="D910" s="464"/>
      <c r="E910" s="465">
        <v>3100000</v>
      </c>
      <c r="F910" s="465">
        <v>2283749.8199999998</v>
      </c>
    </row>
    <row r="911" spans="1:6" ht="22.5">
      <c r="A911" s="467" t="s">
        <v>301</v>
      </c>
      <c r="B911" s="468" t="s">
        <v>1862</v>
      </c>
      <c r="C911" s="468" t="s">
        <v>550</v>
      </c>
      <c r="D911" s="468" t="s">
        <v>562</v>
      </c>
      <c r="E911" s="469">
        <v>3100000</v>
      </c>
      <c r="F911" s="469">
        <v>2283749.8199999998</v>
      </c>
    </row>
    <row r="912" spans="1:6" ht="101.25">
      <c r="A912" s="466" t="s">
        <v>2731</v>
      </c>
      <c r="B912" s="464" t="s">
        <v>1012</v>
      </c>
      <c r="C912" s="464"/>
      <c r="D912" s="464"/>
      <c r="E912" s="465">
        <v>36937338</v>
      </c>
      <c r="F912" s="465">
        <v>34932938</v>
      </c>
    </row>
    <row r="913" spans="1:6">
      <c r="A913" s="463" t="s">
        <v>93</v>
      </c>
      <c r="B913" s="464" t="s">
        <v>1012</v>
      </c>
      <c r="C913" s="464" t="s">
        <v>550</v>
      </c>
      <c r="D913" s="464"/>
      <c r="E913" s="465">
        <v>36937338</v>
      </c>
      <c r="F913" s="465">
        <v>34932938</v>
      </c>
    </row>
    <row r="914" spans="1:6" ht="22.5">
      <c r="A914" s="467" t="s">
        <v>301</v>
      </c>
      <c r="B914" s="468" t="s">
        <v>1012</v>
      </c>
      <c r="C914" s="468" t="s">
        <v>550</v>
      </c>
      <c r="D914" s="468" t="s">
        <v>562</v>
      </c>
      <c r="E914" s="469">
        <v>36937338</v>
      </c>
      <c r="F914" s="469">
        <v>34932938</v>
      </c>
    </row>
    <row r="915" spans="1:6" ht="101.25">
      <c r="A915" s="466" t="s">
        <v>2729</v>
      </c>
      <c r="B915" s="464" t="s">
        <v>1011</v>
      </c>
      <c r="C915" s="464"/>
      <c r="D915" s="464"/>
      <c r="E915" s="465">
        <v>37521500</v>
      </c>
      <c r="F915" s="465">
        <v>37521500</v>
      </c>
    </row>
    <row r="916" spans="1:6" ht="22.5">
      <c r="A916" s="463" t="s">
        <v>680</v>
      </c>
      <c r="B916" s="464" t="s">
        <v>1011</v>
      </c>
      <c r="C916" s="464" t="s">
        <v>561</v>
      </c>
      <c r="D916" s="464"/>
      <c r="E916" s="465">
        <v>37521500</v>
      </c>
      <c r="F916" s="465">
        <v>37521500</v>
      </c>
    </row>
    <row r="917" spans="1:6" ht="33.75">
      <c r="A917" s="467" t="s">
        <v>259</v>
      </c>
      <c r="B917" s="468" t="s">
        <v>1011</v>
      </c>
      <c r="C917" s="468" t="s">
        <v>561</v>
      </c>
      <c r="D917" s="468" t="s">
        <v>560</v>
      </c>
      <c r="E917" s="469">
        <v>37521500</v>
      </c>
      <c r="F917" s="469">
        <v>37521500</v>
      </c>
    </row>
    <row r="918" spans="1:6" ht="33.75">
      <c r="A918" s="463" t="s">
        <v>619</v>
      </c>
      <c r="B918" s="464" t="s">
        <v>1234</v>
      </c>
      <c r="C918" s="464"/>
      <c r="D918" s="464"/>
      <c r="E918" s="465">
        <v>12691028.550000001</v>
      </c>
      <c r="F918" s="465">
        <v>12691028.550000001</v>
      </c>
    </row>
    <row r="919" spans="1:6" ht="90">
      <c r="A919" s="463" t="s">
        <v>545</v>
      </c>
      <c r="B919" s="464" t="s">
        <v>997</v>
      </c>
      <c r="C919" s="464"/>
      <c r="D919" s="464"/>
      <c r="E919" s="465">
        <v>9555823.7400000002</v>
      </c>
      <c r="F919" s="465">
        <v>9555823.7400000002</v>
      </c>
    </row>
    <row r="920" spans="1:6" ht="22.5">
      <c r="A920" s="463" t="s">
        <v>1165</v>
      </c>
      <c r="B920" s="464" t="s">
        <v>997</v>
      </c>
      <c r="C920" s="464" t="s">
        <v>440</v>
      </c>
      <c r="D920" s="464"/>
      <c r="E920" s="465">
        <v>6034386.9000000004</v>
      </c>
      <c r="F920" s="465">
        <v>6034386.9000000004</v>
      </c>
    </row>
    <row r="921" spans="1:6" ht="45">
      <c r="A921" s="467" t="s">
        <v>264</v>
      </c>
      <c r="B921" s="468" t="s">
        <v>997</v>
      </c>
      <c r="C921" s="468" t="s">
        <v>440</v>
      </c>
      <c r="D921" s="468" t="s">
        <v>448</v>
      </c>
      <c r="E921" s="469">
        <v>6034386.9000000004</v>
      </c>
      <c r="F921" s="469">
        <v>6034386.9000000004</v>
      </c>
    </row>
    <row r="922" spans="1:6" ht="45">
      <c r="A922" s="463" t="s">
        <v>441</v>
      </c>
      <c r="B922" s="464" t="s">
        <v>997</v>
      </c>
      <c r="C922" s="464" t="s">
        <v>442</v>
      </c>
      <c r="D922" s="464"/>
      <c r="E922" s="465">
        <v>57113.06</v>
      </c>
      <c r="F922" s="465">
        <v>57113.06</v>
      </c>
    </row>
    <row r="923" spans="1:6" ht="45">
      <c r="A923" s="467" t="s">
        <v>264</v>
      </c>
      <c r="B923" s="468" t="s">
        <v>997</v>
      </c>
      <c r="C923" s="468" t="s">
        <v>442</v>
      </c>
      <c r="D923" s="468" t="s">
        <v>448</v>
      </c>
      <c r="E923" s="469">
        <v>57113.06</v>
      </c>
      <c r="F923" s="469">
        <v>57113.06</v>
      </c>
    </row>
    <row r="924" spans="1:6" ht="56.25">
      <c r="A924" s="463" t="s">
        <v>1288</v>
      </c>
      <c r="B924" s="464" t="s">
        <v>997</v>
      </c>
      <c r="C924" s="464" t="s">
        <v>1289</v>
      </c>
      <c r="D924" s="464"/>
      <c r="E924" s="465">
        <v>1832394.21</v>
      </c>
      <c r="F924" s="465">
        <v>1832394.21</v>
      </c>
    </row>
    <row r="925" spans="1:6" ht="45">
      <c r="A925" s="467" t="s">
        <v>264</v>
      </c>
      <c r="B925" s="468" t="s">
        <v>997</v>
      </c>
      <c r="C925" s="468" t="s">
        <v>1289</v>
      </c>
      <c r="D925" s="468" t="s">
        <v>448</v>
      </c>
      <c r="E925" s="469">
        <v>1832394.21</v>
      </c>
      <c r="F925" s="469">
        <v>1832394.21</v>
      </c>
    </row>
    <row r="926" spans="1:6" ht="33.75">
      <c r="A926" s="463" t="s">
        <v>445</v>
      </c>
      <c r="B926" s="464" t="s">
        <v>997</v>
      </c>
      <c r="C926" s="464" t="s">
        <v>446</v>
      </c>
      <c r="D926" s="464"/>
      <c r="E926" s="465">
        <v>1623921.85</v>
      </c>
      <c r="F926" s="465">
        <v>1623921.85</v>
      </c>
    </row>
    <row r="927" spans="1:6" ht="45">
      <c r="A927" s="467" t="s">
        <v>264</v>
      </c>
      <c r="B927" s="468" t="s">
        <v>997</v>
      </c>
      <c r="C927" s="468" t="s">
        <v>446</v>
      </c>
      <c r="D927" s="468" t="s">
        <v>448</v>
      </c>
      <c r="E927" s="469">
        <v>1623921.85</v>
      </c>
      <c r="F927" s="469">
        <v>1623921.85</v>
      </c>
    </row>
    <row r="928" spans="1:6">
      <c r="A928" s="463" t="s">
        <v>1168</v>
      </c>
      <c r="B928" s="464" t="s">
        <v>997</v>
      </c>
      <c r="C928" s="464" t="s">
        <v>626</v>
      </c>
      <c r="D928" s="464"/>
      <c r="E928" s="465">
        <v>8007.72</v>
      </c>
      <c r="F928" s="465">
        <v>8007.72</v>
      </c>
    </row>
    <row r="929" spans="1:6" ht="45">
      <c r="A929" s="467" t="s">
        <v>264</v>
      </c>
      <c r="B929" s="468" t="s">
        <v>997</v>
      </c>
      <c r="C929" s="468" t="s">
        <v>626</v>
      </c>
      <c r="D929" s="468" t="s">
        <v>448</v>
      </c>
      <c r="E929" s="469">
        <v>8007.72</v>
      </c>
      <c r="F929" s="469">
        <v>8007.72</v>
      </c>
    </row>
    <row r="930" spans="1:6" ht="101.25">
      <c r="A930" s="466" t="s">
        <v>2714</v>
      </c>
      <c r="B930" s="464" t="s">
        <v>998</v>
      </c>
      <c r="C930" s="464"/>
      <c r="D930" s="464"/>
      <c r="E930" s="465">
        <v>474210.54</v>
      </c>
      <c r="F930" s="465">
        <v>474210.54</v>
      </c>
    </row>
    <row r="931" spans="1:6" ht="22.5">
      <c r="A931" s="463" t="s">
        <v>1165</v>
      </c>
      <c r="B931" s="464" t="s">
        <v>998</v>
      </c>
      <c r="C931" s="464" t="s">
        <v>440</v>
      </c>
      <c r="D931" s="464"/>
      <c r="E931" s="465">
        <v>365144.12</v>
      </c>
      <c r="F931" s="465">
        <v>365144.12</v>
      </c>
    </row>
    <row r="932" spans="1:6" ht="45">
      <c r="A932" s="467" t="s">
        <v>264</v>
      </c>
      <c r="B932" s="468" t="s">
        <v>998</v>
      </c>
      <c r="C932" s="468" t="s">
        <v>440</v>
      </c>
      <c r="D932" s="468" t="s">
        <v>448</v>
      </c>
      <c r="E932" s="469">
        <v>365144.12</v>
      </c>
      <c r="F932" s="469">
        <v>365144.12</v>
      </c>
    </row>
    <row r="933" spans="1:6" ht="56.25">
      <c r="A933" s="463" t="s">
        <v>1288</v>
      </c>
      <c r="B933" s="464" t="s">
        <v>998</v>
      </c>
      <c r="C933" s="464" t="s">
        <v>1289</v>
      </c>
      <c r="D933" s="464"/>
      <c r="E933" s="465">
        <v>109066.42</v>
      </c>
      <c r="F933" s="465">
        <v>109066.42</v>
      </c>
    </row>
    <row r="934" spans="1:6" ht="45">
      <c r="A934" s="467" t="s">
        <v>264</v>
      </c>
      <c r="B934" s="468" t="s">
        <v>998</v>
      </c>
      <c r="C934" s="468" t="s">
        <v>1289</v>
      </c>
      <c r="D934" s="468" t="s">
        <v>448</v>
      </c>
      <c r="E934" s="469">
        <v>109066.42</v>
      </c>
      <c r="F934" s="469">
        <v>109066.42</v>
      </c>
    </row>
    <row r="935" spans="1:6" ht="101.25">
      <c r="A935" s="466" t="s">
        <v>2715</v>
      </c>
      <c r="B935" s="464" t="s">
        <v>999</v>
      </c>
      <c r="C935" s="464"/>
      <c r="D935" s="464"/>
      <c r="E935" s="465">
        <v>191034.12</v>
      </c>
      <c r="F935" s="465">
        <v>191034.12</v>
      </c>
    </row>
    <row r="936" spans="1:6" ht="45">
      <c r="A936" s="463" t="s">
        <v>441</v>
      </c>
      <c r="B936" s="464" t="s">
        <v>999</v>
      </c>
      <c r="C936" s="464" t="s">
        <v>442</v>
      </c>
      <c r="D936" s="464"/>
      <c r="E936" s="465">
        <v>191034.12</v>
      </c>
      <c r="F936" s="465">
        <v>191034.12</v>
      </c>
    </row>
    <row r="937" spans="1:6" ht="45">
      <c r="A937" s="467" t="s">
        <v>264</v>
      </c>
      <c r="B937" s="468" t="s">
        <v>999</v>
      </c>
      <c r="C937" s="468" t="s">
        <v>442</v>
      </c>
      <c r="D937" s="468" t="s">
        <v>448</v>
      </c>
      <c r="E937" s="469">
        <v>191034.12</v>
      </c>
      <c r="F937" s="469">
        <v>191034.12</v>
      </c>
    </row>
    <row r="938" spans="1:6" ht="112.5">
      <c r="A938" s="466" t="s">
        <v>2716</v>
      </c>
      <c r="B938" s="464" t="s">
        <v>1143</v>
      </c>
      <c r="C938" s="464"/>
      <c r="D938" s="464"/>
      <c r="E938" s="465">
        <v>1393060.12</v>
      </c>
      <c r="F938" s="465">
        <v>1393060.12</v>
      </c>
    </row>
    <row r="939" spans="1:6" ht="22.5">
      <c r="A939" s="463" t="s">
        <v>1165</v>
      </c>
      <c r="B939" s="464" t="s">
        <v>1143</v>
      </c>
      <c r="C939" s="464" t="s">
        <v>440</v>
      </c>
      <c r="D939" s="464"/>
      <c r="E939" s="465">
        <v>1069011.53</v>
      </c>
      <c r="F939" s="465">
        <v>1069011.53</v>
      </c>
    </row>
    <row r="940" spans="1:6" ht="45">
      <c r="A940" s="467" t="s">
        <v>264</v>
      </c>
      <c r="B940" s="468" t="s">
        <v>1143</v>
      </c>
      <c r="C940" s="468" t="s">
        <v>440</v>
      </c>
      <c r="D940" s="468" t="s">
        <v>448</v>
      </c>
      <c r="E940" s="469">
        <v>1069011.53</v>
      </c>
      <c r="F940" s="469">
        <v>1069011.53</v>
      </c>
    </row>
    <row r="941" spans="1:6" ht="56.25">
      <c r="A941" s="463" t="s">
        <v>1288</v>
      </c>
      <c r="B941" s="464" t="s">
        <v>1143</v>
      </c>
      <c r="C941" s="464" t="s">
        <v>1289</v>
      </c>
      <c r="D941" s="464"/>
      <c r="E941" s="465">
        <v>324048.59000000003</v>
      </c>
      <c r="F941" s="465">
        <v>324048.59000000003</v>
      </c>
    </row>
    <row r="942" spans="1:6" ht="45">
      <c r="A942" s="467" t="s">
        <v>264</v>
      </c>
      <c r="B942" s="468" t="s">
        <v>1143</v>
      </c>
      <c r="C942" s="468" t="s">
        <v>1289</v>
      </c>
      <c r="D942" s="468" t="s">
        <v>448</v>
      </c>
      <c r="E942" s="469">
        <v>324048.59000000003</v>
      </c>
      <c r="F942" s="469">
        <v>324048.59000000003</v>
      </c>
    </row>
    <row r="943" spans="1:6" ht="78.75">
      <c r="A943" s="463" t="s">
        <v>751</v>
      </c>
      <c r="B943" s="464" t="s">
        <v>1000</v>
      </c>
      <c r="C943" s="464"/>
      <c r="D943" s="464"/>
      <c r="E943" s="465">
        <v>369477.32</v>
      </c>
      <c r="F943" s="465">
        <v>369477.32</v>
      </c>
    </row>
    <row r="944" spans="1:6" ht="33.75">
      <c r="A944" s="463" t="s">
        <v>445</v>
      </c>
      <c r="B944" s="464" t="s">
        <v>1000</v>
      </c>
      <c r="C944" s="464" t="s">
        <v>446</v>
      </c>
      <c r="D944" s="464"/>
      <c r="E944" s="465">
        <v>369477.32</v>
      </c>
      <c r="F944" s="465">
        <v>369477.32</v>
      </c>
    </row>
    <row r="945" spans="1:6" ht="45">
      <c r="A945" s="467" t="s">
        <v>264</v>
      </c>
      <c r="B945" s="468" t="s">
        <v>1000</v>
      </c>
      <c r="C945" s="468" t="s">
        <v>446</v>
      </c>
      <c r="D945" s="468" t="s">
        <v>448</v>
      </c>
      <c r="E945" s="469">
        <v>369477.32</v>
      </c>
      <c r="F945" s="469">
        <v>369477.32</v>
      </c>
    </row>
    <row r="946" spans="1:6" ht="78.75">
      <c r="A946" s="463" t="s">
        <v>1771</v>
      </c>
      <c r="B946" s="464" t="s">
        <v>1772</v>
      </c>
      <c r="C946" s="464"/>
      <c r="D946" s="464"/>
      <c r="E946" s="465">
        <v>136750</v>
      </c>
      <c r="F946" s="465">
        <v>136750</v>
      </c>
    </row>
    <row r="947" spans="1:6" ht="33.75">
      <c r="A947" s="463" t="s">
        <v>445</v>
      </c>
      <c r="B947" s="464" t="s">
        <v>1772</v>
      </c>
      <c r="C947" s="464" t="s">
        <v>446</v>
      </c>
      <c r="D947" s="464"/>
      <c r="E947" s="465">
        <v>136750</v>
      </c>
      <c r="F947" s="465">
        <v>136750</v>
      </c>
    </row>
    <row r="948" spans="1:6" ht="45">
      <c r="A948" s="467" t="s">
        <v>264</v>
      </c>
      <c r="B948" s="468" t="s">
        <v>1772</v>
      </c>
      <c r="C948" s="468" t="s">
        <v>446</v>
      </c>
      <c r="D948" s="468" t="s">
        <v>448</v>
      </c>
      <c r="E948" s="469">
        <v>136750</v>
      </c>
      <c r="F948" s="469">
        <v>136750</v>
      </c>
    </row>
    <row r="949" spans="1:6" ht="67.5">
      <c r="A949" s="463" t="s">
        <v>1195</v>
      </c>
      <c r="B949" s="464" t="s">
        <v>1196</v>
      </c>
      <c r="C949" s="464"/>
      <c r="D949" s="464"/>
      <c r="E949" s="465">
        <v>157211.71</v>
      </c>
      <c r="F949" s="465">
        <v>157211.71</v>
      </c>
    </row>
    <row r="950" spans="1:6" ht="33.75">
      <c r="A950" s="463" t="s">
        <v>445</v>
      </c>
      <c r="B950" s="464" t="s">
        <v>1196</v>
      </c>
      <c r="C950" s="464" t="s">
        <v>446</v>
      </c>
      <c r="D950" s="464"/>
      <c r="E950" s="465">
        <v>157211.71</v>
      </c>
      <c r="F950" s="465">
        <v>157211.71</v>
      </c>
    </row>
    <row r="951" spans="1:6" ht="45">
      <c r="A951" s="467" t="s">
        <v>264</v>
      </c>
      <c r="B951" s="468" t="s">
        <v>1196</v>
      </c>
      <c r="C951" s="468" t="s">
        <v>446</v>
      </c>
      <c r="D951" s="468" t="s">
        <v>448</v>
      </c>
      <c r="E951" s="469">
        <v>157211.71</v>
      </c>
      <c r="F951" s="469">
        <v>157211.71</v>
      </c>
    </row>
    <row r="952" spans="1:6" ht="90">
      <c r="A952" s="466" t="s">
        <v>2717</v>
      </c>
      <c r="B952" s="464" t="s">
        <v>2013</v>
      </c>
      <c r="C952" s="464"/>
      <c r="D952" s="464"/>
      <c r="E952" s="465">
        <v>13020</v>
      </c>
      <c r="F952" s="465">
        <v>13020</v>
      </c>
    </row>
    <row r="953" spans="1:6" ht="22.5">
      <c r="A953" s="463" t="s">
        <v>1165</v>
      </c>
      <c r="B953" s="464" t="s">
        <v>2013</v>
      </c>
      <c r="C953" s="464" t="s">
        <v>440</v>
      </c>
      <c r="D953" s="464"/>
      <c r="E953" s="465">
        <v>10000</v>
      </c>
      <c r="F953" s="465">
        <v>10000</v>
      </c>
    </row>
    <row r="954" spans="1:6" ht="45">
      <c r="A954" s="467" t="s">
        <v>264</v>
      </c>
      <c r="B954" s="468" t="s">
        <v>2013</v>
      </c>
      <c r="C954" s="468" t="s">
        <v>440</v>
      </c>
      <c r="D954" s="468" t="s">
        <v>448</v>
      </c>
      <c r="E954" s="469">
        <v>10000</v>
      </c>
      <c r="F954" s="469">
        <v>10000</v>
      </c>
    </row>
    <row r="955" spans="1:6" ht="56.25">
      <c r="A955" s="463" t="s">
        <v>1288</v>
      </c>
      <c r="B955" s="464" t="s">
        <v>2013</v>
      </c>
      <c r="C955" s="464" t="s">
        <v>1289</v>
      </c>
      <c r="D955" s="464"/>
      <c r="E955" s="465">
        <v>3020</v>
      </c>
      <c r="F955" s="465">
        <v>3020</v>
      </c>
    </row>
    <row r="956" spans="1:6" ht="45">
      <c r="A956" s="467" t="s">
        <v>264</v>
      </c>
      <c r="B956" s="468" t="s">
        <v>2013</v>
      </c>
      <c r="C956" s="468" t="s">
        <v>1289</v>
      </c>
      <c r="D956" s="468" t="s">
        <v>448</v>
      </c>
      <c r="E956" s="469">
        <v>3020</v>
      </c>
      <c r="F956" s="469">
        <v>3020</v>
      </c>
    </row>
    <row r="957" spans="1:6" ht="101.25">
      <c r="A957" s="463" t="s">
        <v>665</v>
      </c>
      <c r="B957" s="464" t="s">
        <v>1001</v>
      </c>
      <c r="C957" s="464"/>
      <c r="D957" s="464"/>
      <c r="E957" s="465">
        <v>400441</v>
      </c>
      <c r="F957" s="465">
        <v>400441</v>
      </c>
    </row>
    <row r="958" spans="1:6" ht="22.5">
      <c r="A958" s="463" t="s">
        <v>1165</v>
      </c>
      <c r="B958" s="464" t="s">
        <v>1001</v>
      </c>
      <c r="C958" s="464" t="s">
        <v>440</v>
      </c>
      <c r="D958" s="464"/>
      <c r="E958" s="465">
        <v>295308</v>
      </c>
      <c r="F958" s="465">
        <v>295308</v>
      </c>
    </row>
    <row r="959" spans="1:6" ht="45">
      <c r="A959" s="467" t="s">
        <v>264</v>
      </c>
      <c r="B959" s="468" t="s">
        <v>1001</v>
      </c>
      <c r="C959" s="468" t="s">
        <v>440</v>
      </c>
      <c r="D959" s="468" t="s">
        <v>448</v>
      </c>
      <c r="E959" s="469">
        <v>295308</v>
      </c>
      <c r="F959" s="469">
        <v>295308</v>
      </c>
    </row>
    <row r="960" spans="1:6" ht="45">
      <c r="A960" s="463" t="s">
        <v>441</v>
      </c>
      <c r="B960" s="464" t="s">
        <v>1001</v>
      </c>
      <c r="C960" s="464" t="s">
        <v>442</v>
      </c>
      <c r="D960" s="464"/>
      <c r="E960" s="465">
        <v>7450</v>
      </c>
      <c r="F960" s="465">
        <v>7450</v>
      </c>
    </row>
    <row r="961" spans="1:6" ht="45">
      <c r="A961" s="467" t="s">
        <v>264</v>
      </c>
      <c r="B961" s="468" t="s">
        <v>1001</v>
      </c>
      <c r="C961" s="468" t="s">
        <v>442</v>
      </c>
      <c r="D961" s="468" t="s">
        <v>448</v>
      </c>
      <c r="E961" s="469">
        <v>7450</v>
      </c>
      <c r="F961" s="469">
        <v>7450</v>
      </c>
    </row>
    <row r="962" spans="1:6" ht="56.25">
      <c r="A962" s="463" t="s">
        <v>1288</v>
      </c>
      <c r="B962" s="464" t="s">
        <v>1001</v>
      </c>
      <c r="C962" s="464" t="s">
        <v>1289</v>
      </c>
      <c r="D962" s="464"/>
      <c r="E962" s="465">
        <v>89183</v>
      </c>
      <c r="F962" s="465">
        <v>89183</v>
      </c>
    </row>
    <row r="963" spans="1:6" ht="45">
      <c r="A963" s="467" t="s">
        <v>264</v>
      </c>
      <c r="B963" s="468" t="s">
        <v>1001</v>
      </c>
      <c r="C963" s="468" t="s">
        <v>1289</v>
      </c>
      <c r="D963" s="468" t="s">
        <v>448</v>
      </c>
      <c r="E963" s="469">
        <v>89183</v>
      </c>
      <c r="F963" s="469">
        <v>89183</v>
      </c>
    </row>
    <row r="964" spans="1:6" ht="33.75">
      <c r="A964" s="463" t="s">
        <v>445</v>
      </c>
      <c r="B964" s="464" t="s">
        <v>1001</v>
      </c>
      <c r="C964" s="464" t="s">
        <v>446</v>
      </c>
      <c r="D964" s="464"/>
      <c r="E964" s="465">
        <v>8500</v>
      </c>
      <c r="F964" s="465">
        <v>8500</v>
      </c>
    </row>
    <row r="965" spans="1:6" ht="45">
      <c r="A965" s="467" t="s">
        <v>264</v>
      </c>
      <c r="B965" s="468" t="s">
        <v>1001</v>
      </c>
      <c r="C965" s="468" t="s">
        <v>446</v>
      </c>
      <c r="D965" s="468" t="s">
        <v>448</v>
      </c>
      <c r="E965" s="469">
        <v>8500</v>
      </c>
      <c r="F965" s="469">
        <v>8500</v>
      </c>
    </row>
    <row r="966" spans="1:6" ht="33.75">
      <c r="A966" s="463" t="s">
        <v>620</v>
      </c>
      <c r="B966" s="464" t="s">
        <v>1235</v>
      </c>
      <c r="C966" s="464"/>
      <c r="D966" s="464"/>
      <c r="E966" s="465">
        <v>1800612.98</v>
      </c>
      <c r="F966" s="465">
        <v>1750820.27</v>
      </c>
    </row>
    <row r="967" spans="1:6" ht="22.5">
      <c r="A967" s="463" t="s">
        <v>621</v>
      </c>
      <c r="B967" s="464" t="s">
        <v>1236</v>
      </c>
      <c r="C967" s="464"/>
      <c r="D967" s="464"/>
      <c r="E967" s="465">
        <v>22012.98</v>
      </c>
      <c r="F967" s="465">
        <v>21856.21</v>
      </c>
    </row>
    <row r="968" spans="1:6" ht="90">
      <c r="A968" s="466" t="s">
        <v>2592</v>
      </c>
      <c r="B968" s="464" t="s">
        <v>1739</v>
      </c>
      <c r="C968" s="464"/>
      <c r="D968" s="464"/>
      <c r="E968" s="465">
        <v>22012.98</v>
      </c>
      <c r="F968" s="465">
        <v>21856.21</v>
      </c>
    </row>
    <row r="969" spans="1:6" ht="56.25">
      <c r="A969" s="463" t="s">
        <v>1740</v>
      </c>
      <c r="B969" s="464" t="s">
        <v>1739</v>
      </c>
      <c r="C969" s="464" t="s">
        <v>1741</v>
      </c>
      <c r="D969" s="464"/>
      <c r="E969" s="465">
        <v>22012.98</v>
      </c>
      <c r="F969" s="465">
        <v>21856.21</v>
      </c>
    </row>
    <row r="970" spans="1:6">
      <c r="A970" s="467" t="s">
        <v>223</v>
      </c>
      <c r="B970" s="468" t="s">
        <v>1739</v>
      </c>
      <c r="C970" s="468" t="s">
        <v>1741</v>
      </c>
      <c r="D970" s="468" t="s">
        <v>470</v>
      </c>
      <c r="E970" s="469">
        <v>22012.98</v>
      </c>
      <c r="F970" s="469">
        <v>21856.21</v>
      </c>
    </row>
    <row r="971" spans="1:6" ht="22.5">
      <c r="A971" s="463" t="s">
        <v>622</v>
      </c>
      <c r="B971" s="464" t="s">
        <v>1237</v>
      </c>
      <c r="C971" s="464"/>
      <c r="D971" s="464"/>
      <c r="E971" s="465">
        <v>617800</v>
      </c>
      <c r="F971" s="465">
        <v>617800</v>
      </c>
    </row>
    <row r="972" spans="1:6" ht="112.5">
      <c r="A972" s="466" t="s">
        <v>2601</v>
      </c>
      <c r="B972" s="464" t="s">
        <v>885</v>
      </c>
      <c r="C972" s="464"/>
      <c r="D972" s="464"/>
      <c r="E972" s="465">
        <v>617800</v>
      </c>
      <c r="F972" s="465">
        <v>617800</v>
      </c>
    </row>
    <row r="973" spans="1:6" ht="33.75">
      <c r="A973" s="463" t="s">
        <v>445</v>
      </c>
      <c r="B973" s="464" t="s">
        <v>885</v>
      </c>
      <c r="C973" s="464" t="s">
        <v>446</v>
      </c>
      <c r="D973" s="464"/>
      <c r="E973" s="465">
        <v>617800</v>
      </c>
      <c r="F973" s="465">
        <v>617800</v>
      </c>
    </row>
    <row r="974" spans="1:6" ht="22.5">
      <c r="A974" s="467" t="s">
        <v>180</v>
      </c>
      <c r="B974" s="468" t="s">
        <v>885</v>
      </c>
      <c r="C974" s="468" t="s">
        <v>446</v>
      </c>
      <c r="D974" s="468" t="s">
        <v>478</v>
      </c>
      <c r="E974" s="469">
        <v>617800</v>
      </c>
      <c r="F974" s="469">
        <v>617800</v>
      </c>
    </row>
    <row r="975" spans="1:6" ht="33.75">
      <c r="A975" s="463" t="s">
        <v>574</v>
      </c>
      <c r="B975" s="464" t="s">
        <v>1238</v>
      </c>
      <c r="C975" s="464"/>
      <c r="D975" s="464"/>
      <c r="E975" s="465">
        <v>1160800</v>
      </c>
      <c r="F975" s="465">
        <v>1111164.06</v>
      </c>
    </row>
    <row r="976" spans="1:6" ht="112.5">
      <c r="A976" s="466" t="s">
        <v>2593</v>
      </c>
      <c r="B976" s="464" t="s">
        <v>878</v>
      </c>
      <c r="C976" s="464"/>
      <c r="D976" s="464"/>
      <c r="E976" s="465">
        <v>1160800</v>
      </c>
      <c r="F976" s="465">
        <v>1111164.06</v>
      </c>
    </row>
    <row r="977" spans="1:6" ht="22.5">
      <c r="A977" s="463" t="s">
        <v>1165</v>
      </c>
      <c r="B977" s="464" t="s">
        <v>878</v>
      </c>
      <c r="C977" s="464" t="s">
        <v>440</v>
      </c>
      <c r="D977" s="464"/>
      <c r="E977" s="465">
        <v>741928</v>
      </c>
      <c r="F977" s="465">
        <v>731697.7</v>
      </c>
    </row>
    <row r="978" spans="1:6">
      <c r="A978" s="467" t="s">
        <v>223</v>
      </c>
      <c r="B978" s="468" t="s">
        <v>878</v>
      </c>
      <c r="C978" s="468" t="s">
        <v>440</v>
      </c>
      <c r="D978" s="468" t="s">
        <v>470</v>
      </c>
      <c r="E978" s="469">
        <v>741928</v>
      </c>
      <c r="F978" s="469">
        <v>731697.7</v>
      </c>
    </row>
    <row r="979" spans="1:6" ht="45">
      <c r="A979" s="463" t="s">
        <v>441</v>
      </c>
      <c r="B979" s="464" t="s">
        <v>878</v>
      </c>
      <c r="C979" s="464" t="s">
        <v>442</v>
      </c>
      <c r="D979" s="464"/>
      <c r="E979" s="465">
        <v>14710</v>
      </c>
      <c r="F979" s="465">
        <v>7500</v>
      </c>
    </row>
    <row r="980" spans="1:6">
      <c r="A980" s="467" t="s">
        <v>223</v>
      </c>
      <c r="B980" s="468" t="s">
        <v>878</v>
      </c>
      <c r="C980" s="468" t="s">
        <v>442</v>
      </c>
      <c r="D980" s="468" t="s">
        <v>470</v>
      </c>
      <c r="E980" s="469">
        <v>14710</v>
      </c>
      <c r="F980" s="469">
        <v>7500</v>
      </c>
    </row>
    <row r="981" spans="1:6" ht="56.25">
      <c r="A981" s="463" t="s">
        <v>1288</v>
      </c>
      <c r="B981" s="464" t="s">
        <v>878</v>
      </c>
      <c r="C981" s="464" t="s">
        <v>1289</v>
      </c>
      <c r="D981" s="464"/>
      <c r="E981" s="465">
        <v>224062</v>
      </c>
      <c r="F981" s="465">
        <v>219493.36</v>
      </c>
    </row>
    <row r="982" spans="1:6">
      <c r="A982" s="467" t="s">
        <v>223</v>
      </c>
      <c r="B982" s="468" t="s">
        <v>878</v>
      </c>
      <c r="C982" s="468" t="s">
        <v>1289</v>
      </c>
      <c r="D982" s="468" t="s">
        <v>470</v>
      </c>
      <c r="E982" s="469">
        <v>224062</v>
      </c>
      <c r="F982" s="469">
        <v>219493.36</v>
      </c>
    </row>
    <row r="983" spans="1:6" ht="33.75">
      <c r="A983" s="463" t="s">
        <v>445</v>
      </c>
      <c r="B983" s="464" t="s">
        <v>878</v>
      </c>
      <c r="C983" s="464" t="s">
        <v>446</v>
      </c>
      <c r="D983" s="464"/>
      <c r="E983" s="465">
        <v>180100</v>
      </c>
      <c r="F983" s="465">
        <v>152473</v>
      </c>
    </row>
    <row r="984" spans="1:6">
      <c r="A984" s="467" t="s">
        <v>223</v>
      </c>
      <c r="B984" s="468" t="s">
        <v>878</v>
      </c>
      <c r="C984" s="468" t="s">
        <v>446</v>
      </c>
      <c r="D984" s="468" t="s">
        <v>470</v>
      </c>
      <c r="E984" s="469">
        <v>180100</v>
      </c>
      <c r="F984" s="469">
        <v>152473</v>
      </c>
    </row>
    <row r="985" spans="1:6" ht="33.75">
      <c r="A985" s="463" t="s">
        <v>764</v>
      </c>
      <c r="B985" s="464" t="s">
        <v>1239</v>
      </c>
      <c r="C985" s="464"/>
      <c r="D985" s="464"/>
      <c r="E985" s="465">
        <v>51695277.340000004</v>
      </c>
      <c r="F985" s="465">
        <v>49488122.579999998</v>
      </c>
    </row>
    <row r="986" spans="1:6" ht="56.25">
      <c r="A986" s="463" t="s">
        <v>439</v>
      </c>
      <c r="B986" s="464" t="s">
        <v>1240</v>
      </c>
      <c r="C986" s="464"/>
      <c r="D986" s="464"/>
      <c r="E986" s="465">
        <v>1314246</v>
      </c>
      <c r="F986" s="465">
        <v>1257174.3899999999</v>
      </c>
    </row>
    <row r="987" spans="1:6" ht="56.25">
      <c r="A987" s="463" t="s">
        <v>439</v>
      </c>
      <c r="B987" s="464" t="s">
        <v>853</v>
      </c>
      <c r="C987" s="464"/>
      <c r="D987" s="464"/>
      <c r="E987" s="465">
        <v>1314246</v>
      </c>
      <c r="F987" s="465">
        <v>1257174.3899999999</v>
      </c>
    </row>
    <row r="988" spans="1:6" ht="22.5">
      <c r="A988" s="463" t="s">
        <v>1165</v>
      </c>
      <c r="B988" s="464" t="s">
        <v>853</v>
      </c>
      <c r="C988" s="464" t="s">
        <v>440</v>
      </c>
      <c r="D988" s="464"/>
      <c r="E988" s="465">
        <v>973860</v>
      </c>
      <c r="F988" s="465">
        <v>919660.39</v>
      </c>
    </row>
    <row r="989" spans="1:6" ht="45">
      <c r="A989" s="467" t="s">
        <v>1883</v>
      </c>
      <c r="B989" s="468" t="s">
        <v>853</v>
      </c>
      <c r="C989" s="468" t="s">
        <v>440</v>
      </c>
      <c r="D989" s="468" t="s">
        <v>438</v>
      </c>
      <c r="E989" s="469">
        <v>973860</v>
      </c>
      <c r="F989" s="469">
        <v>919660.39</v>
      </c>
    </row>
    <row r="990" spans="1:6" ht="45">
      <c r="A990" s="463" t="s">
        <v>441</v>
      </c>
      <c r="B990" s="464" t="s">
        <v>853</v>
      </c>
      <c r="C990" s="464" t="s">
        <v>442</v>
      </c>
      <c r="D990" s="464"/>
      <c r="E990" s="465">
        <v>81400</v>
      </c>
      <c r="F990" s="465">
        <v>78528</v>
      </c>
    </row>
    <row r="991" spans="1:6" ht="45">
      <c r="A991" s="467" t="s">
        <v>1883</v>
      </c>
      <c r="B991" s="468" t="s">
        <v>853</v>
      </c>
      <c r="C991" s="468" t="s">
        <v>442</v>
      </c>
      <c r="D991" s="468" t="s">
        <v>438</v>
      </c>
      <c r="E991" s="469">
        <v>81400</v>
      </c>
      <c r="F991" s="469">
        <v>78528</v>
      </c>
    </row>
    <row r="992" spans="1:6" ht="56.25">
      <c r="A992" s="463" t="s">
        <v>1288</v>
      </c>
      <c r="B992" s="464" t="s">
        <v>853</v>
      </c>
      <c r="C992" s="464" t="s">
        <v>1289</v>
      </c>
      <c r="D992" s="464"/>
      <c r="E992" s="465">
        <v>258986</v>
      </c>
      <c r="F992" s="465">
        <v>258986</v>
      </c>
    </row>
    <row r="993" spans="1:6" ht="45">
      <c r="A993" s="467" t="s">
        <v>1883</v>
      </c>
      <c r="B993" s="468" t="s">
        <v>853</v>
      </c>
      <c r="C993" s="468" t="s">
        <v>1289</v>
      </c>
      <c r="D993" s="468" t="s">
        <v>438</v>
      </c>
      <c r="E993" s="469">
        <v>258986</v>
      </c>
      <c r="F993" s="469">
        <v>258986</v>
      </c>
    </row>
    <row r="994" spans="1:6" ht="45">
      <c r="A994" s="463" t="s">
        <v>765</v>
      </c>
      <c r="B994" s="464" t="s">
        <v>1241</v>
      </c>
      <c r="C994" s="464"/>
      <c r="D994" s="464"/>
      <c r="E994" s="465">
        <v>47127087.890000001</v>
      </c>
      <c r="F994" s="465">
        <v>44996659.640000001</v>
      </c>
    </row>
    <row r="995" spans="1:6" ht="45">
      <c r="A995" s="463" t="s">
        <v>444</v>
      </c>
      <c r="B995" s="464" t="s">
        <v>847</v>
      </c>
      <c r="C995" s="464"/>
      <c r="D995" s="464"/>
      <c r="E995" s="465">
        <v>33340578.18</v>
      </c>
      <c r="F995" s="465">
        <v>32128329.84</v>
      </c>
    </row>
    <row r="996" spans="1:6" ht="22.5">
      <c r="A996" s="463" t="s">
        <v>1165</v>
      </c>
      <c r="B996" s="464" t="s">
        <v>847</v>
      </c>
      <c r="C996" s="464" t="s">
        <v>440</v>
      </c>
      <c r="D996" s="464"/>
      <c r="E996" s="465">
        <v>18862896.739999998</v>
      </c>
      <c r="F996" s="465">
        <v>18708732</v>
      </c>
    </row>
    <row r="997" spans="1:6" ht="56.25">
      <c r="A997" s="467" t="s">
        <v>92</v>
      </c>
      <c r="B997" s="468" t="s">
        <v>847</v>
      </c>
      <c r="C997" s="468" t="s">
        <v>440</v>
      </c>
      <c r="D997" s="468" t="s">
        <v>443</v>
      </c>
      <c r="E997" s="469">
        <v>932563.46</v>
      </c>
      <c r="F997" s="469">
        <v>932563.35</v>
      </c>
    </row>
    <row r="998" spans="1:6" ht="67.5">
      <c r="A998" s="467" t="s">
        <v>284</v>
      </c>
      <c r="B998" s="468" t="s">
        <v>847</v>
      </c>
      <c r="C998" s="468" t="s">
        <v>440</v>
      </c>
      <c r="D998" s="468" t="s">
        <v>450</v>
      </c>
      <c r="E998" s="469">
        <v>17516955.68</v>
      </c>
      <c r="F998" s="469">
        <v>17362791.050000001</v>
      </c>
    </row>
    <row r="999" spans="1:6" ht="45">
      <c r="A999" s="467" t="s">
        <v>264</v>
      </c>
      <c r="B999" s="468" t="s">
        <v>847</v>
      </c>
      <c r="C999" s="468" t="s">
        <v>440</v>
      </c>
      <c r="D999" s="468" t="s">
        <v>448</v>
      </c>
      <c r="E999" s="469">
        <v>413377.6</v>
      </c>
      <c r="F999" s="469">
        <v>413377.6</v>
      </c>
    </row>
    <row r="1000" spans="1:6" ht="45">
      <c r="A1000" s="463" t="s">
        <v>441</v>
      </c>
      <c r="B1000" s="464" t="s">
        <v>847</v>
      </c>
      <c r="C1000" s="464" t="s">
        <v>442</v>
      </c>
      <c r="D1000" s="464"/>
      <c r="E1000" s="465">
        <v>602169.41</v>
      </c>
      <c r="F1000" s="465">
        <v>564066.69999999995</v>
      </c>
    </row>
    <row r="1001" spans="1:6" ht="56.25">
      <c r="A1001" s="467" t="s">
        <v>92</v>
      </c>
      <c r="B1001" s="468" t="s">
        <v>847</v>
      </c>
      <c r="C1001" s="468" t="s">
        <v>442</v>
      </c>
      <c r="D1001" s="468" t="s">
        <v>443</v>
      </c>
      <c r="E1001" s="469">
        <v>9980</v>
      </c>
      <c r="F1001" s="469">
        <v>9980</v>
      </c>
    </row>
    <row r="1002" spans="1:6" ht="67.5">
      <c r="A1002" s="467" t="s">
        <v>284</v>
      </c>
      <c r="B1002" s="468" t="s">
        <v>847</v>
      </c>
      <c r="C1002" s="468" t="s">
        <v>442</v>
      </c>
      <c r="D1002" s="468" t="s">
        <v>450</v>
      </c>
      <c r="E1002" s="469">
        <v>578929.41</v>
      </c>
      <c r="F1002" s="469">
        <v>549736.69999999995</v>
      </c>
    </row>
    <row r="1003" spans="1:6" ht="45">
      <c r="A1003" s="467" t="s">
        <v>264</v>
      </c>
      <c r="B1003" s="468" t="s">
        <v>847</v>
      </c>
      <c r="C1003" s="468" t="s">
        <v>442</v>
      </c>
      <c r="D1003" s="468" t="s">
        <v>448</v>
      </c>
      <c r="E1003" s="469">
        <v>13260</v>
      </c>
      <c r="F1003" s="469">
        <v>4350</v>
      </c>
    </row>
    <row r="1004" spans="1:6" ht="56.25">
      <c r="A1004" s="463" t="s">
        <v>1288</v>
      </c>
      <c r="B1004" s="464" t="s">
        <v>847</v>
      </c>
      <c r="C1004" s="464" t="s">
        <v>1289</v>
      </c>
      <c r="D1004" s="464"/>
      <c r="E1004" s="465">
        <v>5731201.3899999997</v>
      </c>
      <c r="F1004" s="465">
        <v>5475651.9699999997</v>
      </c>
    </row>
    <row r="1005" spans="1:6" ht="56.25">
      <c r="A1005" s="467" t="s">
        <v>92</v>
      </c>
      <c r="B1005" s="468" t="s">
        <v>847</v>
      </c>
      <c r="C1005" s="468" t="s">
        <v>1289</v>
      </c>
      <c r="D1005" s="468" t="s">
        <v>443</v>
      </c>
      <c r="E1005" s="469">
        <v>316200.49</v>
      </c>
      <c r="F1005" s="469">
        <v>316162.57</v>
      </c>
    </row>
    <row r="1006" spans="1:6" ht="67.5">
      <c r="A1006" s="467" t="s">
        <v>284</v>
      </c>
      <c r="B1006" s="468" t="s">
        <v>847</v>
      </c>
      <c r="C1006" s="468" t="s">
        <v>1289</v>
      </c>
      <c r="D1006" s="468" t="s">
        <v>450</v>
      </c>
      <c r="E1006" s="469">
        <v>5290120.9000000004</v>
      </c>
      <c r="F1006" s="469">
        <v>5034609.4000000004</v>
      </c>
    </row>
    <row r="1007" spans="1:6" ht="45">
      <c r="A1007" s="467" t="s">
        <v>264</v>
      </c>
      <c r="B1007" s="468" t="s">
        <v>847</v>
      </c>
      <c r="C1007" s="468" t="s">
        <v>1289</v>
      </c>
      <c r="D1007" s="468" t="s">
        <v>448</v>
      </c>
      <c r="E1007" s="469">
        <v>124880</v>
      </c>
      <c r="F1007" s="469">
        <v>124880</v>
      </c>
    </row>
    <row r="1008" spans="1:6" ht="33.75">
      <c r="A1008" s="463" t="s">
        <v>445</v>
      </c>
      <c r="B1008" s="464" t="s">
        <v>847</v>
      </c>
      <c r="C1008" s="464" t="s">
        <v>446</v>
      </c>
      <c r="D1008" s="464"/>
      <c r="E1008" s="465">
        <v>7846561.9500000002</v>
      </c>
      <c r="F1008" s="465">
        <v>7097930.3200000003</v>
      </c>
    </row>
    <row r="1009" spans="1:6" ht="56.25">
      <c r="A1009" s="467" t="s">
        <v>92</v>
      </c>
      <c r="B1009" s="468" t="s">
        <v>847</v>
      </c>
      <c r="C1009" s="468" t="s">
        <v>446</v>
      </c>
      <c r="D1009" s="468" t="s">
        <v>443</v>
      </c>
      <c r="E1009" s="469">
        <v>398620.28</v>
      </c>
      <c r="F1009" s="469">
        <v>392020</v>
      </c>
    </row>
    <row r="1010" spans="1:6" ht="67.5">
      <c r="A1010" s="467" t="s">
        <v>284</v>
      </c>
      <c r="B1010" s="468" t="s">
        <v>847</v>
      </c>
      <c r="C1010" s="468" t="s">
        <v>446</v>
      </c>
      <c r="D1010" s="468" t="s">
        <v>450</v>
      </c>
      <c r="E1010" s="469">
        <v>7409148.6699999999</v>
      </c>
      <c r="F1010" s="469">
        <v>6676812.2400000002</v>
      </c>
    </row>
    <row r="1011" spans="1:6" ht="45">
      <c r="A1011" s="467" t="s">
        <v>264</v>
      </c>
      <c r="B1011" s="468" t="s">
        <v>847</v>
      </c>
      <c r="C1011" s="468" t="s">
        <v>446</v>
      </c>
      <c r="D1011" s="468" t="s">
        <v>448</v>
      </c>
      <c r="E1011" s="469">
        <v>38793</v>
      </c>
      <c r="F1011" s="469">
        <v>29098.080000000002</v>
      </c>
    </row>
    <row r="1012" spans="1:6">
      <c r="A1012" s="463" t="s">
        <v>1168</v>
      </c>
      <c r="B1012" s="464" t="s">
        <v>847</v>
      </c>
      <c r="C1012" s="464" t="s">
        <v>626</v>
      </c>
      <c r="D1012" s="464"/>
      <c r="E1012" s="465">
        <v>2000</v>
      </c>
      <c r="F1012" s="465">
        <v>2000</v>
      </c>
    </row>
    <row r="1013" spans="1:6" ht="67.5">
      <c r="A1013" s="467" t="s">
        <v>284</v>
      </c>
      <c r="B1013" s="468" t="s">
        <v>847</v>
      </c>
      <c r="C1013" s="468" t="s">
        <v>626</v>
      </c>
      <c r="D1013" s="468" t="s">
        <v>450</v>
      </c>
      <c r="E1013" s="469">
        <v>2000</v>
      </c>
      <c r="F1013" s="469">
        <v>2000</v>
      </c>
    </row>
    <row r="1014" spans="1:6">
      <c r="A1014" s="463" t="s">
        <v>1293</v>
      </c>
      <c r="B1014" s="464" t="s">
        <v>847</v>
      </c>
      <c r="C1014" s="464" t="s">
        <v>1294</v>
      </c>
      <c r="D1014" s="464"/>
      <c r="E1014" s="465">
        <v>295748.69</v>
      </c>
      <c r="F1014" s="465">
        <v>279948.84999999998</v>
      </c>
    </row>
    <row r="1015" spans="1:6" ht="56.25">
      <c r="A1015" s="467" t="s">
        <v>92</v>
      </c>
      <c r="B1015" s="468" t="s">
        <v>847</v>
      </c>
      <c r="C1015" s="468" t="s">
        <v>1294</v>
      </c>
      <c r="D1015" s="468" t="s">
        <v>443</v>
      </c>
      <c r="E1015" s="469">
        <v>2425.6999999999998</v>
      </c>
      <c r="F1015" s="469">
        <v>2420.6999999999998</v>
      </c>
    </row>
    <row r="1016" spans="1:6" ht="67.5">
      <c r="A1016" s="467" t="s">
        <v>284</v>
      </c>
      <c r="B1016" s="468" t="s">
        <v>847</v>
      </c>
      <c r="C1016" s="468" t="s">
        <v>1294</v>
      </c>
      <c r="D1016" s="468" t="s">
        <v>450</v>
      </c>
      <c r="E1016" s="469">
        <v>293068.65000000002</v>
      </c>
      <c r="F1016" s="469">
        <v>277273.81</v>
      </c>
    </row>
    <row r="1017" spans="1:6" ht="45">
      <c r="A1017" s="467" t="s">
        <v>264</v>
      </c>
      <c r="B1017" s="468" t="s">
        <v>847</v>
      </c>
      <c r="C1017" s="468" t="s">
        <v>1294</v>
      </c>
      <c r="D1017" s="468" t="s">
        <v>448</v>
      </c>
      <c r="E1017" s="469">
        <v>254.34</v>
      </c>
      <c r="F1017" s="469">
        <v>254.34</v>
      </c>
    </row>
    <row r="1018" spans="1:6" ht="90">
      <c r="A1018" s="463" t="s">
        <v>725</v>
      </c>
      <c r="B1018" s="464" t="s">
        <v>857</v>
      </c>
      <c r="C1018" s="464"/>
      <c r="D1018" s="464"/>
      <c r="E1018" s="465">
        <v>869781</v>
      </c>
      <c r="F1018" s="465">
        <v>869781</v>
      </c>
    </row>
    <row r="1019" spans="1:6" ht="22.5">
      <c r="A1019" s="463" t="s">
        <v>1165</v>
      </c>
      <c r="B1019" s="464" t="s">
        <v>857</v>
      </c>
      <c r="C1019" s="464" t="s">
        <v>440</v>
      </c>
      <c r="D1019" s="464"/>
      <c r="E1019" s="465">
        <v>668035</v>
      </c>
      <c r="F1019" s="465">
        <v>668035</v>
      </c>
    </row>
    <row r="1020" spans="1:6" ht="67.5">
      <c r="A1020" s="467" t="s">
        <v>284</v>
      </c>
      <c r="B1020" s="468" t="s">
        <v>857</v>
      </c>
      <c r="C1020" s="468" t="s">
        <v>440</v>
      </c>
      <c r="D1020" s="468" t="s">
        <v>450</v>
      </c>
      <c r="E1020" s="469">
        <v>668035</v>
      </c>
      <c r="F1020" s="469">
        <v>668035</v>
      </c>
    </row>
    <row r="1021" spans="1:6" ht="56.25">
      <c r="A1021" s="463" t="s">
        <v>1288</v>
      </c>
      <c r="B1021" s="464" t="s">
        <v>857</v>
      </c>
      <c r="C1021" s="464" t="s">
        <v>1289</v>
      </c>
      <c r="D1021" s="464"/>
      <c r="E1021" s="465">
        <v>201746</v>
      </c>
      <c r="F1021" s="465">
        <v>201746</v>
      </c>
    </row>
    <row r="1022" spans="1:6" ht="67.5">
      <c r="A1022" s="467" t="s">
        <v>284</v>
      </c>
      <c r="B1022" s="468" t="s">
        <v>857</v>
      </c>
      <c r="C1022" s="468" t="s">
        <v>1289</v>
      </c>
      <c r="D1022" s="468" t="s">
        <v>450</v>
      </c>
      <c r="E1022" s="469">
        <v>201746</v>
      </c>
      <c r="F1022" s="469">
        <v>201746</v>
      </c>
    </row>
    <row r="1023" spans="1:6" ht="67.5">
      <c r="A1023" s="463" t="s">
        <v>723</v>
      </c>
      <c r="B1023" s="464" t="s">
        <v>848</v>
      </c>
      <c r="C1023" s="464"/>
      <c r="D1023" s="464"/>
      <c r="E1023" s="465">
        <v>1081565.07</v>
      </c>
      <c r="F1023" s="465">
        <v>1039928.53</v>
      </c>
    </row>
    <row r="1024" spans="1:6" ht="45">
      <c r="A1024" s="463" t="s">
        <v>441</v>
      </c>
      <c r="B1024" s="464" t="s">
        <v>848</v>
      </c>
      <c r="C1024" s="464" t="s">
        <v>442</v>
      </c>
      <c r="D1024" s="464"/>
      <c r="E1024" s="465">
        <v>1081565.07</v>
      </c>
      <c r="F1024" s="465">
        <v>1039928.53</v>
      </c>
    </row>
    <row r="1025" spans="1:6" ht="56.25">
      <c r="A1025" s="467" t="s">
        <v>92</v>
      </c>
      <c r="B1025" s="468" t="s">
        <v>848</v>
      </c>
      <c r="C1025" s="468" t="s">
        <v>442</v>
      </c>
      <c r="D1025" s="468" t="s">
        <v>443</v>
      </c>
      <c r="E1025" s="469">
        <v>135660.79999999999</v>
      </c>
      <c r="F1025" s="469">
        <v>135660.79999999999</v>
      </c>
    </row>
    <row r="1026" spans="1:6" ht="67.5">
      <c r="A1026" s="467" t="s">
        <v>284</v>
      </c>
      <c r="B1026" s="468" t="s">
        <v>848</v>
      </c>
      <c r="C1026" s="468" t="s">
        <v>442</v>
      </c>
      <c r="D1026" s="468" t="s">
        <v>450</v>
      </c>
      <c r="E1026" s="469">
        <v>945904.27</v>
      </c>
      <c r="F1026" s="469">
        <v>904267.73</v>
      </c>
    </row>
    <row r="1027" spans="1:6" ht="78.75">
      <c r="A1027" s="463" t="s">
        <v>726</v>
      </c>
      <c r="B1027" s="464" t="s">
        <v>858</v>
      </c>
      <c r="C1027" s="464"/>
      <c r="D1027" s="464"/>
      <c r="E1027" s="465">
        <v>5475168</v>
      </c>
      <c r="F1027" s="465">
        <v>4792644.3600000003</v>
      </c>
    </row>
    <row r="1028" spans="1:6" ht="22.5">
      <c r="A1028" s="463" t="s">
        <v>1165</v>
      </c>
      <c r="B1028" s="464" t="s">
        <v>858</v>
      </c>
      <c r="C1028" s="464" t="s">
        <v>440</v>
      </c>
      <c r="D1028" s="464"/>
      <c r="E1028" s="465">
        <v>4205198</v>
      </c>
      <c r="F1028" s="465">
        <v>3647850.4</v>
      </c>
    </row>
    <row r="1029" spans="1:6" ht="67.5">
      <c r="A1029" s="467" t="s">
        <v>284</v>
      </c>
      <c r="B1029" s="468" t="s">
        <v>858</v>
      </c>
      <c r="C1029" s="468" t="s">
        <v>440</v>
      </c>
      <c r="D1029" s="468" t="s">
        <v>450</v>
      </c>
      <c r="E1029" s="469">
        <v>4205198</v>
      </c>
      <c r="F1029" s="469">
        <v>3647850.4</v>
      </c>
    </row>
    <row r="1030" spans="1:6" ht="56.25">
      <c r="A1030" s="463" t="s">
        <v>1288</v>
      </c>
      <c r="B1030" s="464" t="s">
        <v>858</v>
      </c>
      <c r="C1030" s="464" t="s">
        <v>1289</v>
      </c>
      <c r="D1030" s="464"/>
      <c r="E1030" s="465">
        <v>1269970</v>
      </c>
      <c r="F1030" s="465">
        <v>1144793.96</v>
      </c>
    </row>
    <row r="1031" spans="1:6" ht="67.5">
      <c r="A1031" s="467" t="s">
        <v>284</v>
      </c>
      <c r="B1031" s="468" t="s">
        <v>858</v>
      </c>
      <c r="C1031" s="468" t="s">
        <v>1289</v>
      </c>
      <c r="D1031" s="468" t="s">
        <v>450</v>
      </c>
      <c r="E1031" s="469">
        <v>1269970</v>
      </c>
      <c r="F1031" s="469">
        <v>1144793.96</v>
      </c>
    </row>
    <row r="1032" spans="1:6" ht="45">
      <c r="A1032" s="463" t="s">
        <v>1169</v>
      </c>
      <c r="B1032" s="464" t="s">
        <v>1170</v>
      </c>
      <c r="C1032" s="464"/>
      <c r="D1032" s="464"/>
      <c r="E1032" s="465">
        <v>2417921</v>
      </c>
      <c r="F1032" s="465">
        <v>2321124.87</v>
      </c>
    </row>
    <row r="1033" spans="1:6" ht="33.75">
      <c r="A1033" s="463" t="s">
        <v>445</v>
      </c>
      <c r="B1033" s="464" t="s">
        <v>1170</v>
      </c>
      <c r="C1033" s="464" t="s">
        <v>446</v>
      </c>
      <c r="D1033" s="464"/>
      <c r="E1033" s="465">
        <v>2417921</v>
      </c>
      <c r="F1033" s="465">
        <v>2321124.87</v>
      </c>
    </row>
    <row r="1034" spans="1:6" ht="67.5">
      <c r="A1034" s="467" t="s">
        <v>284</v>
      </c>
      <c r="B1034" s="468" t="s">
        <v>1170</v>
      </c>
      <c r="C1034" s="468" t="s">
        <v>446</v>
      </c>
      <c r="D1034" s="468" t="s">
        <v>450</v>
      </c>
      <c r="E1034" s="469">
        <v>2417921</v>
      </c>
      <c r="F1034" s="469">
        <v>2321124.87</v>
      </c>
    </row>
    <row r="1035" spans="1:6" ht="45">
      <c r="A1035" s="463" t="s">
        <v>1166</v>
      </c>
      <c r="B1035" s="464" t="s">
        <v>1167</v>
      </c>
      <c r="C1035" s="464"/>
      <c r="D1035" s="464"/>
      <c r="E1035" s="465">
        <v>730479.64</v>
      </c>
      <c r="F1035" s="465">
        <v>720054</v>
      </c>
    </row>
    <row r="1036" spans="1:6" ht="33.75">
      <c r="A1036" s="463" t="s">
        <v>445</v>
      </c>
      <c r="B1036" s="464" t="s">
        <v>1167</v>
      </c>
      <c r="C1036" s="464" t="s">
        <v>446</v>
      </c>
      <c r="D1036" s="464"/>
      <c r="E1036" s="465">
        <v>730479.64</v>
      </c>
      <c r="F1036" s="465">
        <v>720054</v>
      </c>
    </row>
    <row r="1037" spans="1:6" ht="56.25">
      <c r="A1037" s="467" t="s">
        <v>92</v>
      </c>
      <c r="B1037" s="468" t="s">
        <v>1167</v>
      </c>
      <c r="C1037" s="468" t="s">
        <v>446</v>
      </c>
      <c r="D1037" s="468" t="s">
        <v>443</v>
      </c>
      <c r="E1037" s="469">
        <v>85580.22</v>
      </c>
      <c r="F1037" s="469">
        <v>85540</v>
      </c>
    </row>
    <row r="1038" spans="1:6" ht="67.5">
      <c r="A1038" s="467" t="s">
        <v>284</v>
      </c>
      <c r="B1038" s="468" t="s">
        <v>1167</v>
      </c>
      <c r="C1038" s="468" t="s">
        <v>446</v>
      </c>
      <c r="D1038" s="468" t="s">
        <v>450</v>
      </c>
      <c r="E1038" s="469">
        <v>637406.42000000004</v>
      </c>
      <c r="F1038" s="469">
        <v>627021</v>
      </c>
    </row>
    <row r="1039" spans="1:6" ht="45">
      <c r="A1039" s="467" t="s">
        <v>264</v>
      </c>
      <c r="B1039" s="468" t="s">
        <v>1167</v>
      </c>
      <c r="C1039" s="468" t="s">
        <v>446</v>
      </c>
      <c r="D1039" s="468" t="s">
        <v>448</v>
      </c>
      <c r="E1039" s="469">
        <v>7493</v>
      </c>
      <c r="F1039" s="469">
        <v>7493</v>
      </c>
    </row>
    <row r="1040" spans="1:6" ht="33.75">
      <c r="A1040" s="463" t="s">
        <v>1438</v>
      </c>
      <c r="B1040" s="464" t="s">
        <v>1439</v>
      </c>
      <c r="C1040" s="464"/>
      <c r="D1040" s="464"/>
      <c r="E1040" s="465">
        <v>750540</v>
      </c>
      <c r="F1040" s="465">
        <v>744403.99</v>
      </c>
    </row>
    <row r="1041" spans="1:6" ht="33.75">
      <c r="A1041" s="463" t="s">
        <v>445</v>
      </c>
      <c r="B1041" s="464" t="s">
        <v>1439</v>
      </c>
      <c r="C1041" s="464" t="s">
        <v>446</v>
      </c>
      <c r="D1041" s="464"/>
      <c r="E1041" s="465">
        <v>750540</v>
      </c>
      <c r="F1041" s="465">
        <v>744403.99</v>
      </c>
    </row>
    <row r="1042" spans="1:6" ht="67.5">
      <c r="A1042" s="467" t="s">
        <v>284</v>
      </c>
      <c r="B1042" s="468" t="s">
        <v>1439</v>
      </c>
      <c r="C1042" s="468" t="s">
        <v>446</v>
      </c>
      <c r="D1042" s="468" t="s">
        <v>450</v>
      </c>
      <c r="E1042" s="469">
        <v>750540</v>
      </c>
      <c r="F1042" s="469">
        <v>744403.99</v>
      </c>
    </row>
    <row r="1043" spans="1:6" ht="90">
      <c r="A1043" s="463" t="s">
        <v>671</v>
      </c>
      <c r="B1043" s="464" t="s">
        <v>862</v>
      </c>
      <c r="C1043" s="464"/>
      <c r="D1043" s="464"/>
      <c r="E1043" s="465">
        <v>55000</v>
      </c>
      <c r="F1043" s="465">
        <v>55000</v>
      </c>
    </row>
    <row r="1044" spans="1:6" ht="22.5">
      <c r="A1044" s="463" t="s">
        <v>1165</v>
      </c>
      <c r="B1044" s="464" t="s">
        <v>862</v>
      </c>
      <c r="C1044" s="464" t="s">
        <v>440</v>
      </c>
      <c r="D1044" s="464"/>
      <c r="E1044" s="465">
        <v>40169</v>
      </c>
      <c r="F1044" s="465">
        <v>40169</v>
      </c>
    </row>
    <row r="1045" spans="1:6">
      <c r="A1045" s="467" t="s">
        <v>265</v>
      </c>
      <c r="B1045" s="468" t="s">
        <v>862</v>
      </c>
      <c r="C1045" s="468" t="s">
        <v>440</v>
      </c>
      <c r="D1045" s="468" t="s">
        <v>454</v>
      </c>
      <c r="E1045" s="469">
        <v>40169</v>
      </c>
      <c r="F1045" s="469">
        <v>40169</v>
      </c>
    </row>
    <row r="1046" spans="1:6" ht="56.25">
      <c r="A1046" s="463" t="s">
        <v>1288</v>
      </c>
      <c r="B1046" s="464" t="s">
        <v>862</v>
      </c>
      <c r="C1046" s="464" t="s">
        <v>1289</v>
      </c>
      <c r="D1046" s="464"/>
      <c r="E1046" s="465">
        <v>12131</v>
      </c>
      <c r="F1046" s="465">
        <v>12131</v>
      </c>
    </row>
    <row r="1047" spans="1:6">
      <c r="A1047" s="467" t="s">
        <v>265</v>
      </c>
      <c r="B1047" s="468" t="s">
        <v>862</v>
      </c>
      <c r="C1047" s="468" t="s">
        <v>1289</v>
      </c>
      <c r="D1047" s="468" t="s">
        <v>454</v>
      </c>
      <c r="E1047" s="469">
        <v>12131</v>
      </c>
      <c r="F1047" s="469">
        <v>12131</v>
      </c>
    </row>
    <row r="1048" spans="1:6" ht="33.75">
      <c r="A1048" s="463" t="s">
        <v>445</v>
      </c>
      <c r="B1048" s="464" t="s">
        <v>862</v>
      </c>
      <c r="C1048" s="464" t="s">
        <v>446</v>
      </c>
      <c r="D1048" s="464"/>
      <c r="E1048" s="465">
        <v>2700</v>
      </c>
      <c r="F1048" s="465">
        <v>2700</v>
      </c>
    </row>
    <row r="1049" spans="1:6">
      <c r="A1049" s="467" t="s">
        <v>265</v>
      </c>
      <c r="B1049" s="468" t="s">
        <v>862</v>
      </c>
      <c r="C1049" s="468" t="s">
        <v>446</v>
      </c>
      <c r="D1049" s="468" t="s">
        <v>454</v>
      </c>
      <c r="E1049" s="469">
        <v>2700</v>
      </c>
      <c r="F1049" s="469">
        <v>2700</v>
      </c>
    </row>
    <row r="1050" spans="1:6" ht="90">
      <c r="A1050" s="463" t="s">
        <v>452</v>
      </c>
      <c r="B1050" s="464" t="s">
        <v>855</v>
      </c>
      <c r="C1050" s="464"/>
      <c r="D1050" s="464"/>
      <c r="E1050" s="465">
        <v>524300</v>
      </c>
      <c r="F1050" s="465">
        <v>522749.83</v>
      </c>
    </row>
    <row r="1051" spans="1:6" ht="22.5">
      <c r="A1051" s="463" t="s">
        <v>1165</v>
      </c>
      <c r="B1051" s="464" t="s">
        <v>855</v>
      </c>
      <c r="C1051" s="464" t="s">
        <v>440</v>
      </c>
      <c r="D1051" s="464"/>
      <c r="E1051" s="465">
        <v>370964</v>
      </c>
      <c r="F1051" s="465">
        <v>370964</v>
      </c>
    </row>
    <row r="1052" spans="1:6" ht="67.5">
      <c r="A1052" s="467" t="s">
        <v>284</v>
      </c>
      <c r="B1052" s="468" t="s">
        <v>855</v>
      </c>
      <c r="C1052" s="468" t="s">
        <v>440</v>
      </c>
      <c r="D1052" s="468" t="s">
        <v>450</v>
      </c>
      <c r="E1052" s="469">
        <v>370964</v>
      </c>
      <c r="F1052" s="469">
        <v>370964</v>
      </c>
    </row>
    <row r="1053" spans="1:6" ht="45">
      <c r="A1053" s="463" t="s">
        <v>441</v>
      </c>
      <c r="B1053" s="464" t="s">
        <v>855</v>
      </c>
      <c r="C1053" s="464" t="s">
        <v>442</v>
      </c>
      <c r="D1053" s="464"/>
      <c r="E1053" s="465">
        <v>6100</v>
      </c>
      <c r="F1053" s="465">
        <v>4550</v>
      </c>
    </row>
    <row r="1054" spans="1:6" ht="67.5">
      <c r="A1054" s="467" t="s">
        <v>284</v>
      </c>
      <c r="B1054" s="468" t="s">
        <v>855</v>
      </c>
      <c r="C1054" s="468" t="s">
        <v>442</v>
      </c>
      <c r="D1054" s="468" t="s">
        <v>450</v>
      </c>
      <c r="E1054" s="469">
        <v>6100</v>
      </c>
      <c r="F1054" s="469">
        <v>4550</v>
      </c>
    </row>
    <row r="1055" spans="1:6" ht="56.25">
      <c r="A1055" s="463" t="s">
        <v>1288</v>
      </c>
      <c r="B1055" s="464" t="s">
        <v>855</v>
      </c>
      <c r="C1055" s="464" t="s">
        <v>1289</v>
      </c>
      <c r="D1055" s="464"/>
      <c r="E1055" s="465">
        <v>112031</v>
      </c>
      <c r="F1055" s="465">
        <v>112031</v>
      </c>
    </row>
    <row r="1056" spans="1:6" ht="67.5">
      <c r="A1056" s="467" t="s">
        <v>284</v>
      </c>
      <c r="B1056" s="468" t="s">
        <v>855</v>
      </c>
      <c r="C1056" s="468" t="s">
        <v>1289</v>
      </c>
      <c r="D1056" s="468" t="s">
        <v>450</v>
      </c>
      <c r="E1056" s="469">
        <v>112031</v>
      </c>
      <c r="F1056" s="469">
        <v>112031</v>
      </c>
    </row>
    <row r="1057" spans="1:6" ht="33.75">
      <c r="A1057" s="463" t="s">
        <v>445</v>
      </c>
      <c r="B1057" s="464" t="s">
        <v>855</v>
      </c>
      <c r="C1057" s="464" t="s">
        <v>446</v>
      </c>
      <c r="D1057" s="464"/>
      <c r="E1057" s="465">
        <v>35205</v>
      </c>
      <c r="F1057" s="465">
        <v>35204.83</v>
      </c>
    </row>
    <row r="1058" spans="1:6" ht="67.5">
      <c r="A1058" s="467" t="s">
        <v>284</v>
      </c>
      <c r="B1058" s="468" t="s">
        <v>855</v>
      </c>
      <c r="C1058" s="468" t="s">
        <v>446</v>
      </c>
      <c r="D1058" s="468" t="s">
        <v>450</v>
      </c>
      <c r="E1058" s="469">
        <v>35205</v>
      </c>
      <c r="F1058" s="469">
        <v>35204.83</v>
      </c>
    </row>
    <row r="1059" spans="1:6" ht="45">
      <c r="A1059" s="463" t="s">
        <v>455</v>
      </c>
      <c r="B1059" s="464" t="s">
        <v>863</v>
      </c>
      <c r="C1059" s="464"/>
      <c r="D1059" s="464"/>
      <c r="E1059" s="465">
        <v>69600</v>
      </c>
      <c r="F1059" s="465">
        <v>69600</v>
      </c>
    </row>
    <row r="1060" spans="1:6" ht="22.5">
      <c r="A1060" s="463" t="s">
        <v>1165</v>
      </c>
      <c r="B1060" s="464" t="s">
        <v>863</v>
      </c>
      <c r="C1060" s="464" t="s">
        <v>440</v>
      </c>
      <c r="D1060" s="464"/>
      <c r="E1060" s="465">
        <v>44218</v>
      </c>
      <c r="F1060" s="465">
        <v>44218</v>
      </c>
    </row>
    <row r="1061" spans="1:6">
      <c r="A1061" s="467" t="s">
        <v>265</v>
      </c>
      <c r="B1061" s="468" t="s">
        <v>863</v>
      </c>
      <c r="C1061" s="468" t="s">
        <v>440</v>
      </c>
      <c r="D1061" s="468" t="s">
        <v>454</v>
      </c>
      <c r="E1061" s="469">
        <v>44218</v>
      </c>
      <c r="F1061" s="469">
        <v>44218</v>
      </c>
    </row>
    <row r="1062" spans="1:6" ht="56.25">
      <c r="A1062" s="463" t="s">
        <v>1288</v>
      </c>
      <c r="B1062" s="464" t="s">
        <v>863</v>
      </c>
      <c r="C1062" s="464" t="s">
        <v>1289</v>
      </c>
      <c r="D1062" s="464"/>
      <c r="E1062" s="465">
        <v>13354</v>
      </c>
      <c r="F1062" s="465">
        <v>13354</v>
      </c>
    </row>
    <row r="1063" spans="1:6">
      <c r="A1063" s="467" t="s">
        <v>265</v>
      </c>
      <c r="B1063" s="468" t="s">
        <v>863</v>
      </c>
      <c r="C1063" s="468" t="s">
        <v>1289</v>
      </c>
      <c r="D1063" s="468" t="s">
        <v>454</v>
      </c>
      <c r="E1063" s="469">
        <v>13354</v>
      </c>
      <c r="F1063" s="469">
        <v>13354</v>
      </c>
    </row>
    <row r="1064" spans="1:6" ht="33.75">
      <c r="A1064" s="463" t="s">
        <v>445</v>
      </c>
      <c r="B1064" s="464" t="s">
        <v>863</v>
      </c>
      <c r="C1064" s="464" t="s">
        <v>446</v>
      </c>
      <c r="D1064" s="464"/>
      <c r="E1064" s="465">
        <v>12028</v>
      </c>
      <c r="F1064" s="465">
        <v>12028</v>
      </c>
    </row>
    <row r="1065" spans="1:6">
      <c r="A1065" s="467" t="s">
        <v>265</v>
      </c>
      <c r="B1065" s="468" t="s">
        <v>863</v>
      </c>
      <c r="C1065" s="468" t="s">
        <v>446</v>
      </c>
      <c r="D1065" s="468" t="s">
        <v>454</v>
      </c>
      <c r="E1065" s="469">
        <v>12028</v>
      </c>
      <c r="F1065" s="469">
        <v>12028</v>
      </c>
    </row>
    <row r="1066" spans="1:6" ht="78.75">
      <c r="A1066" s="463" t="s">
        <v>453</v>
      </c>
      <c r="B1066" s="464" t="s">
        <v>856</v>
      </c>
      <c r="C1066" s="464"/>
      <c r="D1066" s="464"/>
      <c r="E1066" s="465">
        <v>1024000</v>
      </c>
      <c r="F1066" s="465">
        <v>944888.22</v>
      </c>
    </row>
    <row r="1067" spans="1:6" ht="22.5">
      <c r="A1067" s="463" t="s">
        <v>1165</v>
      </c>
      <c r="B1067" s="464" t="s">
        <v>856</v>
      </c>
      <c r="C1067" s="464" t="s">
        <v>440</v>
      </c>
      <c r="D1067" s="464"/>
      <c r="E1067" s="465">
        <v>741928</v>
      </c>
      <c r="F1067" s="465">
        <v>664193.82999999996</v>
      </c>
    </row>
    <row r="1068" spans="1:6" ht="67.5">
      <c r="A1068" s="467" t="s">
        <v>284</v>
      </c>
      <c r="B1068" s="468" t="s">
        <v>856</v>
      </c>
      <c r="C1068" s="468" t="s">
        <v>440</v>
      </c>
      <c r="D1068" s="468" t="s">
        <v>450</v>
      </c>
      <c r="E1068" s="469">
        <v>741928</v>
      </c>
      <c r="F1068" s="469">
        <v>664193.82999999996</v>
      </c>
    </row>
    <row r="1069" spans="1:6" ht="45">
      <c r="A1069" s="463" t="s">
        <v>441</v>
      </c>
      <c r="B1069" s="464" t="s">
        <v>856</v>
      </c>
      <c r="C1069" s="464" t="s">
        <v>442</v>
      </c>
      <c r="D1069" s="464"/>
      <c r="E1069" s="465">
        <v>6600</v>
      </c>
      <c r="F1069" s="465">
        <v>6600</v>
      </c>
    </row>
    <row r="1070" spans="1:6" ht="67.5">
      <c r="A1070" s="467" t="s">
        <v>284</v>
      </c>
      <c r="B1070" s="468" t="s">
        <v>856</v>
      </c>
      <c r="C1070" s="468" t="s">
        <v>442</v>
      </c>
      <c r="D1070" s="468" t="s">
        <v>450</v>
      </c>
      <c r="E1070" s="469">
        <v>6600</v>
      </c>
      <c r="F1070" s="469">
        <v>6600</v>
      </c>
    </row>
    <row r="1071" spans="1:6" ht="56.25">
      <c r="A1071" s="463" t="s">
        <v>1288</v>
      </c>
      <c r="B1071" s="464" t="s">
        <v>856</v>
      </c>
      <c r="C1071" s="464" t="s">
        <v>1289</v>
      </c>
      <c r="D1071" s="464"/>
      <c r="E1071" s="465">
        <v>224062</v>
      </c>
      <c r="F1071" s="465">
        <v>222719.21</v>
      </c>
    </row>
    <row r="1072" spans="1:6" ht="67.5">
      <c r="A1072" s="467" t="s">
        <v>284</v>
      </c>
      <c r="B1072" s="468" t="s">
        <v>856</v>
      </c>
      <c r="C1072" s="468" t="s">
        <v>1289</v>
      </c>
      <c r="D1072" s="468" t="s">
        <v>450</v>
      </c>
      <c r="E1072" s="469">
        <v>224062</v>
      </c>
      <c r="F1072" s="469">
        <v>222719.21</v>
      </c>
    </row>
    <row r="1073" spans="1:6" ht="33.75">
      <c r="A1073" s="463" t="s">
        <v>445</v>
      </c>
      <c r="B1073" s="464" t="s">
        <v>856</v>
      </c>
      <c r="C1073" s="464" t="s">
        <v>446</v>
      </c>
      <c r="D1073" s="464"/>
      <c r="E1073" s="465">
        <v>51410</v>
      </c>
      <c r="F1073" s="465">
        <v>51375.18</v>
      </c>
    </row>
    <row r="1074" spans="1:6" ht="67.5">
      <c r="A1074" s="467" t="s">
        <v>284</v>
      </c>
      <c r="B1074" s="468" t="s">
        <v>856</v>
      </c>
      <c r="C1074" s="468" t="s">
        <v>446</v>
      </c>
      <c r="D1074" s="468" t="s">
        <v>450</v>
      </c>
      <c r="E1074" s="469">
        <v>51410</v>
      </c>
      <c r="F1074" s="469">
        <v>51375.18</v>
      </c>
    </row>
    <row r="1075" spans="1:6" ht="90">
      <c r="A1075" s="463" t="s">
        <v>2004</v>
      </c>
      <c r="B1075" s="464" t="s">
        <v>2005</v>
      </c>
      <c r="C1075" s="464"/>
      <c r="D1075" s="464"/>
      <c r="E1075" s="465">
        <v>305160</v>
      </c>
      <c r="F1075" s="465">
        <v>305160</v>
      </c>
    </row>
    <row r="1076" spans="1:6" ht="22.5">
      <c r="A1076" s="463" t="s">
        <v>1165</v>
      </c>
      <c r="B1076" s="464" t="s">
        <v>2005</v>
      </c>
      <c r="C1076" s="464" t="s">
        <v>440</v>
      </c>
      <c r="D1076" s="464"/>
      <c r="E1076" s="465">
        <v>234380</v>
      </c>
      <c r="F1076" s="465">
        <v>234380</v>
      </c>
    </row>
    <row r="1077" spans="1:6" ht="67.5">
      <c r="A1077" s="467" t="s">
        <v>284</v>
      </c>
      <c r="B1077" s="468" t="s">
        <v>2005</v>
      </c>
      <c r="C1077" s="468" t="s">
        <v>440</v>
      </c>
      <c r="D1077" s="468" t="s">
        <v>450</v>
      </c>
      <c r="E1077" s="469">
        <v>234380</v>
      </c>
      <c r="F1077" s="469">
        <v>234380</v>
      </c>
    </row>
    <row r="1078" spans="1:6" ht="56.25">
      <c r="A1078" s="463" t="s">
        <v>1288</v>
      </c>
      <c r="B1078" s="464" t="s">
        <v>2005</v>
      </c>
      <c r="C1078" s="464" t="s">
        <v>1289</v>
      </c>
      <c r="D1078" s="464"/>
      <c r="E1078" s="465">
        <v>70780</v>
      </c>
      <c r="F1078" s="465">
        <v>70780</v>
      </c>
    </row>
    <row r="1079" spans="1:6" ht="67.5">
      <c r="A1079" s="467" t="s">
        <v>284</v>
      </c>
      <c r="B1079" s="468" t="s">
        <v>2005</v>
      </c>
      <c r="C1079" s="468" t="s">
        <v>1289</v>
      </c>
      <c r="D1079" s="468" t="s">
        <v>450</v>
      </c>
      <c r="E1079" s="469">
        <v>70780</v>
      </c>
      <c r="F1079" s="469">
        <v>70780</v>
      </c>
    </row>
    <row r="1080" spans="1:6" ht="101.25">
      <c r="A1080" s="466" t="s">
        <v>2582</v>
      </c>
      <c r="B1080" s="464" t="s">
        <v>859</v>
      </c>
      <c r="C1080" s="464"/>
      <c r="D1080" s="464"/>
      <c r="E1080" s="465">
        <v>482995</v>
      </c>
      <c r="F1080" s="465">
        <v>482995</v>
      </c>
    </row>
    <row r="1081" spans="1:6" ht="22.5">
      <c r="A1081" s="463" t="s">
        <v>1165</v>
      </c>
      <c r="B1081" s="464" t="s">
        <v>859</v>
      </c>
      <c r="C1081" s="464" t="s">
        <v>440</v>
      </c>
      <c r="D1081" s="464"/>
      <c r="E1081" s="465">
        <v>370965</v>
      </c>
      <c r="F1081" s="465">
        <v>370965</v>
      </c>
    </row>
    <row r="1082" spans="1:6" ht="67.5">
      <c r="A1082" s="467" t="s">
        <v>284</v>
      </c>
      <c r="B1082" s="468" t="s">
        <v>859</v>
      </c>
      <c r="C1082" s="468" t="s">
        <v>440</v>
      </c>
      <c r="D1082" s="468" t="s">
        <v>450</v>
      </c>
      <c r="E1082" s="469">
        <v>370965</v>
      </c>
      <c r="F1082" s="469">
        <v>370965</v>
      </c>
    </row>
    <row r="1083" spans="1:6" ht="56.25">
      <c r="A1083" s="463" t="s">
        <v>1288</v>
      </c>
      <c r="B1083" s="464" t="s">
        <v>859</v>
      </c>
      <c r="C1083" s="464" t="s">
        <v>1289</v>
      </c>
      <c r="D1083" s="464"/>
      <c r="E1083" s="465">
        <v>112030</v>
      </c>
      <c r="F1083" s="465">
        <v>112030</v>
      </c>
    </row>
    <row r="1084" spans="1:6" ht="67.5">
      <c r="A1084" s="467" t="s">
        <v>284</v>
      </c>
      <c r="B1084" s="468" t="s">
        <v>859</v>
      </c>
      <c r="C1084" s="468" t="s">
        <v>1289</v>
      </c>
      <c r="D1084" s="468" t="s">
        <v>450</v>
      </c>
      <c r="E1084" s="469">
        <v>112030</v>
      </c>
      <c r="F1084" s="469">
        <v>112030</v>
      </c>
    </row>
    <row r="1085" spans="1:6" ht="56.25">
      <c r="A1085" s="463" t="s">
        <v>447</v>
      </c>
      <c r="B1085" s="464" t="s">
        <v>1242</v>
      </c>
      <c r="C1085" s="464"/>
      <c r="D1085" s="464"/>
      <c r="E1085" s="465">
        <v>2505679.0499999998</v>
      </c>
      <c r="F1085" s="465">
        <v>2496199.9300000002</v>
      </c>
    </row>
    <row r="1086" spans="1:6" ht="56.25">
      <c r="A1086" s="463" t="s">
        <v>447</v>
      </c>
      <c r="B1086" s="464" t="s">
        <v>849</v>
      </c>
      <c r="C1086" s="464"/>
      <c r="D1086" s="464"/>
      <c r="E1086" s="465">
        <v>2475365.0499999998</v>
      </c>
      <c r="F1086" s="465">
        <v>2465885.9300000002</v>
      </c>
    </row>
    <row r="1087" spans="1:6" ht="22.5">
      <c r="A1087" s="463" t="s">
        <v>1165</v>
      </c>
      <c r="B1087" s="464" t="s">
        <v>849</v>
      </c>
      <c r="C1087" s="464" t="s">
        <v>440</v>
      </c>
      <c r="D1087" s="464"/>
      <c r="E1087" s="465">
        <v>1672868.36</v>
      </c>
      <c r="F1087" s="465">
        <v>1672868.36</v>
      </c>
    </row>
    <row r="1088" spans="1:6" ht="56.25">
      <c r="A1088" s="467" t="s">
        <v>92</v>
      </c>
      <c r="B1088" s="468" t="s">
        <v>849</v>
      </c>
      <c r="C1088" s="468" t="s">
        <v>440</v>
      </c>
      <c r="D1088" s="468" t="s">
        <v>443</v>
      </c>
      <c r="E1088" s="469">
        <v>1672868.36</v>
      </c>
      <c r="F1088" s="469">
        <v>1672868.36</v>
      </c>
    </row>
    <row r="1089" spans="1:6" ht="45">
      <c r="A1089" s="463" t="s">
        <v>441</v>
      </c>
      <c r="B1089" s="464" t="s">
        <v>849</v>
      </c>
      <c r="C1089" s="464" t="s">
        <v>442</v>
      </c>
      <c r="D1089" s="464"/>
      <c r="E1089" s="465">
        <v>119636.42</v>
      </c>
      <c r="F1089" s="465">
        <v>119561.4</v>
      </c>
    </row>
    <row r="1090" spans="1:6" ht="56.25">
      <c r="A1090" s="467" t="s">
        <v>92</v>
      </c>
      <c r="B1090" s="468" t="s">
        <v>849</v>
      </c>
      <c r="C1090" s="468" t="s">
        <v>442</v>
      </c>
      <c r="D1090" s="468" t="s">
        <v>443</v>
      </c>
      <c r="E1090" s="469">
        <v>119636.42</v>
      </c>
      <c r="F1090" s="469">
        <v>119561.4</v>
      </c>
    </row>
    <row r="1091" spans="1:6" ht="67.5">
      <c r="A1091" s="463" t="s">
        <v>1599</v>
      </c>
      <c r="B1091" s="464" t="s">
        <v>849</v>
      </c>
      <c r="C1091" s="464" t="s">
        <v>623</v>
      </c>
      <c r="D1091" s="464"/>
      <c r="E1091" s="465">
        <v>216000</v>
      </c>
      <c r="F1091" s="465">
        <v>216000</v>
      </c>
    </row>
    <row r="1092" spans="1:6" ht="56.25">
      <c r="A1092" s="467" t="s">
        <v>92</v>
      </c>
      <c r="B1092" s="468" t="s">
        <v>849</v>
      </c>
      <c r="C1092" s="468" t="s">
        <v>623</v>
      </c>
      <c r="D1092" s="468" t="s">
        <v>443</v>
      </c>
      <c r="E1092" s="469">
        <v>216000</v>
      </c>
      <c r="F1092" s="469">
        <v>216000</v>
      </c>
    </row>
    <row r="1093" spans="1:6" ht="56.25">
      <c r="A1093" s="463" t="s">
        <v>1288</v>
      </c>
      <c r="B1093" s="464" t="s">
        <v>849</v>
      </c>
      <c r="C1093" s="464" t="s">
        <v>1289</v>
      </c>
      <c r="D1093" s="464"/>
      <c r="E1093" s="465">
        <v>466860.27</v>
      </c>
      <c r="F1093" s="465">
        <v>457456.17</v>
      </c>
    </row>
    <row r="1094" spans="1:6" ht="56.25">
      <c r="A1094" s="467" t="s">
        <v>92</v>
      </c>
      <c r="B1094" s="468" t="s">
        <v>849</v>
      </c>
      <c r="C1094" s="468" t="s">
        <v>1289</v>
      </c>
      <c r="D1094" s="468" t="s">
        <v>443</v>
      </c>
      <c r="E1094" s="469">
        <v>466860.27</v>
      </c>
      <c r="F1094" s="469">
        <v>457456.17</v>
      </c>
    </row>
    <row r="1095" spans="1:6" ht="67.5">
      <c r="A1095" s="463" t="s">
        <v>1600</v>
      </c>
      <c r="B1095" s="464" t="s">
        <v>850</v>
      </c>
      <c r="C1095" s="464"/>
      <c r="D1095" s="464"/>
      <c r="E1095" s="465">
        <v>30314</v>
      </c>
      <c r="F1095" s="465">
        <v>30314</v>
      </c>
    </row>
    <row r="1096" spans="1:6" ht="45">
      <c r="A1096" s="463" t="s">
        <v>441</v>
      </c>
      <c r="B1096" s="464" t="s">
        <v>850</v>
      </c>
      <c r="C1096" s="464" t="s">
        <v>442</v>
      </c>
      <c r="D1096" s="464"/>
      <c r="E1096" s="465">
        <v>30314</v>
      </c>
      <c r="F1096" s="465">
        <v>30314</v>
      </c>
    </row>
    <row r="1097" spans="1:6" ht="56.25">
      <c r="A1097" s="467" t="s">
        <v>92</v>
      </c>
      <c r="B1097" s="468" t="s">
        <v>850</v>
      </c>
      <c r="C1097" s="468" t="s">
        <v>442</v>
      </c>
      <c r="D1097" s="468" t="s">
        <v>443</v>
      </c>
      <c r="E1097" s="469">
        <v>30314</v>
      </c>
      <c r="F1097" s="469">
        <v>30314</v>
      </c>
    </row>
    <row r="1098" spans="1:6" ht="67.5">
      <c r="A1098" s="463" t="s">
        <v>449</v>
      </c>
      <c r="B1098" s="464" t="s">
        <v>1243</v>
      </c>
      <c r="C1098" s="464"/>
      <c r="D1098" s="464"/>
      <c r="E1098" s="465">
        <v>748264.4</v>
      </c>
      <c r="F1098" s="465">
        <v>738088.62</v>
      </c>
    </row>
    <row r="1099" spans="1:6" ht="67.5">
      <c r="A1099" s="463" t="s">
        <v>449</v>
      </c>
      <c r="B1099" s="464" t="s">
        <v>851</v>
      </c>
      <c r="C1099" s="464"/>
      <c r="D1099" s="464"/>
      <c r="E1099" s="465">
        <v>748264.4</v>
      </c>
      <c r="F1099" s="465">
        <v>738088.62</v>
      </c>
    </row>
    <row r="1100" spans="1:6" ht="22.5">
      <c r="A1100" s="463" t="s">
        <v>1165</v>
      </c>
      <c r="B1100" s="464" t="s">
        <v>851</v>
      </c>
      <c r="C1100" s="464" t="s">
        <v>440</v>
      </c>
      <c r="D1100" s="464"/>
      <c r="E1100" s="465">
        <v>558190.4</v>
      </c>
      <c r="F1100" s="465">
        <v>558127.44999999995</v>
      </c>
    </row>
    <row r="1101" spans="1:6" ht="45">
      <c r="A1101" s="467" t="s">
        <v>264</v>
      </c>
      <c r="B1101" s="468" t="s">
        <v>851</v>
      </c>
      <c r="C1101" s="468" t="s">
        <v>440</v>
      </c>
      <c r="D1101" s="468" t="s">
        <v>448</v>
      </c>
      <c r="E1101" s="469">
        <v>558190.4</v>
      </c>
      <c r="F1101" s="469">
        <v>558127.44999999995</v>
      </c>
    </row>
    <row r="1102" spans="1:6" ht="45">
      <c r="A1102" s="463" t="s">
        <v>441</v>
      </c>
      <c r="B1102" s="464" t="s">
        <v>851</v>
      </c>
      <c r="C1102" s="464" t="s">
        <v>442</v>
      </c>
      <c r="D1102" s="464"/>
      <c r="E1102" s="465">
        <v>17400</v>
      </c>
      <c r="F1102" s="465">
        <v>12212.2</v>
      </c>
    </row>
    <row r="1103" spans="1:6" ht="45">
      <c r="A1103" s="467" t="s">
        <v>264</v>
      </c>
      <c r="B1103" s="468" t="s">
        <v>851</v>
      </c>
      <c r="C1103" s="468" t="s">
        <v>442</v>
      </c>
      <c r="D1103" s="468" t="s">
        <v>448</v>
      </c>
      <c r="E1103" s="469">
        <v>17400</v>
      </c>
      <c r="F1103" s="469">
        <v>12212.2</v>
      </c>
    </row>
    <row r="1104" spans="1:6" ht="56.25">
      <c r="A1104" s="463" t="s">
        <v>1288</v>
      </c>
      <c r="B1104" s="464" t="s">
        <v>851</v>
      </c>
      <c r="C1104" s="464" t="s">
        <v>1289</v>
      </c>
      <c r="D1104" s="464"/>
      <c r="E1104" s="465">
        <v>172674</v>
      </c>
      <c r="F1104" s="465">
        <v>167748.97</v>
      </c>
    </row>
    <row r="1105" spans="1:6" ht="45">
      <c r="A1105" s="467" t="s">
        <v>264</v>
      </c>
      <c r="B1105" s="468" t="s">
        <v>851</v>
      </c>
      <c r="C1105" s="468" t="s">
        <v>1289</v>
      </c>
      <c r="D1105" s="468" t="s">
        <v>448</v>
      </c>
      <c r="E1105" s="469">
        <v>172674</v>
      </c>
      <c r="F1105" s="469">
        <v>167748.97</v>
      </c>
    </row>
    <row r="1106" spans="1:6" ht="22.5">
      <c r="A1106" s="463" t="s">
        <v>766</v>
      </c>
      <c r="B1106" s="464" t="s">
        <v>1244</v>
      </c>
      <c r="C1106" s="464"/>
      <c r="D1106" s="464"/>
      <c r="E1106" s="465">
        <v>11964135.960000001</v>
      </c>
      <c r="F1106" s="465">
        <v>10046993.49</v>
      </c>
    </row>
    <row r="1107" spans="1:6" ht="45">
      <c r="A1107" s="463" t="s">
        <v>547</v>
      </c>
      <c r="B1107" s="464" t="s">
        <v>1245</v>
      </c>
      <c r="C1107" s="464"/>
      <c r="D1107" s="464"/>
      <c r="E1107" s="465">
        <v>700000</v>
      </c>
      <c r="F1107" s="465">
        <v>20354</v>
      </c>
    </row>
    <row r="1108" spans="1:6" ht="45">
      <c r="A1108" s="463" t="s">
        <v>547</v>
      </c>
      <c r="B1108" s="464" t="s">
        <v>1002</v>
      </c>
      <c r="C1108" s="464"/>
      <c r="D1108" s="464"/>
      <c r="E1108" s="465">
        <v>700000</v>
      </c>
      <c r="F1108" s="465">
        <v>20354</v>
      </c>
    </row>
    <row r="1109" spans="1:6" ht="33.75">
      <c r="A1109" s="463" t="s">
        <v>445</v>
      </c>
      <c r="B1109" s="464" t="s">
        <v>1002</v>
      </c>
      <c r="C1109" s="464" t="s">
        <v>446</v>
      </c>
      <c r="D1109" s="464"/>
      <c r="E1109" s="465">
        <v>354</v>
      </c>
      <c r="F1109" s="465">
        <v>354</v>
      </c>
    </row>
    <row r="1110" spans="1:6">
      <c r="A1110" s="467" t="s">
        <v>127</v>
      </c>
      <c r="B1110" s="468" t="s">
        <v>1002</v>
      </c>
      <c r="C1110" s="468" t="s">
        <v>446</v>
      </c>
      <c r="D1110" s="468" t="s">
        <v>496</v>
      </c>
      <c r="E1110" s="469">
        <v>354</v>
      </c>
      <c r="F1110" s="469">
        <v>354</v>
      </c>
    </row>
    <row r="1111" spans="1:6" ht="45">
      <c r="A1111" s="463" t="s">
        <v>497</v>
      </c>
      <c r="B1111" s="464" t="s">
        <v>1002</v>
      </c>
      <c r="C1111" s="464" t="s">
        <v>498</v>
      </c>
      <c r="D1111" s="464"/>
      <c r="E1111" s="465">
        <v>20000</v>
      </c>
      <c r="F1111" s="465">
        <v>20000</v>
      </c>
    </row>
    <row r="1112" spans="1:6">
      <c r="A1112" s="467" t="s">
        <v>127</v>
      </c>
      <c r="B1112" s="468" t="s">
        <v>1002</v>
      </c>
      <c r="C1112" s="468" t="s">
        <v>498</v>
      </c>
      <c r="D1112" s="468" t="s">
        <v>496</v>
      </c>
      <c r="E1112" s="469">
        <v>20000</v>
      </c>
      <c r="F1112" s="469">
        <v>20000</v>
      </c>
    </row>
    <row r="1113" spans="1:6">
      <c r="A1113" s="463" t="s">
        <v>548</v>
      </c>
      <c r="B1113" s="464" t="s">
        <v>1002</v>
      </c>
      <c r="C1113" s="464" t="s">
        <v>549</v>
      </c>
      <c r="D1113" s="464"/>
      <c r="E1113" s="465">
        <v>679646</v>
      </c>
      <c r="F1113" s="465">
        <v>0</v>
      </c>
    </row>
    <row r="1114" spans="1:6">
      <c r="A1114" s="467" t="s">
        <v>69</v>
      </c>
      <c r="B1114" s="468" t="s">
        <v>1002</v>
      </c>
      <c r="C1114" s="468" t="s">
        <v>549</v>
      </c>
      <c r="D1114" s="468" t="s">
        <v>546</v>
      </c>
      <c r="E1114" s="469">
        <v>679646</v>
      </c>
      <c r="F1114" s="469">
        <v>0</v>
      </c>
    </row>
    <row r="1115" spans="1:6" ht="56.25">
      <c r="A1115" s="463" t="s">
        <v>508</v>
      </c>
      <c r="B1115" s="464" t="s">
        <v>1246</v>
      </c>
      <c r="C1115" s="464"/>
      <c r="D1115" s="464"/>
      <c r="E1115" s="465">
        <v>3646087.2</v>
      </c>
      <c r="F1115" s="465">
        <v>3636617.2</v>
      </c>
    </row>
    <row r="1116" spans="1:6" ht="56.25">
      <c r="A1116" s="463" t="s">
        <v>508</v>
      </c>
      <c r="B1116" s="464" t="s">
        <v>903</v>
      </c>
      <c r="C1116" s="464"/>
      <c r="D1116" s="464"/>
      <c r="E1116" s="465">
        <v>3449350</v>
      </c>
      <c r="F1116" s="465">
        <v>3439880</v>
      </c>
    </row>
    <row r="1117" spans="1:6">
      <c r="A1117" s="463" t="s">
        <v>1603</v>
      </c>
      <c r="B1117" s="464" t="s">
        <v>903</v>
      </c>
      <c r="C1117" s="464" t="s">
        <v>460</v>
      </c>
      <c r="D1117" s="464"/>
      <c r="E1117" s="465">
        <v>2496697</v>
      </c>
      <c r="F1117" s="465">
        <v>2490352.08</v>
      </c>
    </row>
    <row r="1118" spans="1:6" ht="22.5">
      <c r="A1118" s="467" t="s">
        <v>186</v>
      </c>
      <c r="B1118" s="468" t="s">
        <v>903</v>
      </c>
      <c r="C1118" s="468" t="s">
        <v>460</v>
      </c>
      <c r="D1118" s="468" t="s">
        <v>507</v>
      </c>
      <c r="E1118" s="469">
        <v>2496697</v>
      </c>
      <c r="F1118" s="469">
        <v>2490352.08</v>
      </c>
    </row>
    <row r="1119" spans="1:6" ht="33.75">
      <c r="A1119" s="463" t="s">
        <v>1617</v>
      </c>
      <c r="B1119" s="464" t="s">
        <v>903</v>
      </c>
      <c r="C1119" s="464" t="s">
        <v>509</v>
      </c>
      <c r="D1119" s="464"/>
      <c r="E1119" s="465">
        <v>109739.9</v>
      </c>
      <c r="F1119" s="465">
        <v>109016.54</v>
      </c>
    </row>
    <row r="1120" spans="1:6" ht="22.5">
      <c r="A1120" s="467" t="s">
        <v>186</v>
      </c>
      <c r="B1120" s="468" t="s">
        <v>903</v>
      </c>
      <c r="C1120" s="468" t="s">
        <v>509</v>
      </c>
      <c r="D1120" s="468" t="s">
        <v>507</v>
      </c>
      <c r="E1120" s="469">
        <v>109739.9</v>
      </c>
      <c r="F1120" s="469">
        <v>109016.54</v>
      </c>
    </row>
    <row r="1121" spans="1:6" ht="45">
      <c r="A1121" s="463" t="s">
        <v>1604</v>
      </c>
      <c r="B1121" s="464" t="s">
        <v>903</v>
      </c>
      <c r="C1121" s="464" t="s">
        <v>1290</v>
      </c>
      <c r="D1121" s="464"/>
      <c r="E1121" s="465">
        <v>754003</v>
      </c>
      <c r="F1121" s="465">
        <v>751601.28</v>
      </c>
    </row>
    <row r="1122" spans="1:6" ht="22.5">
      <c r="A1122" s="467" t="s">
        <v>186</v>
      </c>
      <c r="B1122" s="468" t="s">
        <v>903</v>
      </c>
      <c r="C1122" s="468" t="s">
        <v>1290</v>
      </c>
      <c r="D1122" s="468" t="s">
        <v>507</v>
      </c>
      <c r="E1122" s="469">
        <v>754003</v>
      </c>
      <c r="F1122" s="469">
        <v>751601.28</v>
      </c>
    </row>
    <row r="1123" spans="1:6" ht="33.75">
      <c r="A1123" s="463" t="s">
        <v>445</v>
      </c>
      <c r="B1123" s="464" t="s">
        <v>903</v>
      </c>
      <c r="C1123" s="464" t="s">
        <v>446</v>
      </c>
      <c r="D1123" s="464"/>
      <c r="E1123" s="465">
        <v>87900</v>
      </c>
      <c r="F1123" s="465">
        <v>87900</v>
      </c>
    </row>
    <row r="1124" spans="1:6" ht="22.5">
      <c r="A1124" s="467" t="s">
        <v>186</v>
      </c>
      <c r="B1124" s="468" t="s">
        <v>903</v>
      </c>
      <c r="C1124" s="468" t="s">
        <v>446</v>
      </c>
      <c r="D1124" s="468" t="s">
        <v>507</v>
      </c>
      <c r="E1124" s="469">
        <v>87900</v>
      </c>
      <c r="F1124" s="469">
        <v>87900</v>
      </c>
    </row>
    <row r="1125" spans="1:6">
      <c r="A1125" s="463" t="s">
        <v>1293</v>
      </c>
      <c r="B1125" s="464" t="s">
        <v>903</v>
      </c>
      <c r="C1125" s="464" t="s">
        <v>1294</v>
      </c>
      <c r="D1125" s="464"/>
      <c r="E1125" s="465">
        <v>1010.1</v>
      </c>
      <c r="F1125" s="465">
        <v>1010.1</v>
      </c>
    </row>
    <row r="1126" spans="1:6" ht="22.5">
      <c r="A1126" s="467" t="s">
        <v>186</v>
      </c>
      <c r="B1126" s="468" t="s">
        <v>903</v>
      </c>
      <c r="C1126" s="468" t="s">
        <v>1294</v>
      </c>
      <c r="D1126" s="468" t="s">
        <v>507</v>
      </c>
      <c r="E1126" s="469">
        <v>1010.1</v>
      </c>
      <c r="F1126" s="469">
        <v>1010.1</v>
      </c>
    </row>
    <row r="1127" spans="1:6" ht="67.5">
      <c r="A1127" s="463" t="s">
        <v>728</v>
      </c>
      <c r="B1127" s="464" t="s">
        <v>904</v>
      </c>
      <c r="C1127" s="464"/>
      <c r="D1127" s="464"/>
      <c r="E1127" s="465">
        <v>196737.2</v>
      </c>
      <c r="F1127" s="465">
        <v>196737.2</v>
      </c>
    </row>
    <row r="1128" spans="1:6" ht="33.75">
      <c r="A1128" s="463" t="s">
        <v>1617</v>
      </c>
      <c r="B1128" s="464" t="s">
        <v>904</v>
      </c>
      <c r="C1128" s="464" t="s">
        <v>509</v>
      </c>
      <c r="D1128" s="464"/>
      <c r="E1128" s="465">
        <v>196737.2</v>
      </c>
      <c r="F1128" s="465">
        <v>196737.2</v>
      </c>
    </row>
    <row r="1129" spans="1:6" ht="22.5">
      <c r="A1129" s="467" t="s">
        <v>186</v>
      </c>
      <c r="B1129" s="468" t="s">
        <v>904</v>
      </c>
      <c r="C1129" s="468" t="s">
        <v>509</v>
      </c>
      <c r="D1129" s="468" t="s">
        <v>507</v>
      </c>
      <c r="E1129" s="469">
        <v>196737.2</v>
      </c>
      <c r="F1129" s="469">
        <v>196737.2</v>
      </c>
    </row>
    <row r="1130" spans="1:6" ht="56.25">
      <c r="A1130" s="463" t="s">
        <v>629</v>
      </c>
      <c r="B1130" s="464" t="s">
        <v>1247</v>
      </c>
      <c r="C1130" s="464"/>
      <c r="D1130" s="464"/>
      <c r="E1130" s="465">
        <v>120000</v>
      </c>
      <c r="F1130" s="465">
        <v>120000</v>
      </c>
    </row>
    <row r="1131" spans="1:6" ht="56.25">
      <c r="A1131" s="463" t="s">
        <v>629</v>
      </c>
      <c r="B1131" s="464" t="s">
        <v>864</v>
      </c>
      <c r="C1131" s="464"/>
      <c r="D1131" s="464"/>
      <c r="E1131" s="465">
        <v>120000</v>
      </c>
      <c r="F1131" s="465">
        <v>120000</v>
      </c>
    </row>
    <row r="1132" spans="1:6" ht="22.5">
      <c r="A1132" s="463" t="s">
        <v>456</v>
      </c>
      <c r="B1132" s="464" t="s">
        <v>864</v>
      </c>
      <c r="C1132" s="464" t="s">
        <v>457</v>
      </c>
      <c r="D1132" s="464"/>
      <c r="E1132" s="465">
        <v>120000</v>
      </c>
      <c r="F1132" s="465">
        <v>120000</v>
      </c>
    </row>
    <row r="1133" spans="1:6">
      <c r="A1133" s="467" t="s">
        <v>265</v>
      </c>
      <c r="B1133" s="468" t="s">
        <v>864</v>
      </c>
      <c r="C1133" s="468" t="s">
        <v>457</v>
      </c>
      <c r="D1133" s="468" t="s">
        <v>454</v>
      </c>
      <c r="E1133" s="469">
        <v>120000</v>
      </c>
      <c r="F1133" s="469">
        <v>120000</v>
      </c>
    </row>
    <row r="1134" spans="1:6" ht="45">
      <c r="A1134" s="463" t="s">
        <v>1316</v>
      </c>
      <c r="B1134" s="464" t="s">
        <v>1317</v>
      </c>
      <c r="C1134" s="464"/>
      <c r="D1134" s="464"/>
      <c r="E1134" s="465">
        <v>4087024</v>
      </c>
      <c r="F1134" s="465">
        <v>4002815.16</v>
      </c>
    </row>
    <row r="1135" spans="1:6" ht="45">
      <c r="A1135" s="463" t="s">
        <v>1316</v>
      </c>
      <c r="B1135" s="464" t="s">
        <v>1441</v>
      </c>
      <c r="C1135" s="464"/>
      <c r="D1135" s="464"/>
      <c r="E1135" s="465">
        <v>239785</v>
      </c>
      <c r="F1135" s="465">
        <v>215060</v>
      </c>
    </row>
    <row r="1136" spans="1:6" ht="45">
      <c r="A1136" s="463" t="s">
        <v>441</v>
      </c>
      <c r="B1136" s="464" t="s">
        <v>1441</v>
      </c>
      <c r="C1136" s="464" t="s">
        <v>442</v>
      </c>
      <c r="D1136" s="464"/>
      <c r="E1136" s="465">
        <v>8000</v>
      </c>
      <c r="F1136" s="465">
        <v>7600</v>
      </c>
    </row>
    <row r="1137" spans="1:6">
      <c r="A1137" s="467" t="s">
        <v>265</v>
      </c>
      <c r="B1137" s="468" t="s">
        <v>1441</v>
      </c>
      <c r="C1137" s="468" t="s">
        <v>442</v>
      </c>
      <c r="D1137" s="468" t="s">
        <v>454</v>
      </c>
      <c r="E1137" s="469">
        <v>8000</v>
      </c>
      <c r="F1137" s="469">
        <v>7600</v>
      </c>
    </row>
    <row r="1138" spans="1:6" ht="33.75">
      <c r="A1138" s="463" t="s">
        <v>445</v>
      </c>
      <c r="B1138" s="464" t="s">
        <v>1441</v>
      </c>
      <c r="C1138" s="464" t="s">
        <v>446</v>
      </c>
      <c r="D1138" s="464"/>
      <c r="E1138" s="465">
        <v>231785</v>
      </c>
      <c r="F1138" s="465">
        <v>207460</v>
      </c>
    </row>
    <row r="1139" spans="1:6">
      <c r="A1139" s="467" t="s">
        <v>265</v>
      </c>
      <c r="B1139" s="468" t="s">
        <v>1441</v>
      </c>
      <c r="C1139" s="468" t="s">
        <v>446</v>
      </c>
      <c r="D1139" s="468" t="s">
        <v>454</v>
      </c>
      <c r="E1139" s="469">
        <v>231785</v>
      </c>
      <c r="F1139" s="469">
        <v>207460</v>
      </c>
    </row>
    <row r="1140" spans="1:6" ht="56.25">
      <c r="A1140" s="463" t="s">
        <v>1611</v>
      </c>
      <c r="B1140" s="464" t="s">
        <v>1612</v>
      </c>
      <c r="C1140" s="464"/>
      <c r="D1140" s="464"/>
      <c r="E1140" s="465">
        <v>72445.8</v>
      </c>
      <c r="F1140" s="465">
        <v>37445.800000000003</v>
      </c>
    </row>
    <row r="1141" spans="1:6" ht="45">
      <c r="A1141" s="463" t="s">
        <v>441</v>
      </c>
      <c r="B1141" s="464" t="s">
        <v>1612</v>
      </c>
      <c r="C1141" s="464" t="s">
        <v>442</v>
      </c>
      <c r="D1141" s="464"/>
      <c r="E1141" s="465">
        <v>72445.8</v>
      </c>
      <c r="F1141" s="465">
        <v>37445.800000000003</v>
      </c>
    </row>
    <row r="1142" spans="1:6">
      <c r="A1142" s="467" t="s">
        <v>265</v>
      </c>
      <c r="B1142" s="468" t="s">
        <v>1612</v>
      </c>
      <c r="C1142" s="468" t="s">
        <v>442</v>
      </c>
      <c r="D1142" s="468" t="s">
        <v>454</v>
      </c>
      <c r="E1142" s="469">
        <v>72445.8</v>
      </c>
      <c r="F1142" s="469">
        <v>37445.800000000003</v>
      </c>
    </row>
    <row r="1143" spans="1:6" ht="67.5">
      <c r="A1143" s="463" t="s">
        <v>1613</v>
      </c>
      <c r="B1143" s="464" t="s">
        <v>1614</v>
      </c>
      <c r="C1143" s="464"/>
      <c r="D1143" s="464"/>
      <c r="E1143" s="465">
        <v>3627042</v>
      </c>
      <c r="F1143" s="465">
        <v>3624453.36</v>
      </c>
    </row>
    <row r="1144" spans="1:6" ht="22.5">
      <c r="A1144" s="463" t="s">
        <v>1165</v>
      </c>
      <c r="B1144" s="464" t="s">
        <v>1614</v>
      </c>
      <c r="C1144" s="464" t="s">
        <v>440</v>
      </c>
      <c r="D1144" s="464"/>
      <c r="E1144" s="465">
        <v>2785747</v>
      </c>
      <c r="F1144" s="465">
        <v>2785747</v>
      </c>
    </row>
    <row r="1145" spans="1:6">
      <c r="A1145" s="467" t="s">
        <v>265</v>
      </c>
      <c r="B1145" s="468" t="s">
        <v>1614</v>
      </c>
      <c r="C1145" s="468" t="s">
        <v>440</v>
      </c>
      <c r="D1145" s="468" t="s">
        <v>454</v>
      </c>
      <c r="E1145" s="469">
        <v>2785747</v>
      </c>
      <c r="F1145" s="469">
        <v>2785747</v>
      </c>
    </row>
    <row r="1146" spans="1:6" ht="56.25">
      <c r="A1146" s="463" t="s">
        <v>1288</v>
      </c>
      <c r="B1146" s="464" t="s">
        <v>1614</v>
      </c>
      <c r="C1146" s="464" t="s">
        <v>1289</v>
      </c>
      <c r="D1146" s="464"/>
      <c r="E1146" s="465">
        <v>841295</v>
      </c>
      <c r="F1146" s="465">
        <v>838706.36</v>
      </c>
    </row>
    <row r="1147" spans="1:6">
      <c r="A1147" s="467" t="s">
        <v>265</v>
      </c>
      <c r="B1147" s="468" t="s">
        <v>1614</v>
      </c>
      <c r="C1147" s="468" t="s">
        <v>1289</v>
      </c>
      <c r="D1147" s="468" t="s">
        <v>454</v>
      </c>
      <c r="E1147" s="469">
        <v>841295</v>
      </c>
      <c r="F1147" s="469">
        <v>838706.36</v>
      </c>
    </row>
    <row r="1148" spans="1:6" ht="45">
      <c r="A1148" s="463" t="s">
        <v>1615</v>
      </c>
      <c r="B1148" s="464" t="s">
        <v>1616</v>
      </c>
      <c r="C1148" s="464"/>
      <c r="D1148" s="464"/>
      <c r="E1148" s="465">
        <v>147751.20000000001</v>
      </c>
      <c r="F1148" s="465">
        <v>125856</v>
      </c>
    </row>
    <row r="1149" spans="1:6" ht="33.75">
      <c r="A1149" s="463" t="s">
        <v>445</v>
      </c>
      <c r="B1149" s="464" t="s">
        <v>1616</v>
      </c>
      <c r="C1149" s="464" t="s">
        <v>446</v>
      </c>
      <c r="D1149" s="464"/>
      <c r="E1149" s="465">
        <v>147751.20000000001</v>
      </c>
      <c r="F1149" s="465">
        <v>125856</v>
      </c>
    </row>
    <row r="1150" spans="1:6">
      <c r="A1150" s="467" t="s">
        <v>265</v>
      </c>
      <c r="B1150" s="468" t="s">
        <v>1616</v>
      </c>
      <c r="C1150" s="468" t="s">
        <v>446</v>
      </c>
      <c r="D1150" s="468" t="s">
        <v>454</v>
      </c>
      <c r="E1150" s="469">
        <v>147751.20000000001</v>
      </c>
      <c r="F1150" s="469">
        <v>125856</v>
      </c>
    </row>
    <row r="1151" spans="1:6" ht="33.75">
      <c r="A1151" s="463" t="s">
        <v>551</v>
      </c>
      <c r="B1151" s="464" t="s">
        <v>1248</v>
      </c>
      <c r="C1151" s="464"/>
      <c r="D1151" s="464"/>
      <c r="E1151" s="465">
        <v>3411024.76</v>
      </c>
      <c r="F1151" s="465">
        <v>2267207.13</v>
      </c>
    </row>
    <row r="1152" spans="1:6" ht="56.25">
      <c r="A1152" s="463" t="s">
        <v>492</v>
      </c>
      <c r="B1152" s="464" t="s">
        <v>1009</v>
      </c>
      <c r="C1152" s="464"/>
      <c r="D1152" s="464"/>
      <c r="E1152" s="465">
        <v>64000</v>
      </c>
      <c r="F1152" s="465">
        <v>64000</v>
      </c>
    </row>
    <row r="1153" spans="1:6">
      <c r="A1153" s="463" t="s">
        <v>93</v>
      </c>
      <c r="B1153" s="464" t="s">
        <v>1009</v>
      </c>
      <c r="C1153" s="464" t="s">
        <v>550</v>
      </c>
      <c r="D1153" s="464"/>
      <c r="E1153" s="465">
        <v>64000</v>
      </c>
      <c r="F1153" s="465">
        <v>64000</v>
      </c>
    </row>
    <row r="1154" spans="1:6" ht="22.5">
      <c r="A1154" s="467" t="s">
        <v>1632</v>
      </c>
      <c r="B1154" s="468" t="s">
        <v>1009</v>
      </c>
      <c r="C1154" s="468" t="s">
        <v>550</v>
      </c>
      <c r="D1154" s="468" t="s">
        <v>491</v>
      </c>
      <c r="E1154" s="469">
        <v>64000</v>
      </c>
      <c r="F1154" s="469">
        <v>64000</v>
      </c>
    </row>
    <row r="1155" spans="1:6" ht="33.75">
      <c r="A1155" s="463" t="s">
        <v>551</v>
      </c>
      <c r="B1155" s="464" t="s">
        <v>1004</v>
      </c>
      <c r="C1155" s="464"/>
      <c r="D1155" s="464"/>
      <c r="E1155" s="465">
        <v>188378.08</v>
      </c>
      <c r="F1155" s="465">
        <v>65526.239999999998</v>
      </c>
    </row>
    <row r="1156" spans="1:6">
      <c r="A1156" s="463" t="s">
        <v>558</v>
      </c>
      <c r="B1156" s="464" t="s">
        <v>1004</v>
      </c>
      <c r="C1156" s="464" t="s">
        <v>559</v>
      </c>
      <c r="D1156" s="464"/>
      <c r="E1156" s="465">
        <v>80877</v>
      </c>
      <c r="F1156" s="465">
        <v>27023.279999999999</v>
      </c>
    </row>
    <row r="1157" spans="1:6" ht="22.5">
      <c r="A1157" s="467" t="s">
        <v>300</v>
      </c>
      <c r="B1157" s="468" t="s">
        <v>1004</v>
      </c>
      <c r="C1157" s="468" t="s">
        <v>559</v>
      </c>
      <c r="D1157" s="468" t="s">
        <v>557</v>
      </c>
      <c r="E1157" s="469">
        <v>80877</v>
      </c>
      <c r="F1157" s="469">
        <v>27023.279999999999</v>
      </c>
    </row>
    <row r="1158" spans="1:6" ht="45">
      <c r="A1158" s="463" t="s">
        <v>1758</v>
      </c>
      <c r="B1158" s="464" t="s">
        <v>1004</v>
      </c>
      <c r="C1158" s="464" t="s">
        <v>552</v>
      </c>
      <c r="D1158" s="464"/>
      <c r="E1158" s="465">
        <v>107501.08</v>
      </c>
      <c r="F1158" s="465">
        <v>38502.959999999999</v>
      </c>
    </row>
    <row r="1159" spans="1:6">
      <c r="A1159" s="467" t="s">
        <v>265</v>
      </c>
      <c r="B1159" s="468" t="s">
        <v>1004</v>
      </c>
      <c r="C1159" s="468" t="s">
        <v>552</v>
      </c>
      <c r="D1159" s="468" t="s">
        <v>454</v>
      </c>
      <c r="E1159" s="469">
        <v>107501.08</v>
      </c>
      <c r="F1159" s="469">
        <v>38502.959999999999</v>
      </c>
    </row>
    <row r="1160" spans="1:6" ht="33.75">
      <c r="A1160" s="463" t="s">
        <v>1756</v>
      </c>
      <c r="B1160" s="464" t="s">
        <v>1757</v>
      </c>
      <c r="C1160" s="464"/>
      <c r="D1160" s="464"/>
      <c r="E1160" s="465">
        <v>1120746.68</v>
      </c>
      <c r="F1160" s="465">
        <v>137680.89000000001</v>
      </c>
    </row>
    <row r="1161" spans="1:6" ht="45">
      <c r="A1161" s="463" t="s">
        <v>461</v>
      </c>
      <c r="B1161" s="464" t="s">
        <v>1757</v>
      </c>
      <c r="C1161" s="464" t="s">
        <v>462</v>
      </c>
      <c r="D1161" s="464"/>
      <c r="E1161" s="465">
        <v>969993.74</v>
      </c>
      <c r="F1161" s="465">
        <v>0</v>
      </c>
    </row>
    <row r="1162" spans="1:6">
      <c r="A1162" s="467" t="s">
        <v>181</v>
      </c>
      <c r="B1162" s="468" t="s">
        <v>1757</v>
      </c>
      <c r="C1162" s="468" t="s">
        <v>462</v>
      </c>
      <c r="D1162" s="468" t="s">
        <v>482</v>
      </c>
      <c r="E1162" s="469">
        <v>969993.74</v>
      </c>
      <c r="F1162" s="469">
        <v>0</v>
      </c>
    </row>
    <row r="1163" spans="1:6" ht="45">
      <c r="A1163" s="463" t="s">
        <v>1758</v>
      </c>
      <c r="B1163" s="464" t="s">
        <v>1757</v>
      </c>
      <c r="C1163" s="464" t="s">
        <v>552</v>
      </c>
      <c r="D1163" s="464"/>
      <c r="E1163" s="465">
        <v>150752.94</v>
      </c>
      <c r="F1163" s="465">
        <v>137680.89000000001</v>
      </c>
    </row>
    <row r="1164" spans="1:6">
      <c r="A1164" s="467" t="s">
        <v>181</v>
      </c>
      <c r="B1164" s="468" t="s">
        <v>1757</v>
      </c>
      <c r="C1164" s="468" t="s">
        <v>552</v>
      </c>
      <c r="D1164" s="468" t="s">
        <v>482</v>
      </c>
      <c r="E1164" s="469">
        <v>13072.05</v>
      </c>
      <c r="F1164" s="469">
        <v>0</v>
      </c>
    </row>
    <row r="1165" spans="1:6">
      <c r="A1165" s="467" t="s">
        <v>188</v>
      </c>
      <c r="B1165" s="468" t="s">
        <v>1757</v>
      </c>
      <c r="C1165" s="468" t="s">
        <v>552</v>
      </c>
      <c r="D1165" s="468" t="s">
        <v>515</v>
      </c>
      <c r="E1165" s="469">
        <v>137680.89000000001</v>
      </c>
      <c r="F1165" s="469">
        <v>137680.89000000001</v>
      </c>
    </row>
    <row r="1166" spans="1:6" ht="56.25">
      <c r="A1166" s="463" t="s">
        <v>656</v>
      </c>
      <c r="B1166" s="464" t="s">
        <v>943</v>
      </c>
      <c r="C1166" s="464"/>
      <c r="D1166" s="464"/>
      <c r="E1166" s="465">
        <v>851467.55</v>
      </c>
      <c r="F1166" s="465">
        <v>851467.55</v>
      </c>
    </row>
    <row r="1167" spans="1:6" ht="33.75">
      <c r="A1167" s="463" t="s">
        <v>445</v>
      </c>
      <c r="B1167" s="464" t="s">
        <v>943</v>
      </c>
      <c r="C1167" s="464" t="s">
        <v>446</v>
      </c>
      <c r="D1167" s="464"/>
      <c r="E1167" s="465">
        <v>851467.55</v>
      </c>
      <c r="F1167" s="465">
        <v>851467.55</v>
      </c>
    </row>
    <row r="1168" spans="1:6">
      <c r="A1168" s="467" t="s">
        <v>265</v>
      </c>
      <c r="B1168" s="468" t="s">
        <v>943</v>
      </c>
      <c r="C1168" s="468" t="s">
        <v>446</v>
      </c>
      <c r="D1168" s="468" t="s">
        <v>454</v>
      </c>
      <c r="E1168" s="469">
        <v>851467.55</v>
      </c>
      <c r="F1168" s="469">
        <v>851467.55</v>
      </c>
    </row>
    <row r="1169" spans="1:6" ht="56.25">
      <c r="A1169" s="463" t="s">
        <v>523</v>
      </c>
      <c r="B1169" s="464" t="s">
        <v>944</v>
      </c>
      <c r="C1169" s="464"/>
      <c r="D1169" s="464"/>
      <c r="E1169" s="465">
        <v>1148532.45</v>
      </c>
      <c r="F1169" s="465">
        <v>1148532.45</v>
      </c>
    </row>
    <row r="1170" spans="1:6" ht="33.75">
      <c r="A1170" s="463" t="s">
        <v>445</v>
      </c>
      <c r="B1170" s="464" t="s">
        <v>944</v>
      </c>
      <c r="C1170" s="464" t="s">
        <v>446</v>
      </c>
      <c r="D1170" s="464"/>
      <c r="E1170" s="465">
        <v>1148532.45</v>
      </c>
      <c r="F1170" s="465">
        <v>1148532.45</v>
      </c>
    </row>
    <row r="1171" spans="1:6" ht="22.5">
      <c r="A1171" s="467" t="s">
        <v>180</v>
      </c>
      <c r="B1171" s="468" t="s">
        <v>944</v>
      </c>
      <c r="C1171" s="468" t="s">
        <v>446</v>
      </c>
      <c r="D1171" s="468" t="s">
        <v>478</v>
      </c>
      <c r="E1171" s="469">
        <v>1148532.45</v>
      </c>
      <c r="F1171" s="469">
        <v>1148532.45</v>
      </c>
    </row>
    <row r="1172" spans="1:6" ht="56.25">
      <c r="A1172" s="463" t="s">
        <v>889</v>
      </c>
      <c r="B1172" s="464" t="s">
        <v>890</v>
      </c>
      <c r="C1172" s="464"/>
      <c r="D1172" s="464"/>
      <c r="E1172" s="465">
        <v>37900</v>
      </c>
      <c r="F1172" s="465">
        <v>0</v>
      </c>
    </row>
    <row r="1173" spans="1:6" ht="33.75">
      <c r="A1173" s="463" t="s">
        <v>445</v>
      </c>
      <c r="B1173" s="464" t="s">
        <v>890</v>
      </c>
      <c r="C1173" s="464" t="s">
        <v>446</v>
      </c>
      <c r="D1173" s="464"/>
      <c r="E1173" s="465">
        <v>37900</v>
      </c>
      <c r="F1173" s="465">
        <v>0</v>
      </c>
    </row>
    <row r="1174" spans="1:6">
      <c r="A1174" s="467" t="s">
        <v>181</v>
      </c>
      <c r="B1174" s="468" t="s">
        <v>890</v>
      </c>
      <c r="C1174" s="468" t="s">
        <v>446</v>
      </c>
      <c r="D1174" s="468" t="s">
        <v>482</v>
      </c>
      <c r="E1174" s="469">
        <v>37900</v>
      </c>
      <c r="F1174" s="469">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N257"/>
  <sheetViews>
    <sheetView zoomScaleNormal="100" workbookViewId="0">
      <selection activeCell="A3" sqref="A3"/>
    </sheetView>
  </sheetViews>
  <sheetFormatPr defaultRowHeight="12.75"/>
  <cols>
    <col min="1" max="1" width="4.42578125" style="124" customWidth="1"/>
    <col min="2" max="2" width="2.28515625" style="124" customWidth="1"/>
    <col min="3" max="3" width="3.42578125" style="124" customWidth="1"/>
    <col min="4" max="4" width="6.5703125" style="124" customWidth="1"/>
    <col min="5" max="5" width="3.42578125" style="124" bestFit="1" customWidth="1"/>
    <col min="6" max="6" width="5.5703125" style="124" customWidth="1"/>
    <col min="7" max="7" width="4.42578125" style="124" customWidth="1"/>
    <col min="8" max="8" width="66.5703125" style="124" customWidth="1"/>
    <col min="9" max="10" width="16.5703125" style="124" customWidth="1"/>
    <col min="11" max="11" width="12.140625" style="124" customWidth="1"/>
    <col min="12" max="12" width="19.85546875" style="124" customWidth="1"/>
    <col min="13" max="13" width="5.28515625" style="124" customWidth="1"/>
    <col min="14" max="14" width="18.28515625" style="124" customWidth="1"/>
    <col min="15" max="16384" width="9.140625" style="124"/>
  </cols>
  <sheetData>
    <row r="1" spans="1:14" ht="56.25" customHeight="1">
      <c r="A1" s="525"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 " 2018 года №</v>
      </c>
      <c r="B1" s="525"/>
      <c r="C1" s="525"/>
      <c r="D1" s="525"/>
      <c r="E1" s="525"/>
      <c r="F1" s="525"/>
      <c r="G1" s="525"/>
      <c r="H1" s="525"/>
      <c r="I1" s="525"/>
      <c r="J1" s="525"/>
      <c r="K1" s="525"/>
    </row>
    <row r="2" spans="1:14" ht="20.25" customHeight="1">
      <c r="A2" s="546" t="str">
        <f>"Доходы районного бюджета по кодам классификации доходов бюджетов за "&amp;год&amp;" год"</f>
        <v>Доходы районного бюджета по кодам классификации доходов бюджетов за 2017 год</v>
      </c>
      <c r="B2" s="546"/>
      <c r="C2" s="546"/>
      <c r="D2" s="546"/>
      <c r="E2" s="546"/>
      <c r="F2" s="546"/>
      <c r="G2" s="546"/>
      <c r="H2" s="546"/>
      <c r="I2" s="546"/>
      <c r="J2" s="546"/>
      <c r="K2" s="546"/>
    </row>
    <row r="3" spans="1:14">
      <c r="J3" s="125"/>
      <c r="K3" s="125" t="s">
        <v>94</v>
      </c>
    </row>
    <row r="4" spans="1:14" ht="12.75" customHeight="1">
      <c r="A4" s="548" t="s">
        <v>73</v>
      </c>
      <c r="B4" s="548"/>
      <c r="C4" s="548"/>
      <c r="D4" s="548"/>
      <c r="E4" s="548"/>
      <c r="F4" s="548"/>
      <c r="G4" s="548"/>
      <c r="H4" s="544" t="s">
        <v>72</v>
      </c>
      <c r="I4" s="547" t="s">
        <v>2456</v>
      </c>
      <c r="J4" s="547" t="s">
        <v>2457</v>
      </c>
      <c r="K4" s="547" t="s">
        <v>2194</v>
      </c>
      <c r="N4" s="124" t="s">
        <v>720</v>
      </c>
    </row>
    <row r="5" spans="1:14">
      <c r="A5" s="548"/>
      <c r="B5" s="548"/>
      <c r="C5" s="548"/>
      <c r="D5" s="548"/>
      <c r="E5" s="548"/>
      <c r="F5" s="548"/>
      <c r="G5" s="548"/>
      <c r="H5" s="544"/>
      <c r="I5" s="547"/>
      <c r="J5" s="547"/>
      <c r="K5" s="547"/>
    </row>
    <row r="6" spans="1:14" ht="304.5">
      <c r="A6" s="178" t="s">
        <v>74</v>
      </c>
      <c r="B6" s="178" t="s">
        <v>75</v>
      </c>
      <c r="C6" s="178" t="s">
        <v>76</v>
      </c>
      <c r="D6" s="179" t="s">
        <v>77</v>
      </c>
      <c r="E6" s="178" t="s">
        <v>78</v>
      </c>
      <c r="F6" s="178" t="s">
        <v>79</v>
      </c>
      <c r="G6" s="179" t="s">
        <v>80</v>
      </c>
      <c r="H6" s="549"/>
      <c r="I6" s="547"/>
      <c r="J6" s="547"/>
      <c r="K6" s="547"/>
      <c r="L6" s="126"/>
      <c r="M6" s="127"/>
    </row>
    <row r="7" spans="1:14">
      <c r="A7" s="180" t="s">
        <v>207</v>
      </c>
      <c r="B7" s="180" t="s">
        <v>324</v>
      </c>
      <c r="C7" s="180" t="s">
        <v>325</v>
      </c>
      <c r="D7" s="181" t="s">
        <v>326</v>
      </c>
      <c r="E7" s="180" t="s">
        <v>327</v>
      </c>
      <c r="F7" s="180" t="s">
        <v>328</v>
      </c>
      <c r="G7" s="181" t="s">
        <v>31</v>
      </c>
      <c r="H7" s="181"/>
      <c r="I7" s="182" t="s">
        <v>237</v>
      </c>
      <c r="J7" s="182" t="s">
        <v>35</v>
      </c>
      <c r="K7" s="182" t="s">
        <v>244</v>
      </c>
      <c r="L7" s="128"/>
      <c r="N7" s="124" t="s">
        <v>237</v>
      </c>
    </row>
    <row r="8" spans="1:14">
      <c r="A8" s="187" t="s">
        <v>197</v>
      </c>
      <c r="B8" s="187" t="s">
        <v>158</v>
      </c>
      <c r="C8" s="187" t="s">
        <v>159</v>
      </c>
      <c r="D8" s="187" t="s">
        <v>160</v>
      </c>
      <c r="E8" s="187" t="s">
        <v>159</v>
      </c>
      <c r="F8" s="187" t="s">
        <v>161</v>
      </c>
      <c r="G8" s="187" t="s">
        <v>197</v>
      </c>
      <c r="H8" s="186" t="s">
        <v>41</v>
      </c>
      <c r="I8" s="174">
        <f>I9+I18+I24+I32+I40+I45+I64+I70+I82+I94+I139</f>
        <v>395535096.94999993</v>
      </c>
      <c r="J8" s="174">
        <f>J9+J18+J24+J32+J40+J45+J64+J70+J82+J94+J139</f>
        <v>362348968.14999998</v>
      </c>
      <c r="K8" s="174">
        <f>J8/I8*100</f>
        <v>91.609814386662364</v>
      </c>
      <c r="M8" s="128"/>
      <c r="N8" s="128">
        <v>395535096.94999993</v>
      </c>
    </row>
    <row r="9" spans="1:14">
      <c r="A9" s="187" t="s">
        <v>162</v>
      </c>
      <c r="B9" s="187" t="s">
        <v>158</v>
      </c>
      <c r="C9" s="187" t="s">
        <v>163</v>
      </c>
      <c r="D9" s="187" t="s">
        <v>160</v>
      </c>
      <c r="E9" s="187" t="s">
        <v>159</v>
      </c>
      <c r="F9" s="187" t="s">
        <v>161</v>
      </c>
      <c r="G9" s="187" t="s">
        <v>197</v>
      </c>
      <c r="H9" s="186" t="s">
        <v>42</v>
      </c>
      <c r="I9" s="174">
        <f t="shared" ref="I9:J9" si="0">I10+I13</f>
        <v>227422479.44999999</v>
      </c>
      <c r="J9" s="174">
        <f t="shared" si="0"/>
        <v>228722033.53999999</v>
      </c>
      <c r="K9" s="174">
        <f>J9/I9*100</f>
        <v>100.57142728069049</v>
      </c>
      <c r="N9" s="124">
        <v>227422479.44999999</v>
      </c>
    </row>
    <row r="10" spans="1:14">
      <c r="A10" s="187" t="s">
        <v>162</v>
      </c>
      <c r="B10" s="187" t="s">
        <v>158</v>
      </c>
      <c r="C10" s="187" t="s">
        <v>163</v>
      </c>
      <c r="D10" s="187" t="s">
        <v>164</v>
      </c>
      <c r="E10" s="187" t="s">
        <v>159</v>
      </c>
      <c r="F10" s="187" t="s">
        <v>161</v>
      </c>
      <c r="G10" s="187" t="s">
        <v>165</v>
      </c>
      <c r="H10" s="186" t="s">
        <v>1456</v>
      </c>
      <c r="I10" s="174">
        <f t="shared" ref="I10:J11" si="1">I11</f>
        <v>25500000</v>
      </c>
      <c r="J10" s="174">
        <f t="shared" si="1"/>
        <v>27004861.949999999</v>
      </c>
      <c r="K10" s="174">
        <f t="shared" ref="K10:K73" si="2">J10/I10*100</f>
        <v>105.90141941176469</v>
      </c>
      <c r="N10" s="124">
        <v>25500000</v>
      </c>
    </row>
    <row r="11" spans="1:14" ht="38.25">
      <c r="A11" s="187" t="s">
        <v>162</v>
      </c>
      <c r="B11" s="187" t="s">
        <v>158</v>
      </c>
      <c r="C11" s="187" t="s">
        <v>163</v>
      </c>
      <c r="D11" s="187" t="s">
        <v>269</v>
      </c>
      <c r="E11" s="187" t="s">
        <v>159</v>
      </c>
      <c r="F11" s="187" t="s">
        <v>161</v>
      </c>
      <c r="G11" s="187" t="s">
        <v>165</v>
      </c>
      <c r="H11" s="186" t="s">
        <v>268</v>
      </c>
      <c r="I11" s="174">
        <f t="shared" si="1"/>
        <v>25500000</v>
      </c>
      <c r="J11" s="174">
        <f t="shared" si="1"/>
        <v>27004861.949999999</v>
      </c>
      <c r="K11" s="174">
        <f t="shared" si="2"/>
        <v>105.90141941176469</v>
      </c>
      <c r="N11" s="124">
        <v>25500000</v>
      </c>
    </row>
    <row r="12" spans="1:14" ht="38.25">
      <c r="A12" s="188" t="s">
        <v>162</v>
      </c>
      <c r="B12" s="188" t="s">
        <v>158</v>
      </c>
      <c r="C12" s="188" t="s">
        <v>163</v>
      </c>
      <c r="D12" s="188" t="s">
        <v>270</v>
      </c>
      <c r="E12" s="188" t="s">
        <v>271</v>
      </c>
      <c r="F12" s="188" t="s">
        <v>161</v>
      </c>
      <c r="G12" s="188" t="s">
        <v>165</v>
      </c>
      <c r="H12" s="9" t="s">
        <v>1449</v>
      </c>
      <c r="I12" s="175">
        <f>5500000+20000000</f>
        <v>25500000</v>
      </c>
      <c r="J12" s="175">
        <v>27004861.949999999</v>
      </c>
      <c r="K12" s="174">
        <f t="shared" si="2"/>
        <v>105.90141941176469</v>
      </c>
      <c r="N12" s="124">
        <v>25500000</v>
      </c>
    </row>
    <row r="13" spans="1:14">
      <c r="A13" s="187" t="s">
        <v>162</v>
      </c>
      <c r="B13" s="187" t="s">
        <v>158</v>
      </c>
      <c r="C13" s="187" t="s">
        <v>163</v>
      </c>
      <c r="D13" s="187" t="s">
        <v>272</v>
      </c>
      <c r="E13" s="187" t="s">
        <v>163</v>
      </c>
      <c r="F13" s="187" t="s">
        <v>161</v>
      </c>
      <c r="G13" s="187" t="s">
        <v>165</v>
      </c>
      <c r="H13" s="186" t="s">
        <v>1457</v>
      </c>
      <c r="I13" s="174">
        <f>I14+I15+I16+I17</f>
        <v>201922479.44999999</v>
      </c>
      <c r="J13" s="174">
        <f t="shared" ref="J13" si="3">J14+J15+J16+J17</f>
        <v>201717171.59</v>
      </c>
      <c r="K13" s="174">
        <f t="shared" si="2"/>
        <v>99.898323425623929</v>
      </c>
      <c r="N13" s="124">
        <v>201922479.44999999</v>
      </c>
    </row>
    <row r="14" spans="1:14" ht="51">
      <c r="A14" s="188" t="s">
        <v>162</v>
      </c>
      <c r="B14" s="188" t="s">
        <v>158</v>
      </c>
      <c r="C14" s="188" t="s">
        <v>163</v>
      </c>
      <c r="D14" s="188" t="s">
        <v>273</v>
      </c>
      <c r="E14" s="188" t="s">
        <v>163</v>
      </c>
      <c r="F14" s="188" t="s">
        <v>161</v>
      </c>
      <c r="G14" s="188" t="s">
        <v>165</v>
      </c>
      <c r="H14" s="303" t="s">
        <v>1450</v>
      </c>
      <c r="I14" s="175">
        <f>234550600-12762265.69-6021054.86-18000000</f>
        <v>197767279.44999999</v>
      </c>
      <c r="J14" s="175">
        <v>197171210.13999999</v>
      </c>
      <c r="K14" s="174">
        <f t="shared" si="2"/>
        <v>99.698600642301543</v>
      </c>
      <c r="N14" s="124">
        <v>197767279.44999999</v>
      </c>
    </row>
    <row r="15" spans="1:14" ht="76.5">
      <c r="A15" s="188" t="s">
        <v>162</v>
      </c>
      <c r="B15" s="188" t="s">
        <v>158</v>
      </c>
      <c r="C15" s="188" t="s">
        <v>163</v>
      </c>
      <c r="D15" s="188" t="s">
        <v>274</v>
      </c>
      <c r="E15" s="188" t="s">
        <v>163</v>
      </c>
      <c r="F15" s="188" t="s">
        <v>161</v>
      </c>
      <c r="G15" s="188" t="s">
        <v>165</v>
      </c>
      <c r="H15" s="189" t="s">
        <v>314</v>
      </c>
      <c r="I15" s="175">
        <f>950000-775000</f>
        <v>175000</v>
      </c>
      <c r="J15" s="175">
        <v>192405.8</v>
      </c>
      <c r="K15" s="174">
        <f t="shared" si="2"/>
        <v>109.94617142857142</v>
      </c>
      <c r="N15" s="124">
        <v>175000</v>
      </c>
    </row>
    <row r="16" spans="1:14" ht="25.5">
      <c r="A16" s="188" t="s">
        <v>162</v>
      </c>
      <c r="B16" s="188" t="s">
        <v>158</v>
      </c>
      <c r="C16" s="188" t="s">
        <v>163</v>
      </c>
      <c r="D16" s="188" t="s">
        <v>313</v>
      </c>
      <c r="E16" s="188" t="s">
        <v>163</v>
      </c>
      <c r="F16" s="188" t="s">
        <v>161</v>
      </c>
      <c r="G16" s="188" t="s">
        <v>165</v>
      </c>
      <c r="H16" s="189" t="s">
        <v>315</v>
      </c>
      <c r="I16" s="175">
        <f>655200-375000</f>
        <v>280200</v>
      </c>
      <c r="J16" s="175">
        <v>281156.87</v>
      </c>
      <c r="K16" s="174">
        <f t="shared" si="2"/>
        <v>100.34149536045682</v>
      </c>
      <c r="N16" s="124">
        <v>280200</v>
      </c>
    </row>
    <row r="17" spans="1:14" ht="63.75">
      <c r="A17" s="188" t="s">
        <v>162</v>
      </c>
      <c r="B17" s="188" t="s">
        <v>158</v>
      </c>
      <c r="C17" s="188" t="s">
        <v>163</v>
      </c>
      <c r="D17" s="188" t="s">
        <v>791</v>
      </c>
      <c r="E17" s="188" t="s">
        <v>163</v>
      </c>
      <c r="F17" s="188" t="s">
        <v>161</v>
      </c>
      <c r="G17" s="188" t="s">
        <v>165</v>
      </c>
      <c r="H17" s="189" t="s">
        <v>1451</v>
      </c>
      <c r="I17" s="175">
        <f>2000000+1700000</f>
        <v>3700000</v>
      </c>
      <c r="J17" s="175">
        <v>4072398.78</v>
      </c>
      <c r="K17" s="174">
        <f t="shared" si="2"/>
        <v>110.06483189189188</v>
      </c>
      <c r="N17" s="124">
        <v>3700000</v>
      </c>
    </row>
    <row r="18" spans="1:14" ht="25.5">
      <c r="A18" s="187" t="s">
        <v>330</v>
      </c>
      <c r="B18" s="187" t="s">
        <v>158</v>
      </c>
      <c r="C18" s="187" t="s">
        <v>283</v>
      </c>
      <c r="D18" s="187" t="s">
        <v>160</v>
      </c>
      <c r="E18" s="187" t="s">
        <v>159</v>
      </c>
      <c r="F18" s="187" t="s">
        <v>161</v>
      </c>
      <c r="G18" s="187" t="s">
        <v>197</v>
      </c>
      <c r="H18" s="304" t="s">
        <v>1458</v>
      </c>
      <c r="I18" s="174">
        <f>I19</f>
        <v>32700</v>
      </c>
      <c r="J18" s="174">
        <f t="shared" ref="J18" si="4">J19</f>
        <v>29232.219999999998</v>
      </c>
      <c r="K18" s="174">
        <f t="shared" si="2"/>
        <v>89.395168195718639</v>
      </c>
      <c r="N18" s="124">
        <v>32700</v>
      </c>
    </row>
    <row r="19" spans="1:14" ht="25.5">
      <c r="A19" s="187" t="s">
        <v>330</v>
      </c>
      <c r="B19" s="187" t="s">
        <v>158</v>
      </c>
      <c r="C19" s="187" t="s">
        <v>283</v>
      </c>
      <c r="D19" s="187" t="s">
        <v>272</v>
      </c>
      <c r="E19" s="187" t="s">
        <v>163</v>
      </c>
      <c r="F19" s="187" t="s">
        <v>161</v>
      </c>
      <c r="G19" s="187" t="s">
        <v>165</v>
      </c>
      <c r="H19" s="304" t="s">
        <v>329</v>
      </c>
      <c r="I19" s="174">
        <f>SUM(I20:I23)</f>
        <v>32700</v>
      </c>
      <c r="J19" s="174">
        <f>SUM(J20:J23)</f>
        <v>29232.219999999998</v>
      </c>
      <c r="K19" s="174">
        <f t="shared" si="2"/>
        <v>89.395168195718639</v>
      </c>
      <c r="N19" s="124">
        <v>32700</v>
      </c>
    </row>
    <row r="20" spans="1:14" ht="51">
      <c r="A20" s="188" t="s">
        <v>330</v>
      </c>
      <c r="B20" s="188" t="s">
        <v>158</v>
      </c>
      <c r="C20" s="188" t="s">
        <v>283</v>
      </c>
      <c r="D20" s="188" t="s">
        <v>332</v>
      </c>
      <c r="E20" s="188" t="s">
        <v>163</v>
      </c>
      <c r="F20" s="188" t="s">
        <v>161</v>
      </c>
      <c r="G20" s="188" t="s">
        <v>165</v>
      </c>
      <c r="H20" s="189" t="s">
        <v>331</v>
      </c>
      <c r="I20" s="175">
        <v>13000</v>
      </c>
      <c r="J20" s="175">
        <v>12011.46</v>
      </c>
      <c r="K20" s="174">
        <f t="shared" si="2"/>
        <v>92.395846153846151</v>
      </c>
      <c r="N20" s="124">
        <v>13000</v>
      </c>
    </row>
    <row r="21" spans="1:14" ht="63.75">
      <c r="A21" s="188" t="s">
        <v>330</v>
      </c>
      <c r="B21" s="188" t="s">
        <v>158</v>
      </c>
      <c r="C21" s="188" t="s">
        <v>283</v>
      </c>
      <c r="D21" s="188" t="s">
        <v>334</v>
      </c>
      <c r="E21" s="188" t="s">
        <v>163</v>
      </c>
      <c r="F21" s="188" t="s">
        <v>161</v>
      </c>
      <c r="G21" s="188" t="s">
        <v>165</v>
      </c>
      <c r="H21" s="189" t="s">
        <v>333</v>
      </c>
      <c r="I21" s="175">
        <v>200</v>
      </c>
      <c r="J21" s="175">
        <v>121.97</v>
      </c>
      <c r="K21" s="174">
        <f t="shared" si="2"/>
        <v>60.984999999999999</v>
      </c>
      <c r="N21" s="124">
        <v>200</v>
      </c>
    </row>
    <row r="22" spans="1:14" ht="63.75">
      <c r="A22" s="188" t="s">
        <v>330</v>
      </c>
      <c r="B22" s="188" t="s">
        <v>158</v>
      </c>
      <c r="C22" s="188" t="s">
        <v>283</v>
      </c>
      <c r="D22" s="188" t="s">
        <v>336</v>
      </c>
      <c r="E22" s="188" t="s">
        <v>163</v>
      </c>
      <c r="F22" s="188" t="s">
        <v>161</v>
      </c>
      <c r="G22" s="188" t="s">
        <v>165</v>
      </c>
      <c r="H22" s="189" t="s">
        <v>335</v>
      </c>
      <c r="I22" s="175">
        <v>22300</v>
      </c>
      <c r="J22" s="175">
        <v>19425.16</v>
      </c>
      <c r="K22" s="174">
        <f t="shared" si="2"/>
        <v>87.108340807174883</v>
      </c>
      <c r="N22" s="124">
        <v>22300</v>
      </c>
    </row>
    <row r="23" spans="1:14" ht="63.75">
      <c r="A23" s="188" t="s">
        <v>330</v>
      </c>
      <c r="B23" s="188" t="s">
        <v>158</v>
      </c>
      <c r="C23" s="188" t="s">
        <v>283</v>
      </c>
      <c r="D23" s="188" t="s">
        <v>338</v>
      </c>
      <c r="E23" s="188" t="s">
        <v>163</v>
      </c>
      <c r="F23" s="188" t="s">
        <v>161</v>
      </c>
      <c r="G23" s="188" t="s">
        <v>165</v>
      </c>
      <c r="H23" s="9" t="s">
        <v>337</v>
      </c>
      <c r="I23" s="175">
        <v>-2800</v>
      </c>
      <c r="J23" s="175">
        <v>-2326.37</v>
      </c>
      <c r="K23" s="174">
        <f t="shared" si="2"/>
        <v>83.084642857142853</v>
      </c>
      <c r="N23" s="124">
        <v>-2800</v>
      </c>
    </row>
    <row r="24" spans="1:14">
      <c r="A24" s="187" t="s">
        <v>162</v>
      </c>
      <c r="B24" s="187" t="s">
        <v>158</v>
      </c>
      <c r="C24" s="187" t="s">
        <v>275</v>
      </c>
      <c r="D24" s="187" t="s">
        <v>160</v>
      </c>
      <c r="E24" s="187" t="s">
        <v>159</v>
      </c>
      <c r="F24" s="187" t="s">
        <v>161</v>
      </c>
      <c r="G24" s="187" t="s">
        <v>197</v>
      </c>
      <c r="H24" s="186" t="s">
        <v>116</v>
      </c>
      <c r="I24" s="174">
        <f>I25+I28+I30</f>
        <v>28159761</v>
      </c>
      <c r="J24" s="174">
        <f t="shared" ref="J24" si="5">J25+J28+J31</f>
        <v>27790676.830000002</v>
      </c>
      <c r="K24" s="174">
        <f t="shared" si="2"/>
        <v>98.689320658651909</v>
      </c>
      <c r="N24" s="124">
        <v>28159761</v>
      </c>
    </row>
    <row r="25" spans="1:14" ht="25.5">
      <c r="A25" s="187" t="s">
        <v>162</v>
      </c>
      <c r="B25" s="187" t="s">
        <v>158</v>
      </c>
      <c r="C25" s="187" t="s">
        <v>275</v>
      </c>
      <c r="D25" s="187" t="s">
        <v>272</v>
      </c>
      <c r="E25" s="187" t="s">
        <v>271</v>
      </c>
      <c r="F25" s="187" t="s">
        <v>161</v>
      </c>
      <c r="G25" s="187" t="s">
        <v>165</v>
      </c>
      <c r="H25" s="198" t="s">
        <v>117</v>
      </c>
      <c r="I25" s="174">
        <f t="shared" ref="I25" si="6">SUM(I26:I26)</f>
        <v>28070000</v>
      </c>
      <c r="J25" s="174">
        <f>SUM(J26:J27)</f>
        <v>27700915.330000002</v>
      </c>
      <c r="K25" s="174">
        <f t="shared" si="2"/>
        <v>98.685127645172784</v>
      </c>
      <c r="N25" s="124">
        <v>28070000</v>
      </c>
    </row>
    <row r="26" spans="1:14">
      <c r="A26" s="188" t="s">
        <v>162</v>
      </c>
      <c r="B26" s="188" t="s">
        <v>158</v>
      </c>
      <c r="C26" s="188" t="s">
        <v>275</v>
      </c>
      <c r="D26" s="188" t="s">
        <v>273</v>
      </c>
      <c r="E26" s="188" t="s">
        <v>271</v>
      </c>
      <c r="F26" s="188" t="s">
        <v>161</v>
      </c>
      <c r="G26" s="188" t="s">
        <v>165</v>
      </c>
      <c r="H26" s="9" t="s">
        <v>117</v>
      </c>
      <c r="I26" s="175">
        <v>28070000</v>
      </c>
      <c r="J26" s="175">
        <v>27669414.140000001</v>
      </c>
      <c r="K26" s="174">
        <f t="shared" si="2"/>
        <v>98.57290395439972</v>
      </c>
      <c r="N26" s="124">
        <v>28070000</v>
      </c>
    </row>
    <row r="27" spans="1:14" ht="25.5">
      <c r="A27" s="188" t="s">
        <v>162</v>
      </c>
      <c r="B27" s="188" t="s">
        <v>158</v>
      </c>
      <c r="C27" s="188" t="s">
        <v>275</v>
      </c>
      <c r="D27" s="188" t="s">
        <v>274</v>
      </c>
      <c r="E27" s="188" t="s">
        <v>271</v>
      </c>
      <c r="F27" s="188" t="s">
        <v>161</v>
      </c>
      <c r="G27" s="188" t="s">
        <v>165</v>
      </c>
      <c r="H27" s="9" t="s">
        <v>2250</v>
      </c>
      <c r="I27" s="175">
        <v>0</v>
      </c>
      <c r="J27" s="175">
        <v>31501.19</v>
      </c>
      <c r="K27" s="174"/>
    </row>
    <row r="28" spans="1:14">
      <c r="A28" s="187" t="s">
        <v>162</v>
      </c>
      <c r="B28" s="187" t="s">
        <v>158</v>
      </c>
      <c r="C28" s="187" t="s">
        <v>275</v>
      </c>
      <c r="D28" s="187" t="s">
        <v>40</v>
      </c>
      <c r="E28" s="187" t="s">
        <v>163</v>
      </c>
      <c r="F28" s="187" t="s">
        <v>161</v>
      </c>
      <c r="G28" s="187" t="s">
        <v>165</v>
      </c>
      <c r="H28" s="186" t="s">
        <v>26</v>
      </c>
      <c r="I28" s="174">
        <f>I29</f>
        <v>10812</v>
      </c>
      <c r="J28" s="174">
        <f>J29</f>
        <v>10812.5</v>
      </c>
      <c r="K28" s="174">
        <f t="shared" si="2"/>
        <v>100.00462449130596</v>
      </c>
      <c r="N28" s="124">
        <v>10812</v>
      </c>
    </row>
    <row r="29" spans="1:14">
      <c r="A29" s="188" t="s">
        <v>162</v>
      </c>
      <c r="B29" s="188" t="s">
        <v>158</v>
      </c>
      <c r="C29" s="188" t="s">
        <v>275</v>
      </c>
      <c r="D29" s="188" t="s">
        <v>250</v>
      </c>
      <c r="E29" s="188" t="s">
        <v>163</v>
      </c>
      <c r="F29" s="188" t="s">
        <v>161</v>
      </c>
      <c r="G29" s="188" t="s">
        <v>165</v>
      </c>
      <c r="H29" s="9" t="s">
        <v>26</v>
      </c>
      <c r="I29" s="175">
        <f>9500+1312</f>
        <v>10812</v>
      </c>
      <c r="J29" s="175">
        <v>10812.5</v>
      </c>
      <c r="K29" s="174">
        <f t="shared" si="2"/>
        <v>100.00462449130596</v>
      </c>
      <c r="N29" s="124">
        <v>10812</v>
      </c>
    </row>
    <row r="30" spans="1:14" ht="25.5">
      <c r="A30" s="187" t="s">
        <v>162</v>
      </c>
      <c r="B30" s="187" t="s">
        <v>158</v>
      </c>
      <c r="C30" s="187" t="s">
        <v>275</v>
      </c>
      <c r="D30" s="187" t="s">
        <v>29</v>
      </c>
      <c r="E30" s="187" t="s">
        <v>271</v>
      </c>
      <c r="F30" s="187" t="s">
        <v>161</v>
      </c>
      <c r="G30" s="187" t="s">
        <v>165</v>
      </c>
      <c r="H30" s="186" t="s">
        <v>801</v>
      </c>
      <c r="I30" s="174">
        <f>I31</f>
        <v>78949</v>
      </c>
      <c r="J30" s="174">
        <f t="shared" ref="J30" si="7">J31</f>
        <v>78949</v>
      </c>
      <c r="K30" s="174">
        <f t="shared" si="2"/>
        <v>100</v>
      </c>
      <c r="N30" s="124">
        <v>78949</v>
      </c>
    </row>
    <row r="31" spans="1:14" ht="38.25">
      <c r="A31" s="187" t="s">
        <v>162</v>
      </c>
      <c r="B31" s="187" t="s">
        <v>158</v>
      </c>
      <c r="C31" s="187" t="s">
        <v>275</v>
      </c>
      <c r="D31" s="190" t="s">
        <v>340</v>
      </c>
      <c r="E31" s="187" t="s">
        <v>271</v>
      </c>
      <c r="F31" s="187" t="s">
        <v>161</v>
      </c>
      <c r="G31" s="187" t="s">
        <v>165</v>
      </c>
      <c r="H31" s="186" t="s">
        <v>339</v>
      </c>
      <c r="I31" s="175">
        <f>75190+3759</f>
        <v>78949</v>
      </c>
      <c r="J31" s="175">
        <v>78949</v>
      </c>
      <c r="K31" s="174">
        <f t="shared" si="2"/>
        <v>100</v>
      </c>
      <c r="N31" s="124">
        <v>78949</v>
      </c>
    </row>
    <row r="32" spans="1:14">
      <c r="A32" s="187" t="s">
        <v>162</v>
      </c>
      <c r="B32" s="187" t="s">
        <v>158</v>
      </c>
      <c r="C32" s="187" t="s">
        <v>276</v>
      </c>
      <c r="D32" s="190" t="s">
        <v>160</v>
      </c>
      <c r="E32" s="187" t="s">
        <v>159</v>
      </c>
      <c r="F32" s="187" t="s">
        <v>161</v>
      </c>
      <c r="G32" s="187" t="s">
        <v>197</v>
      </c>
      <c r="H32" s="186" t="s">
        <v>118</v>
      </c>
      <c r="I32" s="174">
        <f t="shared" ref="I32:J32" si="8">I35+I33</f>
        <v>577660</v>
      </c>
      <c r="J32" s="174">
        <f t="shared" si="8"/>
        <v>571044.91</v>
      </c>
      <c r="K32" s="174">
        <f t="shared" si="2"/>
        <v>98.854847141917404</v>
      </c>
      <c r="N32" s="124">
        <v>577660</v>
      </c>
    </row>
    <row r="33" spans="1:14">
      <c r="A33" s="187" t="s">
        <v>162</v>
      </c>
      <c r="B33" s="187" t="s">
        <v>158</v>
      </c>
      <c r="C33" s="187" t="s">
        <v>276</v>
      </c>
      <c r="D33" s="190" t="s">
        <v>164</v>
      </c>
      <c r="E33" s="187" t="s">
        <v>159</v>
      </c>
      <c r="F33" s="187" t="s">
        <v>161</v>
      </c>
      <c r="G33" s="187" t="s">
        <v>165</v>
      </c>
      <c r="H33" s="186" t="s">
        <v>288</v>
      </c>
      <c r="I33" s="174">
        <f t="shared" ref="I33:J33" si="9">I34</f>
        <v>3000</v>
      </c>
      <c r="J33" s="174">
        <f t="shared" si="9"/>
        <v>3074.16</v>
      </c>
      <c r="K33" s="174">
        <f t="shared" si="2"/>
        <v>102.47199999999998</v>
      </c>
      <c r="N33" s="124">
        <v>3000</v>
      </c>
    </row>
    <row r="34" spans="1:14" ht="38.25">
      <c r="A34" s="188" t="s">
        <v>162</v>
      </c>
      <c r="B34" s="188" t="s">
        <v>158</v>
      </c>
      <c r="C34" s="188" t="s">
        <v>276</v>
      </c>
      <c r="D34" s="191" t="s">
        <v>290</v>
      </c>
      <c r="E34" s="188" t="s">
        <v>275</v>
      </c>
      <c r="F34" s="188" t="s">
        <v>161</v>
      </c>
      <c r="G34" s="188" t="s">
        <v>165</v>
      </c>
      <c r="H34" s="9" t="s">
        <v>289</v>
      </c>
      <c r="I34" s="175">
        <f>5000-2000</f>
        <v>3000</v>
      </c>
      <c r="J34" s="175">
        <v>3074.16</v>
      </c>
      <c r="K34" s="174">
        <f t="shared" si="2"/>
        <v>102.47199999999998</v>
      </c>
      <c r="N34" s="124">
        <v>3000</v>
      </c>
    </row>
    <row r="35" spans="1:14">
      <c r="A35" s="187" t="s">
        <v>162</v>
      </c>
      <c r="B35" s="187" t="s">
        <v>158</v>
      </c>
      <c r="C35" s="187" t="s">
        <v>276</v>
      </c>
      <c r="D35" s="190" t="s">
        <v>277</v>
      </c>
      <c r="E35" s="187" t="s">
        <v>159</v>
      </c>
      <c r="F35" s="187" t="s">
        <v>161</v>
      </c>
      <c r="G35" s="187" t="s">
        <v>165</v>
      </c>
      <c r="H35" s="186" t="s">
        <v>119</v>
      </c>
      <c r="I35" s="174">
        <f>I36+I38</f>
        <v>574660</v>
      </c>
      <c r="J35" s="174">
        <f>J36+J38</f>
        <v>567970.75</v>
      </c>
      <c r="K35" s="174">
        <f t="shared" si="2"/>
        <v>98.835963874290883</v>
      </c>
      <c r="N35" s="124">
        <v>574660</v>
      </c>
    </row>
    <row r="36" spans="1:14">
      <c r="A36" s="187" t="s">
        <v>162</v>
      </c>
      <c r="B36" s="187" t="s">
        <v>158</v>
      </c>
      <c r="C36" s="187" t="s">
        <v>276</v>
      </c>
      <c r="D36" s="190" t="s">
        <v>1453</v>
      </c>
      <c r="E36" s="187" t="s">
        <v>159</v>
      </c>
      <c r="F36" s="187" t="s">
        <v>161</v>
      </c>
      <c r="G36" s="187" t="s">
        <v>165</v>
      </c>
      <c r="H36" s="186" t="s">
        <v>1452</v>
      </c>
      <c r="I36" s="174">
        <f>I37</f>
        <v>311970</v>
      </c>
      <c r="J36" s="174">
        <f t="shared" ref="J36" si="10">J37</f>
        <v>303463.51</v>
      </c>
      <c r="K36" s="174">
        <f t="shared" si="2"/>
        <v>97.273298714619997</v>
      </c>
      <c r="N36" s="124">
        <v>311970</v>
      </c>
    </row>
    <row r="37" spans="1:14" ht="25.5">
      <c r="A37" s="188" t="s">
        <v>162</v>
      </c>
      <c r="B37" s="188" t="s">
        <v>158</v>
      </c>
      <c r="C37" s="188" t="s">
        <v>276</v>
      </c>
      <c r="D37" s="191" t="s">
        <v>788</v>
      </c>
      <c r="E37" s="188" t="s">
        <v>275</v>
      </c>
      <c r="F37" s="188" t="s">
        <v>161</v>
      </c>
      <c r="G37" s="188" t="s">
        <v>165</v>
      </c>
      <c r="H37" s="9" t="s">
        <v>787</v>
      </c>
      <c r="I37" s="175">
        <f>116970+195000</f>
        <v>311970</v>
      </c>
      <c r="J37" s="175">
        <v>303463.51</v>
      </c>
      <c r="K37" s="174">
        <f t="shared" si="2"/>
        <v>97.273298714619997</v>
      </c>
      <c r="N37" s="124">
        <v>311970</v>
      </c>
    </row>
    <row r="38" spans="1:14">
      <c r="A38" s="187" t="s">
        <v>162</v>
      </c>
      <c r="B38" s="187" t="s">
        <v>158</v>
      </c>
      <c r="C38" s="187" t="s">
        <v>276</v>
      </c>
      <c r="D38" s="190" t="s">
        <v>1455</v>
      </c>
      <c r="E38" s="187" t="s">
        <v>159</v>
      </c>
      <c r="F38" s="187" t="s">
        <v>161</v>
      </c>
      <c r="G38" s="187" t="s">
        <v>165</v>
      </c>
      <c r="H38" s="186" t="s">
        <v>1454</v>
      </c>
      <c r="I38" s="174">
        <f>I39</f>
        <v>262690</v>
      </c>
      <c r="J38" s="174">
        <f t="shared" ref="J38" si="11">J39</f>
        <v>264507.24</v>
      </c>
      <c r="K38" s="174">
        <f t="shared" si="2"/>
        <v>100.69178118695039</v>
      </c>
      <c r="N38" s="124">
        <v>262690</v>
      </c>
    </row>
    <row r="39" spans="1:14" ht="38.25">
      <c r="A39" s="188" t="s">
        <v>162</v>
      </c>
      <c r="B39" s="188" t="s">
        <v>158</v>
      </c>
      <c r="C39" s="188" t="s">
        <v>276</v>
      </c>
      <c r="D39" s="188" t="s">
        <v>789</v>
      </c>
      <c r="E39" s="188" t="s">
        <v>275</v>
      </c>
      <c r="F39" s="188" t="s">
        <v>161</v>
      </c>
      <c r="G39" s="188" t="s">
        <v>165</v>
      </c>
      <c r="H39" s="9" t="s">
        <v>790</v>
      </c>
      <c r="I39" s="175">
        <f>33690+229000</f>
        <v>262690</v>
      </c>
      <c r="J39" s="175">
        <v>264507.24</v>
      </c>
      <c r="K39" s="174">
        <f t="shared" si="2"/>
        <v>100.69178118695039</v>
      </c>
      <c r="N39" s="124">
        <v>262690</v>
      </c>
    </row>
    <row r="40" spans="1:14">
      <c r="A40" s="187" t="s">
        <v>197</v>
      </c>
      <c r="B40" s="187" t="s">
        <v>158</v>
      </c>
      <c r="C40" s="187" t="s">
        <v>39</v>
      </c>
      <c r="D40" s="187" t="s">
        <v>160</v>
      </c>
      <c r="E40" s="187" t="s">
        <v>159</v>
      </c>
      <c r="F40" s="187" t="s">
        <v>161</v>
      </c>
      <c r="G40" s="187" t="s">
        <v>197</v>
      </c>
      <c r="H40" s="186" t="s">
        <v>27</v>
      </c>
      <c r="I40" s="174">
        <f>I41+I43</f>
        <v>4270450</v>
      </c>
      <c r="J40" s="174">
        <f>J41+J43</f>
        <v>4374092.9400000004</v>
      </c>
      <c r="K40" s="174">
        <f t="shared" si="2"/>
        <v>102.42697935814729</v>
      </c>
      <c r="N40" s="124">
        <v>4270450</v>
      </c>
    </row>
    <row r="41" spans="1:14" ht="25.5">
      <c r="A41" s="187" t="s">
        <v>197</v>
      </c>
      <c r="B41" s="187" t="s">
        <v>158</v>
      </c>
      <c r="C41" s="187" t="s">
        <v>39</v>
      </c>
      <c r="D41" s="187" t="s">
        <v>40</v>
      </c>
      <c r="E41" s="187" t="s">
        <v>163</v>
      </c>
      <c r="F41" s="187" t="s">
        <v>161</v>
      </c>
      <c r="G41" s="187" t="s">
        <v>165</v>
      </c>
      <c r="H41" s="186" t="s">
        <v>120</v>
      </c>
      <c r="I41" s="174">
        <f t="shared" ref="I41:J41" si="12">I42</f>
        <v>4220450</v>
      </c>
      <c r="J41" s="174">
        <f t="shared" si="12"/>
        <v>4324092.9400000004</v>
      </c>
      <c r="K41" s="174">
        <f t="shared" si="2"/>
        <v>102.45573197170918</v>
      </c>
      <c r="N41" s="124">
        <v>4220450</v>
      </c>
    </row>
    <row r="42" spans="1:14" ht="38.25">
      <c r="A42" s="188" t="s">
        <v>162</v>
      </c>
      <c r="B42" s="188" t="s">
        <v>158</v>
      </c>
      <c r="C42" s="188" t="s">
        <v>39</v>
      </c>
      <c r="D42" s="188" t="s">
        <v>250</v>
      </c>
      <c r="E42" s="188" t="s">
        <v>163</v>
      </c>
      <c r="F42" s="188" t="s">
        <v>161</v>
      </c>
      <c r="G42" s="188" t="s">
        <v>165</v>
      </c>
      <c r="H42" s="9" t="s">
        <v>1459</v>
      </c>
      <c r="I42" s="175">
        <f>5620450-1400000</f>
        <v>4220450</v>
      </c>
      <c r="J42" s="175">
        <v>4324092.9400000004</v>
      </c>
      <c r="K42" s="174">
        <f t="shared" si="2"/>
        <v>102.45573197170918</v>
      </c>
      <c r="N42" s="124">
        <v>4220450</v>
      </c>
    </row>
    <row r="43" spans="1:14" ht="25.5">
      <c r="A43" s="188" t="s">
        <v>197</v>
      </c>
      <c r="B43" s="188" t="s">
        <v>158</v>
      </c>
      <c r="C43" s="188" t="s">
        <v>39</v>
      </c>
      <c r="D43" s="188" t="s">
        <v>251</v>
      </c>
      <c r="E43" s="188" t="s">
        <v>163</v>
      </c>
      <c r="F43" s="188" t="s">
        <v>161</v>
      </c>
      <c r="G43" s="188" t="s">
        <v>165</v>
      </c>
      <c r="H43" s="186" t="s">
        <v>2014</v>
      </c>
      <c r="I43" s="174">
        <f>I44</f>
        <v>50000</v>
      </c>
      <c r="J43" s="174">
        <f>J44</f>
        <v>50000</v>
      </c>
      <c r="K43" s="174">
        <f t="shared" si="2"/>
        <v>100</v>
      </c>
      <c r="N43" s="124">
        <v>50000</v>
      </c>
    </row>
    <row r="44" spans="1:14" ht="24.75" customHeight="1">
      <c r="A44" s="188" t="s">
        <v>5</v>
      </c>
      <c r="B44" s="188" t="s">
        <v>158</v>
      </c>
      <c r="C44" s="188" t="s">
        <v>39</v>
      </c>
      <c r="D44" s="188" t="s">
        <v>2016</v>
      </c>
      <c r="E44" s="188" t="s">
        <v>163</v>
      </c>
      <c r="F44" s="188" t="s">
        <v>161</v>
      </c>
      <c r="G44" s="188" t="s">
        <v>165</v>
      </c>
      <c r="H44" s="9" t="s">
        <v>2015</v>
      </c>
      <c r="I44" s="175">
        <v>50000</v>
      </c>
      <c r="J44" s="175">
        <v>50000</v>
      </c>
      <c r="K44" s="174">
        <f t="shared" si="2"/>
        <v>100</v>
      </c>
      <c r="N44" s="124">
        <v>50000</v>
      </c>
    </row>
    <row r="45" spans="1:14" ht="25.5">
      <c r="A45" s="187" t="s">
        <v>197</v>
      </c>
      <c r="B45" s="187" t="s">
        <v>158</v>
      </c>
      <c r="C45" s="187" t="s">
        <v>35</v>
      </c>
      <c r="D45" s="190" t="s">
        <v>160</v>
      </c>
      <c r="E45" s="187" t="s">
        <v>159</v>
      </c>
      <c r="F45" s="187" t="s">
        <v>161</v>
      </c>
      <c r="G45" s="187" t="s">
        <v>197</v>
      </c>
      <c r="H45" s="186" t="s">
        <v>129</v>
      </c>
      <c r="I45" s="174">
        <f>I46+I58+I61</f>
        <v>71550024.870000005</v>
      </c>
      <c r="J45" s="174">
        <f t="shared" ref="J45" si="13">J46+J58+J61</f>
        <v>38565775.140000001</v>
      </c>
      <c r="K45" s="174">
        <f t="shared" si="2"/>
        <v>53.900435688276225</v>
      </c>
      <c r="N45" s="124">
        <v>71550024.870000005</v>
      </c>
    </row>
    <row r="46" spans="1:14" ht="76.5">
      <c r="A46" s="187" t="s">
        <v>197</v>
      </c>
      <c r="B46" s="187" t="s">
        <v>158</v>
      </c>
      <c r="C46" s="187" t="s">
        <v>35</v>
      </c>
      <c r="D46" s="190" t="s">
        <v>37</v>
      </c>
      <c r="E46" s="187" t="s">
        <v>159</v>
      </c>
      <c r="F46" s="187" t="s">
        <v>161</v>
      </c>
      <c r="G46" s="187" t="s">
        <v>36</v>
      </c>
      <c r="H46" s="192" t="s">
        <v>1460</v>
      </c>
      <c r="I46" s="174">
        <f t="shared" ref="I46" si="14">I47+I52+I50</f>
        <v>71423260.870000005</v>
      </c>
      <c r="J46" s="174">
        <f>J47+J52+J50+J55</f>
        <v>38439012.5</v>
      </c>
      <c r="K46" s="174">
        <f t="shared" si="2"/>
        <v>53.818618796982967</v>
      </c>
      <c r="N46" s="124">
        <v>71423260.870000005</v>
      </c>
    </row>
    <row r="47" spans="1:14" ht="51">
      <c r="A47" s="188" t="s">
        <v>197</v>
      </c>
      <c r="B47" s="188" t="s">
        <v>158</v>
      </c>
      <c r="C47" s="188" t="s">
        <v>35</v>
      </c>
      <c r="D47" s="191" t="s">
        <v>260</v>
      </c>
      <c r="E47" s="188" t="s">
        <v>159</v>
      </c>
      <c r="F47" s="188" t="s">
        <v>161</v>
      </c>
      <c r="G47" s="188" t="s">
        <v>36</v>
      </c>
      <c r="H47" s="193" t="s">
        <v>261</v>
      </c>
      <c r="I47" s="175">
        <f t="shared" ref="I47:J47" si="15">I48+I49</f>
        <v>33799130.870000005</v>
      </c>
      <c r="J47" s="175">
        <f t="shared" si="15"/>
        <v>26611711.419999998</v>
      </c>
      <c r="K47" s="174">
        <f t="shared" si="2"/>
        <v>78.734898605397177</v>
      </c>
      <c r="N47" s="124">
        <v>33799130.870000005</v>
      </c>
    </row>
    <row r="48" spans="1:14" ht="63.75">
      <c r="A48" s="188" t="s">
        <v>88</v>
      </c>
      <c r="B48" s="188" t="s">
        <v>158</v>
      </c>
      <c r="C48" s="188" t="s">
        <v>35</v>
      </c>
      <c r="D48" s="191" t="s">
        <v>291</v>
      </c>
      <c r="E48" s="188" t="s">
        <v>275</v>
      </c>
      <c r="F48" s="188" t="s">
        <v>161</v>
      </c>
      <c r="G48" s="188" t="s">
        <v>36</v>
      </c>
      <c r="H48" s="193" t="s">
        <v>1961</v>
      </c>
      <c r="I48" s="175">
        <f>2249180+33549950.87-2000000</f>
        <v>33799130.870000005</v>
      </c>
      <c r="J48" s="175">
        <v>26322169.719999999</v>
      </c>
      <c r="K48" s="174">
        <f t="shared" si="2"/>
        <v>77.878244328949492</v>
      </c>
      <c r="N48" s="124">
        <v>33799130.870000005</v>
      </c>
    </row>
    <row r="49" spans="1:14" ht="63.75">
      <c r="A49" s="188" t="s">
        <v>88</v>
      </c>
      <c r="B49" s="188" t="s">
        <v>158</v>
      </c>
      <c r="C49" s="188" t="s">
        <v>35</v>
      </c>
      <c r="D49" s="191" t="s">
        <v>291</v>
      </c>
      <c r="E49" s="188" t="s">
        <v>237</v>
      </c>
      <c r="F49" s="188" t="s">
        <v>161</v>
      </c>
      <c r="G49" s="188" t="s">
        <v>36</v>
      </c>
      <c r="H49" s="9" t="s">
        <v>1461</v>
      </c>
      <c r="I49" s="175">
        <v>0</v>
      </c>
      <c r="J49" s="175">
        <v>289541.7</v>
      </c>
      <c r="K49" s="174"/>
      <c r="N49" s="124">
        <v>0</v>
      </c>
    </row>
    <row r="50" spans="1:14" ht="63.75">
      <c r="A50" s="187" t="s">
        <v>88</v>
      </c>
      <c r="B50" s="187" t="s">
        <v>158</v>
      </c>
      <c r="C50" s="187" t="s">
        <v>35</v>
      </c>
      <c r="D50" s="190" t="s">
        <v>238</v>
      </c>
      <c r="E50" s="187" t="s">
        <v>159</v>
      </c>
      <c r="F50" s="187" t="s">
        <v>161</v>
      </c>
      <c r="G50" s="187" t="s">
        <v>36</v>
      </c>
      <c r="H50" s="186" t="s">
        <v>1462</v>
      </c>
      <c r="I50" s="174">
        <f t="shared" ref="I50:J50" si="16">I51</f>
        <v>205210</v>
      </c>
      <c r="J50" s="174">
        <f t="shared" si="16"/>
        <v>198987.61</v>
      </c>
      <c r="K50" s="174">
        <f t="shared" si="2"/>
        <v>96.967793967155586</v>
      </c>
      <c r="N50" s="124">
        <v>205210</v>
      </c>
    </row>
    <row r="51" spans="1:14" ht="63.75">
      <c r="A51" s="188" t="s">
        <v>88</v>
      </c>
      <c r="B51" s="188" t="s">
        <v>158</v>
      </c>
      <c r="C51" s="188" t="s">
        <v>35</v>
      </c>
      <c r="D51" s="191" t="s">
        <v>239</v>
      </c>
      <c r="E51" s="188" t="s">
        <v>275</v>
      </c>
      <c r="F51" s="188" t="s">
        <v>161</v>
      </c>
      <c r="G51" s="188" t="s">
        <v>36</v>
      </c>
      <c r="H51" s="9" t="s">
        <v>1463</v>
      </c>
      <c r="I51" s="175">
        <v>205210</v>
      </c>
      <c r="J51" s="175">
        <v>198987.61</v>
      </c>
      <c r="K51" s="174">
        <f t="shared" si="2"/>
        <v>96.967793967155586</v>
      </c>
      <c r="N51" s="124">
        <v>205210</v>
      </c>
    </row>
    <row r="52" spans="1:14" ht="63.75">
      <c r="A52" s="187" t="s">
        <v>197</v>
      </c>
      <c r="B52" s="187" t="s">
        <v>158</v>
      </c>
      <c r="C52" s="187" t="s">
        <v>35</v>
      </c>
      <c r="D52" s="190" t="s">
        <v>240</v>
      </c>
      <c r="E52" s="187" t="s">
        <v>159</v>
      </c>
      <c r="F52" s="187" t="s">
        <v>161</v>
      </c>
      <c r="G52" s="187" t="s">
        <v>36</v>
      </c>
      <c r="H52" s="186" t="s">
        <v>1464</v>
      </c>
      <c r="I52" s="174">
        <f t="shared" ref="I52:J52" si="17">I54+I53</f>
        <v>37418920</v>
      </c>
      <c r="J52" s="174">
        <f t="shared" si="17"/>
        <v>11628297.33</v>
      </c>
      <c r="K52" s="174">
        <f t="shared" si="2"/>
        <v>31.075983299357652</v>
      </c>
      <c r="N52" s="124">
        <v>37418920</v>
      </c>
    </row>
    <row r="53" spans="1:14" ht="51">
      <c r="A53" s="188" t="s">
        <v>5</v>
      </c>
      <c r="B53" s="188" t="s">
        <v>158</v>
      </c>
      <c r="C53" s="188" t="s">
        <v>35</v>
      </c>
      <c r="D53" s="191" t="s">
        <v>241</v>
      </c>
      <c r="E53" s="188" t="s">
        <v>275</v>
      </c>
      <c r="F53" s="188" t="s">
        <v>161</v>
      </c>
      <c r="G53" s="188" t="s">
        <v>36</v>
      </c>
      <c r="H53" s="9" t="s">
        <v>1465</v>
      </c>
      <c r="I53" s="175">
        <v>75820</v>
      </c>
      <c r="J53" s="175">
        <v>75820.320000000007</v>
      </c>
      <c r="K53" s="174">
        <f t="shared" si="2"/>
        <v>100.00042205222897</v>
      </c>
      <c r="N53" s="124">
        <v>75820</v>
      </c>
    </row>
    <row r="54" spans="1:14" ht="51">
      <c r="A54" s="188" t="s">
        <v>88</v>
      </c>
      <c r="B54" s="188" t="s">
        <v>158</v>
      </c>
      <c r="C54" s="188" t="s">
        <v>35</v>
      </c>
      <c r="D54" s="191" t="s">
        <v>241</v>
      </c>
      <c r="E54" s="188" t="s">
        <v>275</v>
      </c>
      <c r="F54" s="188" t="s">
        <v>161</v>
      </c>
      <c r="G54" s="188" t="s">
        <v>36</v>
      </c>
      <c r="H54" s="9" t="s">
        <v>1465</v>
      </c>
      <c r="I54" s="175">
        <f>28800000+8543100</f>
        <v>37343100</v>
      </c>
      <c r="J54" s="175">
        <v>11552477.01</v>
      </c>
      <c r="K54" s="174">
        <f t="shared" si="2"/>
        <v>30.936041758718481</v>
      </c>
      <c r="N54" s="124">
        <v>37343100</v>
      </c>
    </row>
    <row r="55" spans="1:14" ht="38.25">
      <c r="A55" s="188" t="s">
        <v>197</v>
      </c>
      <c r="B55" s="188" t="s">
        <v>158</v>
      </c>
      <c r="C55" s="188" t="s">
        <v>35</v>
      </c>
      <c r="D55" s="191" t="s">
        <v>2758</v>
      </c>
      <c r="E55" s="188" t="s">
        <v>159</v>
      </c>
      <c r="F55" s="188" t="s">
        <v>161</v>
      </c>
      <c r="G55" s="188" t="s">
        <v>36</v>
      </c>
      <c r="H55" s="186" t="s">
        <v>2444</v>
      </c>
      <c r="I55" s="174">
        <f>I56</f>
        <v>0</v>
      </c>
      <c r="J55" s="174">
        <f>J56</f>
        <v>16.14</v>
      </c>
      <c r="K55" s="174"/>
    </row>
    <row r="56" spans="1:14" ht="63.75">
      <c r="A56" s="188" t="s">
        <v>197</v>
      </c>
      <c r="B56" s="188" t="s">
        <v>158</v>
      </c>
      <c r="C56" s="188" t="s">
        <v>35</v>
      </c>
      <c r="D56" s="191" t="s">
        <v>2759</v>
      </c>
      <c r="E56" s="188" t="s">
        <v>159</v>
      </c>
      <c r="F56" s="188" t="s">
        <v>161</v>
      </c>
      <c r="G56" s="188" t="s">
        <v>36</v>
      </c>
      <c r="H56" s="186" t="s">
        <v>2445</v>
      </c>
      <c r="I56" s="174">
        <f>I57</f>
        <v>0</v>
      </c>
      <c r="J56" s="174">
        <f>J57</f>
        <v>16.14</v>
      </c>
      <c r="K56" s="174"/>
    </row>
    <row r="57" spans="1:14" ht="114.75">
      <c r="A57" s="188" t="s">
        <v>1032</v>
      </c>
      <c r="B57" s="188" t="s">
        <v>158</v>
      </c>
      <c r="C57" s="188" t="s">
        <v>35</v>
      </c>
      <c r="D57" s="191" t="s">
        <v>2759</v>
      </c>
      <c r="E57" s="188" t="s">
        <v>275</v>
      </c>
      <c r="F57" s="188" t="s">
        <v>161</v>
      </c>
      <c r="G57" s="188" t="s">
        <v>36</v>
      </c>
      <c r="H57" s="9" t="s">
        <v>2446</v>
      </c>
      <c r="I57" s="175"/>
      <c r="J57" s="175">
        <v>16.14</v>
      </c>
      <c r="K57" s="174"/>
    </row>
    <row r="58" spans="1:14" ht="25.5">
      <c r="A58" s="187" t="s">
        <v>88</v>
      </c>
      <c r="B58" s="187" t="s">
        <v>158</v>
      </c>
      <c r="C58" s="187" t="s">
        <v>35</v>
      </c>
      <c r="D58" s="190" t="s">
        <v>251</v>
      </c>
      <c r="E58" s="187" t="s">
        <v>159</v>
      </c>
      <c r="F58" s="187" t="s">
        <v>161</v>
      </c>
      <c r="G58" s="187" t="s">
        <v>36</v>
      </c>
      <c r="H58" s="186" t="s">
        <v>14</v>
      </c>
      <c r="I58" s="174">
        <f t="shared" ref="I58:J59" si="18">I59</f>
        <v>85264</v>
      </c>
      <c r="J58" s="174">
        <f t="shared" si="18"/>
        <v>85264</v>
      </c>
      <c r="K58" s="174">
        <f t="shared" si="2"/>
        <v>100</v>
      </c>
      <c r="N58" s="124">
        <v>85264</v>
      </c>
    </row>
    <row r="59" spans="1:14" ht="38.25">
      <c r="A59" s="187" t="s">
        <v>88</v>
      </c>
      <c r="B59" s="187" t="s">
        <v>158</v>
      </c>
      <c r="C59" s="187" t="s">
        <v>35</v>
      </c>
      <c r="D59" s="190" t="s">
        <v>242</v>
      </c>
      <c r="E59" s="187" t="s">
        <v>159</v>
      </c>
      <c r="F59" s="187" t="s">
        <v>161</v>
      </c>
      <c r="G59" s="187" t="s">
        <v>36</v>
      </c>
      <c r="H59" s="186" t="s">
        <v>15</v>
      </c>
      <c r="I59" s="174">
        <f t="shared" si="18"/>
        <v>85264</v>
      </c>
      <c r="J59" s="174">
        <f t="shared" si="18"/>
        <v>85264</v>
      </c>
      <c r="K59" s="174">
        <f t="shared" si="2"/>
        <v>100</v>
      </c>
      <c r="N59" s="124">
        <v>85264</v>
      </c>
    </row>
    <row r="60" spans="1:14" ht="38.25">
      <c r="A60" s="188" t="s">
        <v>88</v>
      </c>
      <c r="B60" s="188" t="s">
        <v>158</v>
      </c>
      <c r="C60" s="188" t="s">
        <v>35</v>
      </c>
      <c r="D60" s="191" t="s">
        <v>243</v>
      </c>
      <c r="E60" s="188" t="s">
        <v>275</v>
      </c>
      <c r="F60" s="188" t="s">
        <v>161</v>
      </c>
      <c r="G60" s="188" t="s">
        <v>36</v>
      </c>
      <c r="H60" s="9" t="s">
        <v>152</v>
      </c>
      <c r="I60" s="175">
        <f>34588+50676</f>
        <v>85264</v>
      </c>
      <c r="J60" s="175">
        <v>85264</v>
      </c>
      <c r="K60" s="174">
        <f t="shared" si="2"/>
        <v>100</v>
      </c>
      <c r="N60" s="124">
        <v>85264</v>
      </c>
    </row>
    <row r="61" spans="1:14" ht="63.75">
      <c r="A61" s="305" t="s">
        <v>88</v>
      </c>
      <c r="B61" s="305" t="s">
        <v>158</v>
      </c>
      <c r="C61" s="305" t="s">
        <v>35</v>
      </c>
      <c r="D61" s="306" t="s">
        <v>803</v>
      </c>
      <c r="E61" s="305" t="s">
        <v>275</v>
      </c>
      <c r="F61" s="305" t="s">
        <v>161</v>
      </c>
      <c r="G61" s="305" t="s">
        <v>36</v>
      </c>
      <c r="H61" s="186" t="s">
        <v>802</v>
      </c>
      <c r="I61" s="174">
        <f>I62</f>
        <v>41500</v>
      </c>
      <c r="J61" s="174">
        <f t="shared" ref="J61:J62" si="19">J62</f>
        <v>41498.639999999999</v>
      </c>
      <c r="K61" s="174">
        <f t="shared" si="2"/>
        <v>99.996722891566264</v>
      </c>
      <c r="N61" s="124">
        <v>41500</v>
      </c>
    </row>
    <row r="62" spans="1:14" ht="63.75">
      <c r="A62" s="305" t="s">
        <v>88</v>
      </c>
      <c r="B62" s="305" t="s">
        <v>158</v>
      </c>
      <c r="C62" s="305" t="s">
        <v>35</v>
      </c>
      <c r="D62" s="306" t="s">
        <v>805</v>
      </c>
      <c r="E62" s="305" t="s">
        <v>159</v>
      </c>
      <c r="F62" s="305" t="s">
        <v>161</v>
      </c>
      <c r="G62" s="305" t="s">
        <v>36</v>
      </c>
      <c r="H62" s="186" t="s">
        <v>804</v>
      </c>
      <c r="I62" s="174">
        <f>I63</f>
        <v>41500</v>
      </c>
      <c r="J62" s="174">
        <f t="shared" si="19"/>
        <v>41498.639999999999</v>
      </c>
      <c r="K62" s="174">
        <f t="shared" si="2"/>
        <v>99.996722891566264</v>
      </c>
      <c r="N62" s="124">
        <v>41500</v>
      </c>
    </row>
    <row r="63" spans="1:14" ht="63.75">
      <c r="A63" s="201" t="s">
        <v>88</v>
      </c>
      <c r="B63" s="201" t="s">
        <v>158</v>
      </c>
      <c r="C63" s="201" t="s">
        <v>35</v>
      </c>
      <c r="D63" s="202" t="s">
        <v>807</v>
      </c>
      <c r="E63" s="201" t="s">
        <v>275</v>
      </c>
      <c r="F63" s="201" t="s">
        <v>161</v>
      </c>
      <c r="G63" s="201" t="s">
        <v>36</v>
      </c>
      <c r="H63" s="9" t="s">
        <v>806</v>
      </c>
      <c r="I63" s="175">
        <f>112800-71300</f>
        <v>41500</v>
      </c>
      <c r="J63" s="175">
        <v>41498.639999999999</v>
      </c>
      <c r="K63" s="174">
        <f t="shared" si="2"/>
        <v>99.996722891566264</v>
      </c>
      <c r="N63" s="124">
        <v>41500</v>
      </c>
    </row>
    <row r="64" spans="1:14">
      <c r="A64" s="187" t="s">
        <v>101</v>
      </c>
      <c r="B64" s="187" t="s">
        <v>158</v>
      </c>
      <c r="C64" s="187" t="s">
        <v>244</v>
      </c>
      <c r="D64" s="190" t="s">
        <v>160</v>
      </c>
      <c r="E64" s="187" t="s">
        <v>159</v>
      </c>
      <c r="F64" s="187" t="s">
        <v>161</v>
      </c>
      <c r="G64" s="187" t="s">
        <v>197</v>
      </c>
      <c r="H64" s="186" t="s">
        <v>153</v>
      </c>
      <c r="I64" s="174">
        <f>I65</f>
        <v>3804100</v>
      </c>
      <c r="J64" s="174">
        <f t="shared" ref="J64" si="20">J65</f>
        <v>3718039.5199999996</v>
      </c>
      <c r="K64" s="174">
        <f t="shared" si="2"/>
        <v>97.737691438185109</v>
      </c>
      <c r="N64" s="124">
        <v>3804100</v>
      </c>
    </row>
    <row r="65" spans="1:14">
      <c r="A65" s="187" t="s">
        <v>101</v>
      </c>
      <c r="B65" s="187" t="s">
        <v>158</v>
      </c>
      <c r="C65" s="187" t="s">
        <v>244</v>
      </c>
      <c r="D65" s="190" t="s">
        <v>164</v>
      </c>
      <c r="E65" s="187" t="s">
        <v>163</v>
      </c>
      <c r="F65" s="187" t="s">
        <v>161</v>
      </c>
      <c r="G65" s="187" t="s">
        <v>36</v>
      </c>
      <c r="H65" s="186" t="s">
        <v>1466</v>
      </c>
      <c r="I65" s="174">
        <f>I66+I68+I69+I67</f>
        <v>3804100</v>
      </c>
      <c r="J65" s="174">
        <f>J66+J68+J69+J67</f>
        <v>3718039.5199999996</v>
      </c>
      <c r="K65" s="174">
        <f t="shared" si="2"/>
        <v>97.737691438185109</v>
      </c>
      <c r="N65" s="124">
        <v>3804100</v>
      </c>
    </row>
    <row r="66" spans="1:14" ht="25.5">
      <c r="A66" s="188" t="s">
        <v>101</v>
      </c>
      <c r="B66" s="188" t="s">
        <v>158</v>
      </c>
      <c r="C66" s="188" t="s">
        <v>244</v>
      </c>
      <c r="D66" s="191" t="s">
        <v>269</v>
      </c>
      <c r="E66" s="188" t="s">
        <v>163</v>
      </c>
      <c r="F66" s="188" t="s">
        <v>161</v>
      </c>
      <c r="G66" s="188" t="s">
        <v>36</v>
      </c>
      <c r="H66" s="9" t="s">
        <v>808</v>
      </c>
      <c r="I66" s="175">
        <f>1134100-129697.3</f>
        <v>1004402.7</v>
      </c>
      <c r="J66" s="175">
        <v>667876.72</v>
      </c>
      <c r="K66" s="174">
        <f t="shared" si="2"/>
        <v>66.494914838440806</v>
      </c>
      <c r="N66" s="124">
        <v>1004402.7</v>
      </c>
    </row>
    <row r="67" spans="1:14" ht="30" customHeight="1">
      <c r="A67" s="188" t="s">
        <v>101</v>
      </c>
      <c r="B67" s="188" t="s">
        <v>158</v>
      </c>
      <c r="C67" s="188" t="s">
        <v>244</v>
      </c>
      <c r="D67" s="191" t="s">
        <v>2019</v>
      </c>
      <c r="E67" s="188" t="s">
        <v>163</v>
      </c>
      <c r="F67" s="188" t="s">
        <v>161</v>
      </c>
      <c r="G67" s="188" t="s">
        <v>36</v>
      </c>
      <c r="H67" s="9" t="s">
        <v>1267</v>
      </c>
      <c r="I67" s="175">
        <v>29697.3</v>
      </c>
      <c r="J67" s="175">
        <v>29717.8</v>
      </c>
      <c r="K67" s="174">
        <f t="shared" si="2"/>
        <v>100.06902984446397</v>
      </c>
      <c r="N67" s="124">
        <v>29697.3</v>
      </c>
    </row>
    <row r="68" spans="1:14">
      <c r="A68" s="188" t="s">
        <v>101</v>
      </c>
      <c r="B68" s="188" t="s">
        <v>158</v>
      </c>
      <c r="C68" s="188" t="s">
        <v>244</v>
      </c>
      <c r="D68" s="191" t="s">
        <v>290</v>
      </c>
      <c r="E68" s="188" t="s">
        <v>163</v>
      </c>
      <c r="F68" s="188" t="s">
        <v>161</v>
      </c>
      <c r="G68" s="188" t="s">
        <v>36</v>
      </c>
      <c r="H68" s="54" t="s">
        <v>809</v>
      </c>
      <c r="I68" s="175">
        <f>397900+814000</f>
        <v>1211900</v>
      </c>
      <c r="J68" s="175">
        <v>1417242.01</v>
      </c>
      <c r="K68" s="174">
        <f t="shared" si="2"/>
        <v>116.94380806997277</v>
      </c>
      <c r="N68" s="124">
        <v>1211900</v>
      </c>
    </row>
    <row r="69" spans="1:14">
      <c r="A69" s="188" t="s">
        <v>101</v>
      </c>
      <c r="B69" s="188" t="s">
        <v>158</v>
      </c>
      <c r="C69" s="188" t="s">
        <v>244</v>
      </c>
      <c r="D69" s="191" t="s">
        <v>342</v>
      </c>
      <c r="E69" s="188" t="s">
        <v>163</v>
      </c>
      <c r="F69" s="188" t="s">
        <v>161</v>
      </c>
      <c r="G69" s="188" t="s">
        <v>36</v>
      </c>
      <c r="H69" s="54" t="s">
        <v>810</v>
      </c>
      <c r="I69" s="175">
        <f>2372100-814000</f>
        <v>1558100</v>
      </c>
      <c r="J69" s="175">
        <v>1603202.99</v>
      </c>
      <c r="K69" s="174">
        <f t="shared" si="2"/>
        <v>102.89474295616456</v>
      </c>
      <c r="L69" s="128"/>
      <c r="M69" s="128"/>
      <c r="N69" s="124">
        <v>1558100</v>
      </c>
    </row>
    <row r="70" spans="1:14" ht="25.5">
      <c r="A70" s="187" t="s">
        <v>197</v>
      </c>
      <c r="B70" s="187" t="s">
        <v>158</v>
      </c>
      <c r="C70" s="187" t="s">
        <v>96</v>
      </c>
      <c r="D70" s="190" t="s">
        <v>160</v>
      </c>
      <c r="E70" s="187" t="s">
        <v>159</v>
      </c>
      <c r="F70" s="187" t="s">
        <v>161</v>
      </c>
      <c r="G70" s="187" t="s">
        <v>197</v>
      </c>
      <c r="H70" s="186" t="s">
        <v>1467</v>
      </c>
      <c r="I70" s="174">
        <f>I73+I78</f>
        <v>33033439</v>
      </c>
      <c r="J70" s="174">
        <f t="shared" ref="J70" si="21">J73+J78</f>
        <v>32700761.909999996</v>
      </c>
      <c r="K70" s="174">
        <f t="shared" si="2"/>
        <v>98.992908095339388</v>
      </c>
      <c r="N70" s="124">
        <v>33033439</v>
      </c>
    </row>
    <row r="71" spans="1:14">
      <c r="A71" s="187" t="s">
        <v>197</v>
      </c>
      <c r="B71" s="187" t="s">
        <v>158</v>
      </c>
      <c r="C71" s="187" t="s">
        <v>96</v>
      </c>
      <c r="D71" s="190" t="s">
        <v>164</v>
      </c>
      <c r="E71" s="187" t="s">
        <v>159</v>
      </c>
      <c r="F71" s="187" t="s">
        <v>161</v>
      </c>
      <c r="G71" s="187" t="s">
        <v>97</v>
      </c>
      <c r="H71" s="186" t="s">
        <v>1468</v>
      </c>
      <c r="I71" s="174">
        <f>I72</f>
        <v>31630509</v>
      </c>
      <c r="J71" s="174">
        <f t="shared" ref="J71:J72" si="22">J72</f>
        <v>31338645.079999994</v>
      </c>
      <c r="K71" s="174">
        <f t="shared" si="2"/>
        <v>99.077270871613209</v>
      </c>
      <c r="N71" s="124">
        <v>31630509</v>
      </c>
    </row>
    <row r="72" spans="1:14">
      <c r="A72" s="187" t="s">
        <v>197</v>
      </c>
      <c r="B72" s="187" t="s">
        <v>158</v>
      </c>
      <c r="C72" s="187" t="s">
        <v>96</v>
      </c>
      <c r="D72" s="190" t="s">
        <v>1470</v>
      </c>
      <c r="E72" s="187" t="s">
        <v>159</v>
      </c>
      <c r="F72" s="187" t="s">
        <v>161</v>
      </c>
      <c r="G72" s="187" t="s">
        <v>97</v>
      </c>
      <c r="H72" s="186" t="s">
        <v>1469</v>
      </c>
      <c r="I72" s="174">
        <f>I73</f>
        <v>31630509</v>
      </c>
      <c r="J72" s="174">
        <f t="shared" si="22"/>
        <v>31338645.079999994</v>
      </c>
      <c r="K72" s="174">
        <f t="shared" si="2"/>
        <v>99.077270871613209</v>
      </c>
      <c r="N72" s="124">
        <v>31630509</v>
      </c>
    </row>
    <row r="73" spans="1:14" ht="25.5">
      <c r="A73" s="187" t="s">
        <v>197</v>
      </c>
      <c r="B73" s="187" t="s">
        <v>158</v>
      </c>
      <c r="C73" s="187" t="s">
        <v>96</v>
      </c>
      <c r="D73" s="190" t="s">
        <v>293</v>
      </c>
      <c r="E73" s="187" t="s">
        <v>275</v>
      </c>
      <c r="F73" s="187" t="s">
        <v>161</v>
      </c>
      <c r="G73" s="187" t="s">
        <v>97</v>
      </c>
      <c r="H73" s="186" t="s">
        <v>845</v>
      </c>
      <c r="I73" s="174">
        <f>I76+I77+I74+I75</f>
        <v>31630509</v>
      </c>
      <c r="J73" s="174">
        <f t="shared" ref="J73" si="23">J76+J77+J74+J75</f>
        <v>31338645.079999994</v>
      </c>
      <c r="K73" s="174">
        <f t="shared" si="2"/>
        <v>99.077270871613209</v>
      </c>
      <c r="N73" s="124">
        <v>31630509</v>
      </c>
    </row>
    <row r="74" spans="1:14" ht="25.5">
      <c r="A74" s="188" t="s">
        <v>278</v>
      </c>
      <c r="B74" s="188" t="s">
        <v>158</v>
      </c>
      <c r="C74" s="188" t="s">
        <v>96</v>
      </c>
      <c r="D74" s="191" t="s">
        <v>293</v>
      </c>
      <c r="E74" s="188" t="s">
        <v>275</v>
      </c>
      <c r="F74" s="188" t="s">
        <v>161</v>
      </c>
      <c r="G74" s="188" t="s">
        <v>97</v>
      </c>
      <c r="H74" s="9" t="s">
        <v>292</v>
      </c>
      <c r="I74" s="175">
        <v>736113</v>
      </c>
      <c r="J74" s="175">
        <v>736113.4</v>
      </c>
      <c r="K74" s="174">
        <f t="shared" ref="K74:K136" si="24">J74/I74*100</f>
        <v>100.0000543394832</v>
      </c>
    </row>
    <row r="75" spans="1:14" ht="25.5">
      <c r="A75" s="188" t="s">
        <v>1164</v>
      </c>
      <c r="B75" s="188" t="s">
        <v>158</v>
      </c>
      <c r="C75" s="188" t="s">
        <v>96</v>
      </c>
      <c r="D75" s="191" t="s">
        <v>293</v>
      </c>
      <c r="E75" s="188" t="s">
        <v>275</v>
      </c>
      <c r="F75" s="188" t="s">
        <v>161</v>
      </c>
      <c r="G75" s="188" t="s">
        <v>97</v>
      </c>
      <c r="H75" s="9" t="s">
        <v>292</v>
      </c>
      <c r="I75" s="175">
        <v>3787500</v>
      </c>
      <c r="J75" s="173">
        <v>2642802.7000000002</v>
      </c>
      <c r="K75" s="174">
        <f t="shared" si="24"/>
        <v>69.776968976897692</v>
      </c>
    </row>
    <row r="76" spans="1:14" ht="25.5">
      <c r="A76" s="188" t="s">
        <v>252</v>
      </c>
      <c r="B76" s="188" t="s">
        <v>158</v>
      </c>
      <c r="C76" s="188" t="s">
        <v>96</v>
      </c>
      <c r="D76" s="191" t="s">
        <v>293</v>
      </c>
      <c r="E76" s="188" t="s">
        <v>275</v>
      </c>
      <c r="F76" s="188" t="s">
        <v>8</v>
      </c>
      <c r="G76" s="188" t="s">
        <v>97</v>
      </c>
      <c r="H76" s="9" t="s">
        <v>292</v>
      </c>
      <c r="I76" s="173">
        <f>19953100+3566196</f>
        <v>23519296</v>
      </c>
      <c r="J76" s="173">
        <v>24315179.829999998</v>
      </c>
      <c r="K76" s="174">
        <f t="shared" si="24"/>
        <v>103.38396111006043</v>
      </c>
    </row>
    <row r="77" spans="1:14" ht="38.25">
      <c r="A77" s="188" t="s">
        <v>252</v>
      </c>
      <c r="B77" s="188" t="s">
        <v>158</v>
      </c>
      <c r="C77" s="188" t="s">
        <v>96</v>
      </c>
      <c r="D77" s="191" t="s">
        <v>293</v>
      </c>
      <c r="E77" s="188" t="s">
        <v>275</v>
      </c>
      <c r="F77" s="188" t="s">
        <v>309</v>
      </c>
      <c r="G77" s="188" t="s">
        <v>97</v>
      </c>
      <c r="H77" s="9" t="s">
        <v>12</v>
      </c>
      <c r="I77" s="173">
        <f>4552600-965000</f>
        <v>3587600</v>
      </c>
      <c r="J77" s="173">
        <v>3644549.15</v>
      </c>
      <c r="K77" s="174">
        <f t="shared" si="24"/>
        <v>101.58738850485003</v>
      </c>
    </row>
    <row r="78" spans="1:14">
      <c r="A78" s="188" t="s">
        <v>197</v>
      </c>
      <c r="B78" s="188" t="s">
        <v>158</v>
      </c>
      <c r="C78" s="188" t="s">
        <v>96</v>
      </c>
      <c r="D78" s="191" t="s">
        <v>272</v>
      </c>
      <c r="E78" s="188" t="s">
        <v>159</v>
      </c>
      <c r="F78" s="188" t="s">
        <v>161</v>
      </c>
      <c r="G78" s="188" t="s">
        <v>97</v>
      </c>
      <c r="H78" s="186" t="s">
        <v>1471</v>
      </c>
      <c r="I78" s="172">
        <f>I79</f>
        <v>1402930</v>
      </c>
      <c r="J78" s="172">
        <f t="shared" ref="J78:J79" si="25">J79</f>
        <v>1362116.83</v>
      </c>
      <c r="K78" s="174">
        <f t="shared" si="24"/>
        <v>97.090861981709708</v>
      </c>
    </row>
    <row r="79" spans="1:14" ht="25.5">
      <c r="A79" s="188" t="s">
        <v>197</v>
      </c>
      <c r="B79" s="188" t="s">
        <v>158</v>
      </c>
      <c r="C79" s="188" t="s">
        <v>96</v>
      </c>
      <c r="D79" s="191" t="s">
        <v>1473</v>
      </c>
      <c r="E79" s="188" t="s">
        <v>159</v>
      </c>
      <c r="F79" s="188" t="s">
        <v>161</v>
      </c>
      <c r="G79" s="188" t="s">
        <v>97</v>
      </c>
      <c r="H79" s="186" t="s">
        <v>1472</v>
      </c>
      <c r="I79" s="172">
        <f>I80</f>
        <v>1402930</v>
      </c>
      <c r="J79" s="172">
        <f t="shared" si="25"/>
        <v>1362116.83</v>
      </c>
      <c r="K79" s="174">
        <f t="shared" si="24"/>
        <v>97.090861981709708</v>
      </c>
    </row>
    <row r="80" spans="1:14" ht="38.25">
      <c r="A80" s="187" t="s">
        <v>5</v>
      </c>
      <c r="B80" s="187" t="s">
        <v>158</v>
      </c>
      <c r="C80" s="187" t="s">
        <v>96</v>
      </c>
      <c r="D80" s="190" t="s">
        <v>674</v>
      </c>
      <c r="E80" s="187" t="s">
        <v>275</v>
      </c>
      <c r="F80" s="187" t="s">
        <v>161</v>
      </c>
      <c r="G80" s="187" t="s">
        <v>97</v>
      </c>
      <c r="H80" s="186" t="s">
        <v>673</v>
      </c>
      <c r="I80" s="172">
        <f t="shared" ref="I80:J80" si="26">I81</f>
        <v>1402930</v>
      </c>
      <c r="J80" s="172">
        <f t="shared" si="26"/>
        <v>1362116.83</v>
      </c>
      <c r="K80" s="174">
        <f t="shared" si="24"/>
        <v>97.090861981709708</v>
      </c>
    </row>
    <row r="81" spans="1:11" ht="25.5">
      <c r="A81" s="188" t="s">
        <v>5</v>
      </c>
      <c r="B81" s="188" t="s">
        <v>158</v>
      </c>
      <c r="C81" s="188" t="s">
        <v>96</v>
      </c>
      <c r="D81" s="191" t="s">
        <v>674</v>
      </c>
      <c r="E81" s="188" t="s">
        <v>275</v>
      </c>
      <c r="F81" s="188" t="s">
        <v>675</v>
      </c>
      <c r="G81" s="188" t="s">
        <v>97</v>
      </c>
      <c r="H81" s="9" t="s">
        <v>673</v>
      </c>
      <c r="I81" s="173">
        <v>1402930</v>
      </c>
      <c r="J81" s="173">
        <v>1362116.83</v>
      </c>
      <c r="K81" s="174">
        <f t="shared" si="24"/>
        <v>97.090861981709708</v>
      </c>
    </row>
    <row r="82" spans="1:11" ht="25.5">
      <c r="A82" s="187" t="s">
        <v>88</v>
      </c>
      <c r="B82" s="187" t="s">
        <v>158</v>
      </c>
      <c r="C82" s="187" t="s">
        <v>98</v>
      </c>
      <c r="D82" s="190" t="s">
        <v>160</v>
      </c>
      <c r="E82" s="187" t="s">
        <v>159</v>
      </c>
      <c r="F82" s="187" t="s">
        <v>161</v>
      </c>
      <c r="G82" s="187" t="s">
        <v>197</v>
      </c>
      <c r="H82" s="186" t="s">
        <v>154</v>
      </c>
      <c r="I82" s="174">
        <f>I85+I88+I83</f>
        <v>19557563.649999999</v>
      </c>
      <c r="J82" s="174">
        <f>J85+J88+J83</f>
        <v>19599075.009999998</v>
      </c>
      <c r="K82" s="174">
        <f t="shared" si="24"/>
        <v>100.21225220453265</v>
      </c>
    </row>
    <row r="83" spans="1:11">
      <c r="A83" s="187" t="s">
        <v>197</v>
      </c>
      <c r="B83" s="187" t="s">
        <v>158</v>
      </c>
      <c r="C83" s="187" t="s">
        <v>98</v>
      </c>
      <c r="D83" s="190" t="s">
        <v>164</v>
      </c>
      <c r="E83" s="187" t="s">
        <v>159</v>
      </c>
      <c r="F83" s="187" t="s">
        <v>161</v>
      </c>
      <c r="G83" s="187" t="s">
        <v>100</v>
      </c>
      <c r="H83" s="186" t="s">
        <v>2017</v>
      </c>
      <c r="I83" s="174">
        <f>I84</f>
        <v>5718.07</v>
      </c>
      <c r="J83" s="174">
        <f>J84</f>
        <v>5718.07</v>
      </c>
      <c r="K83" s="174">
        <f t="shared" si="24"/>
        <v>100</v>
      </c>
    </row>
    <row r="84" spans="1:11" ht="24.75" customHeight="1">
      <c r="A84" s="188" t="s">
        <v>88</v>
      </c>
      <c r="B84" s="188" t="s">
        <v>158</v>
      </c>
      <c r="C84" s="188" t="s">
        <v>98</v>
      </c>
      <c r="D84" s="191" t="s">
        <v>2018</v>
      </c>
      <c r="E84" s="188" t="s">
        <v>275</v>
      </c>
      <c r="F84" s="188" t="s">
        <v>161</v>
      </c>
      <c r="G84" s="188" t="s">
        <v>100</v>
      </c>
      <c r="H84" s="9" t="s">
        <v>696</v>
      </c>
      <c r="I84" s="175">
        <v>5718.07</v>
      </c>
      <c r="J84" s="175">
        <v>5718.07</v>
      </c>
      <c r="K84" s="174">
        <f t="shared" si="24"/>
        <v>100</v>
      </c>
    </row>
    <row r="85" spans="1:11" ht="63.75">
      <c r="A85" s="187" t="s">
        <v>88</v>
      </c>
      <c r="B85" s="187" t="s">
        <v>158</v>
      </c>
      <c r="C85" s="187" t="s">
        <v>98</v>
      </c>
      <c r="D85" s="190" t="s">
        <v>272</v>
      </c>
      <c r="E85" s="187" t="s">
        <v>159</v>
      </c>
      <c r="F85" s="187" t="s">
        <v>161</v>
      </c>
      <c r="G85" s="187" t="s">
        <v>197</v>
      </c>
      <c r="H85" s="186" t="s">
        <v>1474</v>
      </c>
      <c r="I85" s="174">
        <f t="shared" ref="I85:J86" si="27">I86</f>
        <v>8793922.75</v>
      </c>
      <c r="J85" s="174">
        <f t="shared" si="27"/>
        <v>8789897.75</v>
      </c>
      <c r="K85" s="174">
        <f t="shared" si="24"/>
        <v>99.954229754861103</v>
      </c>
    </row>
    <row r="86" spans="1:11" ht="76.5">
      <c r="A86" s="187" t="s">
        <v>88</v>
      </c>
      <c r="B86" s="187" t="s">
        <v>158</v>
      </c>
      <c r="C86" s="187" t="s">
        <v>98</v>
      </c>
      <c r="D86" s="190" t="s">
        <v>310</v>
      </c>
      <c r="E86" s="187" t="s">
        <v>275</v>
      </c>
      <c r="F86" s="187" t="s">
        <v>161</v>
      </c>
      <c r="G86" s="187" t="s">
        <v>100</v>
      </c>
      <c r="H86" s="186" t="s">
        <v>1475</v>
      </c>
      <c r="I86" s="174">
        <f t="shared" si="27"/>
        <v>8793922.75</v>
      </c>
      <c r="J86" s="174">
        <f t="shared" si="27"/>
        <v>8789897.75</v>
      </c>
      <c r="K86" s="174">
        <f t="shared" si="24"/>
        <v>99.954229754861103</v>
      </c>
    </row>
    <row r="87" spans="1:11" ht="63.75">
      <c r="A87" s="188" t="s">
        <v>88</v>
      </c>
      <c r="B87" s="188" t="s">
        <v>158</v>
      </c>
      <c r="C87" s="188" t="s">
        <v>98</v>
      </c>
      <c r="D87" s="191" t="s">
        <v>294</v>
      </c>
      <c r="E87" s="188" t="s">
        <v>275</v>
      </c>
      <c r="F87" s="188" t="s">
        <v>161</v>
      </c>
      <c r="G87" s="188" t="s">
        <v>100</v>
      </c>
      <c r="H87" s="9" t="s">
        <v>1476</v>
      </c>
      <c r="I87" s="175">
        <f>6170000+2623922.75</f>
        <v>8793922.75</v>
      </c>
      <c r="J87" s="175">
        <v>8789897.75</v>
      </c>
      <c r="K87" s="174">
        <f t="shared" si="24"/>
        <v>99.954229754861103</v>
      </c>
    </row>
    <row r="88" spans="1:11" ht="25.5">
      <c r="A88" s="187" t="s">
        <v>88</v>
      </c>
      <c r="B88" s="187" t="s">
        <v>158</v>
      </c>
      <c r="C88" s="187" t="s">
        <v>98</v>
      </c>
      <c r="D88" s="190" t="s">
        <v>277</v>
      </c>
      <c r="E88" s="187" t="s">
        <v>159</v>
      </c>
      <c r="F88" s="187" t="s">
        <v>161</v>
      </c>
      <c r="G88" s="187" t="s">
        <v>1</v>
      </c>
      <c r="H88" s="186" t="s">
        <v>1477</v>
      </c>
      <c r="I88" s="174">
        <f>I89+I93</f>
        <v>10757922.83</v>
      </c>
      <c r="J88" s="174">
        <f t="shared" ref="J88" si="28">J89+J93</f>
        <v>10803459.189999999</v>
      </c>
      <c r="K88" s="174">
        <f t="shared" si="24"/>
        <v>100.42328208446536</v>
      </c>
    </row>
    <row r="89" spans="1:11" ht="25.5">
      <c r="A89" s="187" t="s">
        <v>88</v>
      </c>
      <c r="B89" s="187" t="s">
        <v>158</v>
      </c>
      <c r="C89" s="187" t="s">
        <v>98</v>
      </c>
      <c r="D89" s="190" t="s">
        <v>263</v>
      </c>
      <c r="E89" s="187" t="s">
        <v>159</v>
      </c>
      <c r="F89" s="187" t="s">
        <v>161</v>
      </c>
      <c r="G89" s="187" t="s">
        <v>1</v>
      </c>
      <c r="H89" s="186" t="s">
        <v>1478</v>
      </c>
      <c r="I89" s="174">
        <f>I91+I90</f>
        <v>10754389.41</v>
      </c>
      <c r="J89" s="174">
        <f t="shared" ref="J89" si="29">J91+J90</f>
        <v>10799925.77</v>
      </c>
      <c r="K89" s="174">
        <f t="shared" si="24"/>
        <v>100.42342115636669</v>
      </c>
    </row>
    <row r="90" spans="1:11" ht="51">
      <c r="A90" s="188" t="s">
        <v>88</v>
      </c>
      <c r="B90" s="188" t="s">
        <v>158</v>
      </c>
      <c r="C90" s="188" t="s">
        <v>98</v>
      </c>
      <c r="D90" s="191" t="s">
        <v>302</v>
      </c>
      <c r="E90" s="188" t="s">
        <v>275</v>
      </c>
      <c r="F90" s="188" t="s">
        <v>161</v>
      </c>
      <c r="G90" s="188" t="s">
        <v>1</v>
      </c>
      <c r="H90" s="193" t="s">
        <v>1962</v>
      </c>
      <c r="I90" s="175">
        <f>198060+4455540+6100789.41</f>
        <v>10754389.41</v>
      </c>
      <c r="J90" s="175">
        <v>10781613.609999999</v>
      </c>
      <c r="K90" s="174">
        <f t="shared" si="24"/>
        <v>100.25314500862955</v>
      </c>
    </row>
    <row r="91" spans="1:11" ht="38.25">
      <c r="A91" s="188" t="s">
        <v>88</v>
      </c>
      <c r="B91" s="188" t="s">
        <v>158</v>
      </c>
      <c r="C91" s="188" t="s">
        <v>98</v>
      </c>
      <c r="D91" s="191" t="s">
        <v>302</v>
      </c>
      <c r="E91" s="188" t="s">
        <v>237</v>
      </c>
      <c r="F91" s="188" t="s">
        <v>161</v>
      </c>
      <c r="G91" s="188" t="s">
        <v>1</v>
      </c>
      <c r="H91" s="9" t="s">
        <v>1479</v>
      </c>
      <c r="I91" s="175">
        <v>0</v>
      </c>
      <c r="J91" s="175">
        <v>18312.16</v>
      </c>
      <c r="K91" s="174"/>
    </row>
    <row r="92" spans="1:11" ht="38.25">
      <c r="A92" s="187" t="s">
        <v>88</v>
      </c>
      <c r="B92" s="187" t="s">
        <v>158</v>
      </c>
      <c r="C92" s="187" t="s">
        <v>98</v>
      </c>
      <c r="D92" s="190" t="s">
        <v>1481</v>
      </c>
      <c r="E92" s="187" t="s">
        <v>159</v>
      </c>
      <c r="F92" s="187" t="s">
        <v>161</v>
      </c>
      <c r="G92" s="187" t="s">
        <v>1</v>
      </c>
      <c r="H92" s="186" t="s">
        <v>1480</v>
      </c>
      <c r="I92" s="174">
        <f>I93</f>
        <v>3533.42</v>
      </c>
      <c r="J92" s="174">
        <f t="shared" ref="J92" si="30">J93</f>
        <v>3533.42</v>
      </c>
      <c r="K92" s="174">
        <f t="shared" si="24"/>
        <v>100</v>
      </c>
    </row>
    <row r="93" spans="1:11" ht="38.25">
      <c r="A93" s="188" t="s">
        <v>88</v>
      </c>
      <c r="B93" s="188" t="s">
        <v>158</v>
      </c>
      <c r="C93" s="188" t="s">
        <v>98</v>
      </c>
      <c r="D93" s="191" t="s">
        <v>1329</v>
      </c>
      <c r="E93" s="188" t="s">
        <v>275</v>
      </c>
      <c r="F93" s="188" t="s">
        <v>161</v>
      </c>
      <c r="G93" s="188" t="s">
        <v>1</v>
      </c>
      <c r="H93" s="9" t="s">
        <v>1482</v>
      </c>
      <c r="I93" s="175">
        <f>1500+2033.42</f>
        <v>3533.42</v>
      </c>
      <c r="J93" s="175">
        <v>3533.42</v>
      </c>
      <c r="K93" s="174">
        <f t="shared" si="24"/>
        <v>100</v>
      </c>
    </row>
    <row r="94" spans="1:11">
      <c r="A94" s="187" t="s">
        <v>197</v>
      </c>
      <c r="B94" s="187" t="s">
        <v>158</v>
      </c>
      <c r="C94" s="187" t="s">
        <v>156</v>
      </c>
      <c r="D94" s="190" t="s">
        <v>160</v>
      </c>
      <c r="E94" s="187" t="s">
        <v>159</v>
      </c>
      <c r="F94" s="187" t="s">
        <v>161</v>
      </c>
      <c r="G94" s="187" t="s">
        <v>197</v>
      </c>
      <c r="H94" s="186" t="s">
        <v>2</v>
      </c>
      <c r="I94" s="174">
        <f>I95+I98+I103+I108+I110+I113+I115+I117+I119+I122+I128+I129+I101+I121</f>
        <v>7081558.2699999996</v>
      </c>
      <c r="J94" s="174">
        <f>J95+J98+J103+J108+J110+J113+J115+J117+J119+J122+J128+J129+J101+J121</f>
        <v>6010524.8300000001</v>
      </c>
      <c r="K94" s="174">
        <f t="shared" si="24"/>
        <v>84.875737808480963</v>
      </c>
    </row>
    <row r="95" spans="1:11" ht="25.5">
      <c r="A95" s="187" t="s">
        <v>162</v>
      </c>
      <c r="B95" s="187" t="s">
        <v>158</v>
      </c>
      <c r="C95" s="187" t="s">
        <v>156</v>
      </c>
      <c r="D95" s="190" t="s">
        <v>40</v>
      </c>
      <c r="E95" s="187" t="s">
        <v>159</v>
      </c>
      <c r="F95" s="187" t="s">
        <v>161</v>
      </c>
      <c r="G95" s="187" t="s">
        <v>157</v>
      </c>
      <c r="H95" s="186" t="s">
        <v>1483</v>
      </c>
      <c r="I95" s="174">
        <f>SUM(I96:I97)</f>
        <v>12000</v>
      </c>
      <c r="J95" s="174">
        <f t="shared" ref="J95" si="31">SUM(J96:J97)</f>
        <v>5725</v>
      </c>
      <c r="K95" s="174">
        <f t="shared" si="24"/>
        <v>47.708333333333336</v>
      </c>
    </row>
    <row r="96" spans="1:11" ht="51">
      <c r="A96" s="201" t="s">
        <v>162</v>
      </c>
      <c r="B96" s="201" t="s">
        <v>158</v>
      </c>
      <c r="C96" s="201" t="s">
        <v>156</v>
      </c>
      <c r="D96" s="202" t="s">
        <v>250</v>
      </c>
      <c r="E96" s="201" t="s">
        <v>163</v>
      </c>
      <c r="F96" s="201" t="s">
        <v>161</v>
      </c>
      <c r="G96" s="201" t="s">
        <v>157</v>
      </c>
      <c r="H96" s="9" t="s">
        <v>1484</v>
      </c>
      <c r="I96" s="175">
        <v>2000</v>
      </c>
      <c r="J96" s="175">
        <v>5000</v>
      </c>
      <c r="K96" s="174">
        <f t="shared" si="24"/>
        <v>250</v>
      </c>
    </row>
    <row r="97" spans="1:11" ht="38.25">
      <c r="A97" s="188" t="s">
        <v>162</v>
      </c>
      <c r="B97" s="188" t="s">
        <v>158</v>
      </c>
      <c r="C97" s="188" t="s">
        <v>156</v>
      </c>
      <c r="D97" s="191" t="s">
        <v>68</v>
      </c>
      <c r="E97" s="188" t="s">
        <v>163</v>
      </c>
      <c r="F97" s="188" t="s">
        <v>161</v>
      </c>
      <c r="G97" s="188" t="s">
        <v>157</v>
      </c>
      <c r="H97" s="9" t="s">
        <v>13</v>
      </c>
      <c r="I97" s="175">
        <v>10000</v>
      </c>
      <c r="J97" s="175">
        <v>725</v>
      </c>
      <c r="K97" s="174">
        <f t="shared" si="24"/>
        <v>7.2499999999999991</v>
      </c>
    </row>
    <row r="98" spans="1:11" ht="51">
      <c r="A98" s="187" t="s">
        <v>197</v>
      </c>
      <c r="B98" s="187" t="s">
        <v>158</v>
      </c>
      <c r="C98" s="187" t="s">
        <v>156</v>
      </c>
      <c r="D98" s="190" t="s">
        <v>1485</v>
      </c>
      <c r="E98" s="187" t="s">
        <v>163</v>
      </c>
      <c r="F98" s="187" t="s">
        <v>161</v>
      </c>
      <c r="G98" s="187" t="s">
        <v>157</v>
      </c>
      <c r="H98" s="186" t="s">
        <v>686</v>
      </c>
      <c r="I98" s="174">
        <f>I99+I100</f>
        <v>380500</v>
      </c>
      <c r="J98" s="174">
        <f>J99+J100</f>
        <v>395500</v>
      </c>
      <c r="K98" s="174">
        <f t="shared" si="24"/>
        <v>103.94218134034165</v>
      </c>
    </row>
    <row r="99" spans="1:11" ht="51">
      <c r="A99" s="201" t="s">
        <v>2050</v>
      </c>
      <c r="B99" s="201" t="s">
        <v>158</v>
      </c>
      <c r="C99" s="201" t="s">
        <v>156</v>
      </c>
      <c r="D99" s="202" t="s">
        <v>811</v>
      </c>
      <c r="E99" s="201" t="s">
        <v>163</v>
      </c>
      <c r="F99" s="201" t="s">
        <v>161</v>
      </c>
      <c r="G99" s="201" t="s">
        <v>157</v>
      </c>
      <c r="H99" s="9" t="s">
        <v>686</v>
      </c>
      <c r="I99" s="175">
        <v>0</v>
      </c>
      <c r="J99" s="175">
        <v>42000</v>
      </c>
      <c r="K99" s="174"/>
    </row>
    <row r="100" spans="1:11" ht="51">
      <c r="A100" s="201" t="s">
        <v>2141</v>
      </c>
      <c r="B100" s="201" t="s">
        <v>158</v>
      </c>
      <c r="C100" s="201" t="s">
        <v>156</v>
      </c>
      <c r="D100" s="202" t="s">
        <v>811</v>
      </c>
      <c r="E100" s="201" t="s">
        <v>163</v>
      </c>
      <c r="F100" s="201" t="s">
        <v>161</v>
      </c>
      <c r="G100" s="201" t="s">
        <v>157</v>
      </c>
      <c r="H100" s="9" t="s">
        <v>686</v>
      </c>
      <c r="I100" s="175">
        <v>380500</v>
      </c>
      <c r="J100" s="175">
        <v>353500</v>
      </c>
      <c r="K100" s="174">
        <f t="shared" si="24"/>
        <v>92.904073587385014</v>
      </c>
    </row>
    <row r="101" spans="1:11" ht="44.25" customHeight="1">
      <c r="A101" s="305" t="s">
        <v>197</v>
      </c>
      <c r="B101" s="305" t="s">
        <v>158</v>
      </c>
      <c r="C101" s="305" t="s">
        <v>156</v>
      </c>
      <c r="D101" s="306" t="s">
        <v>2021</v>
      </c>
      <c r="E101" s="305" t="s">
        <v>159</v>
      </c>
      <c r="F101" s="305" t="s">
        <v>161</v>
      </c>
      <c r="G101" s="305" t="s">
        <v>157</v>
      </c>
      <c r="H101" s="186" t="s">
        <v>2020</v>
      </c>
      <c r="I101" s="174">
        <f>I102</f>
        <v>43584.5</v>
      </c>
      <c r="J101" s="174">
        <f>J102</f>
        <v>43584.5</v>
      </c>
      <c r="K101" s="174">
        <f t="shared" si="24"/>
        <v>100</v>
      </c>
    </row>
    <row r="102" spans="1:11" ht="48" customHeight="1">
      <c r="A102" s="201" t="s">
        <v>252</v>
      </c>
      <c r="B102" s="201" t="s">
        <v>158</v>
      </c>
      <c r="C102" s="201" t="s">
        <v>156</v>
      </c>
      <c r="D102" s="202" t="s">
        <v>2022</v>
      </c>
      <c r="E102" s="201" t="s">
        <v>275</v>
      </c>
      <c r="F102" s="201" t="s">
        <v>161</v>
      </c>
      <c r="G102" s="201" t="s">
        <v>157</v>
      </c>
      <c r="H102" s="9" t="s">
        <v>687</v>
      </c>
      <c r="I102" s="175">
        <v>43584.5</v>
      </c>
      <c r="J102" s="175">
        <v>43584.5</v>
      </c>
      <c r="K102" s="174">
        <f t="shared" si="24"/>
        <v>100</v>
      </c>
    </row>
    <row r="103" spans="1:11" ht="89.25">
      <c r="A103" s="305" t="s">
        <v>197</v>
      </c>
      <c r="B103" s="305" t="s">
        <v>158</v>
      </c>
      <c r="C103" s="305" t="s">
        <v>156</v>
      </c>
      <c r="D103" s="306" t="s">
        <v>1487</v>
      </c>
      <c r="E103" s="305" t="s">
        <v>159</v>
      </c>
      <c r="F103" s="305" t="s">
        <v>161</v>
      </c>
      <c r="G103" s="305" t="s">
        <v>157</v>
      </c>
      <c r="H103" s="186" t="s">
        <v>1486</v>
      </c>
      <c r="I103" s="174">
        <f>I104+I107+I106</f>
        <v>245300</v>
      </c>
      <c r="J103" s="174">
        <f>J104+J107+J106</f>
        <v>250300</v>
      </c>
      <c r="K103" s="174">
        <f t="shared" si="24"/>
        <v>102.03832042397065</v>
      </c>
    </row>
    <row r="104" spans="1:11" ht="25.5">
      <c r="A104" s="188" t="s">
        <v>2050</v>
      </c>
      <c r="B104" s="188" t="s">
        <v>158</v>
      </c>
      <c r="C104" s="188" t="s">
        <v>156</v>
      </c>
      <c r="D104" s="191" t="s">
        <v>676</v>
      </c>
      <c r="E104" s="188" t="s">
        <v>163</v>
      </c>
      <c r="F104" s="188" t="s">
        <v>161</v>
      </c>
      <c r="G104" s="188" t="s">
        <v>157</v>
      </c>
      <c r="H104" s="9" t="s">
        <v>401</v>
      </c>
      <c r="I104" s="175">
        <f>200000-199000</f>
        <v>1000</v>
      </c>
      <c r="J104" s="175">
        <v>1000</v>
      </c>
      <c r="K104" s="174">
        <f t="shared" si="24"/>
        <v>100</v>
      </c>
    </row>
    <row r="105" spans="1:11" ht="25.5">
      <c r="A105" s="187" t="s">
        <v>197</v>
      </c>
      <c r="B105" s="187" t="s">
        <v>158</v>
      </c>
      <c r="C105" s="187" t="s">
        <v>156</v>
      </c>
      <c r="D105" s="190" t="s">
        <v>814</v>
      </c>
      <c r="E105" s="187" t="s">
        <v>163</v>
      </c>
      <c r="F105" s="187" t="s">
        <v>161</v>
      </c>
      <c r="G105" s="187" t="s">
        <v>157</v>
      </c>
      <c r="H105" s="186" t="s">
        <v>813</v>
      </c>
      <c r="I105" s="174">
        <f>I106+I107</f>
        <v>244300</v>
      </c>
      <c r="J105" s="174">
        <f>J106+J107</f>
        <v>249300</v>
      </c>
      <c r="K105" s="174">
        <f t="shared" si="24"/>
        <v>102.04666393778142</v>
      </c>
    </row>
    <row r="106" spans="1:11" ht="25.5">
      <c r="A106" s="188" t="s">
        <v>608</v>
      </c>
      <c r="B106" s="188" t="s">
        <v>158</v>
      </c>
      <c r="C106" s="188" t="s">
        <v>156</v>
      </c>
      <c r="D106" s="191" t="s">
        <v>814</v>
      </c>
      <c r="E106" s="188" t="s">
        <v>163</v>
      </c>
      <c r="F106" s="188" t="s">
        <v>161</v>
      </c>
      <c r="G106" s="188" t="s">
        <v>157</v>
      </c>
      <c r="H106" s="9" t="s">
        <v>813</v>
      </c>
      <c r="I106" s="175">
        <v>0</v>
      </c>
      <c r="J106" s="175">
        <v>20000</v>
      </c>
      <c r="K106" s="174"/>
    </row>
    <row r="107" spans="1:11" ht="25.5">
      <c r="A107" s="201" t="s">
        <v>498</v>
      </c>
      <c r="B107" s="201" t="s">
        <v>158</v>
      </c>
      <c r="C107" s="201" t="s">
        <v>156</v>
      </c>
      <c r="D107" s="202" t="s">
        <v>814</v>
      </c>
      <c r="E107" s="201" t="s">
        <v>163</v>
      </c>
      <c r="F107" s="201" t="s">
        <v>161</v>
      </c>
      <c r="G107" s="201" t="s">
        <v>157</v>
      </c>
      <c r="H107" s="9" t="s">
        <v>813</v>
      </c>
      <c r="I107" s="175">
        <f>400000-155700</f>
        <v>244300</v>
      </c>
      <c r="J107" s="175">
        <v>229300</v>
      </c>
      <c r="K107" s="174">
        <f t="shared" si="24"/>
        <v>93.860008186655747</v>
      </c>
    </row>
    <row r="108" spans="1:11" ht="25.5">
      <c r="A108" s="305" t="s">
        <v>197</v>
      </c>
      <c r="B108" s="305" t="s">
        <v>158</v>
      </c>
      <c r="C108" s="305" t="s">
        <v>156</v>
      </c>
      <c r="D108" s="306" t="s">
        <v>1489</v>
      </c>
      <c r="E108" s="305" t="s">
        <v>159</v>
      </c>
      <c r="F108" s="305" t="s">
        <v>161</v>
      </c>
      <c r="G108" s="305" t="s">
        <v>157</v>
      </c>
      <c r="H108" s="498" t="s">
        <v>1488</v>
      </c>
      <c r="I108" s="174">
        <f>I109</f>
        <v>10000</v>
      </c>
      <c r="J108" s="174">
        <f t="shared" ref="J108" si="32">J109</f>
        <v>10000</v>
      </c>
      <c r="K108" s="174">
        <f t="shared" si="24"/>
        <v>100</v>
      </c>
    </row>
    <row r="109" spans="1:11" ht="38.25">
      <c r="A109" s="201" t="s">
        <v>2050</v>
      </c>
      <c r="B109" s="201" t="s">
        <v>158</v>
      </c>
      <c r="C109" s="201" t="s">
        <v>156</v>
      </c>
      <c r="D109" s="202" t="s">
        <v>1328</v>
      </c>
      <c r="E109" s="201" t="s">
        <v>163</v>
      </c>
      <c r="F109" s="201" t="s">
        <v>161</v>
      </c>
      <c r="G109" s="201" t="s">
        <v>157</v>
      </c>
      <c r="H109" s="499" t="s">
        <v>1490</v>
      </c>
      <c r="I109" s="175">
        <v>10000</v>
      </c>
      <c r="J109" s="175">
        <v>10000</v>
      </c>
      <c r="K109" s="174">
        <f t="shared" si="24"/>
        <v>100</v>
      </c>
    </row>
    <row r="110" spans="1:11" ht="51">
      <c r="A110" s="305" t="s">
        <v>197</v>
      </c>
      <c r="B110" s="305" t="s">
        <v>158</v>
      </c>
      <c r="C110" s="305" t="s">
        <v>156</v>
      </c>
      <c r="D110" s="306" t="s">
        <v>166</v>
      </c>
      <c r="E110" s="305" t="s">
        <v>163</v>
      </c>
      <c r="F110" s="305" t="s">
        <v>161</v>
      </c>
      <c r="G110" s="305" t="s">
        <v>157</v>
      </c>
      <c r="H110" s="186" t="s">
        <v>198</v>
      </c>
      <c r="I110" s="174">
        <f>I111+I112</f>
        <v>1010500</v>
      </c>
      <c r="J110" s="174">
        <f>J111+J112</f>
        <v>1045000</v>
      </c>
      <c r="K110" s="174">
        <f t="shared" si="24"/>
        <v>103.41415141019297</v>
      </c>
    </row>
    <row r="111" spans="1:11" ht="38.25">
      <c r="A111" s="201" t="s">
        <v>2050</v>
      </c>
      <c r="B111" s="201" t="s">
        <v>158</v>
      </c>
      <c r="C111" s="201" t="s">
        <v>156</v>
      </c>
      <c r="D111" s="202" t="s">
        <v>166</v>
      </c>
      <c r="E111" s="201" t="s">
        <v>163</v>
      </c>
      <c r="F111" s="201" t="s">
        <v>161</v>
      </c>
      <c r="G111" s="201" t="s">
        <v>157</v>
      </c>
      <c r="H111" s="54" t="s">
        <v>198</v>
      </c>
      <c r="I111" s="175">
        <v>1010500</v>
      </c>
      <c r="J111" s="175">
        <v>1035500</v>
      </c>
      <c r="K111" s="174">
        <f t="shared" si="24"/>
        <v>102.47402276100941</v>
      </c>
    </row>
    <row r="112" spans="1:11" ht="38.25">
      <c r="A112" s="188" t="s">
        <v>2141</v>
      </c>
      <c r="B112" s="188" t="s">
        <v>158</v>
      </c>
      <c r="C112" s="188" t="s">
        <v>156</v>
      </c>
      <c r="D112" s="191" t="s">
        <v>166</v>
      </c>
      <c r="E112" s="188" t="s">
        <v>163</v>
      </c>
      <c r="F112" s="188" t="s">
        <v>161</v>
      </c>
      <c r="G112" s="188" t="s">
        <v>157</v>
      </c>
      <c r="H112" s="54" t="s">
        <v>198</v>
      </c>
      <c r="I112" s="175">
        <v>0</v>
      </c>
      <c r="J112" s="175">
        <v>9500</v>
      </c>
      <c r="K112" s="174"/>
    </row>
    <row r="113" spans="1:11" ht="25.5">
      <c r="A113" s="187" t="s">
        <v>197</v>
      </c>
      <c r="B113" s="187" t="s">
        <v>158</v>
      </c>
      <c r="C113" s="187" t="s">
        <v>156</v>
      </c>
      <c r="D113" s="190" t="s">
        <v>1333</v>
      </c>
      <c r="E113" s="187" t="s">
        <v>163</v>
      </c>
      <c r="F113" s="187" t="s">
        <v>161</v>
      </c>
      <c r="G113" s="187" t="s">
        <v>157</v>
      </c>
      <c r="H113" s="307" t="s">
        <v>1491</v>
      </c>
      <c r="I113" s="174">
        <f>I114</f>
        <v>108245</v>
      </c>
      <c r="J113" s="174">
        <f t="shared" ref="J113" si="33">J114</f>
        <v>110745.61</v>
      </c>
      <c r="K113" s="174">
        <f t="shared" si="24"/>
        <v>102.31013903644511</v>
      </c>
    </row>
    <row r="114" spans="1:11" ht="25.5">
      <c r="A114" s="201" t="s">
        <v>2141</v>
      </c>
      <c r="B114" s="201" t="s">
        <v>158</v>
      </c>
      <c r="C114" s="201" t="s">
        <v>156</v>
      </c>
      <c r="D114" s="202" t="s">
        <v>816</v>
      </c>
      <c r="E114" s="201" t="s">
        <v>163</v>
      </c>
      <c r="F114" s="201" t="s">
        <v>161</v>
      </c>
      <c r="G114" s="201" t="s">
        <v>157</v>
      </c>
      <c r="H114" s="500" t="s">
        <v>815</v>
      </c>
      <c r="I114" s="175">
        <f>10000+98245</f>
        <v>108245</v>
      </c>
      <c r="J114" s="175">
        <v>110745.61</v>
      </c>
      <c r="K114" s="174">
        <f t="shared" si="24"/>
        <v>102.31013903644511</v>
      </c>
    </row>
    <row r="115" spans="1:11" ht="38.25">
      <c r="A115" s="305" t="s">
        <v>197</v>
      </c>
      <c r="B115" s="305" t="s">
        <v>158</v>
      </c>
      <c r="C115" s="305" t="s">
        <v>156</v>
      </c>
      <c r="D115" s="306" t="s">
        <v>1306</v>
      </c>
      <c r="E115" s="305" t="s">
        <v>159</v>
      </c>
      <c r="F115" s="305" t="s">
        <v>161</v>
      </c>
      <c r="G115" s="305" t="s">
        <v>157</v>
      </c>
      <c r="H115" s="307" t="s">
        <v>1492</v>
      </c>
      <c r="I115" s="174">
        <f>I116</f>
        <v>2382334.77</v>
      </c>
      <c r="J115" s="174">
        <f t="shared" ref="J115" si="34">J116</f>
        <v>1151764.3899999999</v>
      </c>
      <c r="K115" s="174">
        <f t="shared" si="24"/>
        <v>48.346034507988136</v>
      </c>
    </row>
    <row r="116" spans="1:11" ht="38.25">
      <c r="A116" s="201" t="s">
        <v>218</v>
      </c>
      <c r="B116" s="201" t="s">
        <v>158</v>
      </c>
      <c r="C116" s="201" t="s">
        <v>156</v>
      </c>
      <c r="D116" s="202" t="s">
        <v>1306</v>
      </c>
      <c r="E116" s="201" t="s">
        <v>275</v>
      </c>
      <c r="F116" s="201" t="s">
        <v>161</v>
      </c>
      <c r="G116" s="201" t="s">
        <v>157</v>
      </c>
      <c r="H116" s="54" t="s">
        <v>429</v>
      </c>
      <c r="I116" s="175">
        <f>188260+2162852.22+31222.55</f>
        <v>2382334.77</v>
      </c>
      <c r="J116" s="175">
        <v>1151764.3899999999</v>
      </c>
      <c r="K116" s="174">
        <f t="shared" si="24"/>
        <v>48.346034507988136</v>
      </c>
    </row>
    <row r="117" spans="1:11" ht="51">
      <c r="A117" s="305" t="s">
        <v>197</v>
      </c>
      <c r="B117" s="305" t="s">
        <v>158</v>
      </c>
      <c r="C117" s="305" t="s">
        <v>156</v>
      </c>
      <c r="D117" s="306" t="s">
        <v>1494</v>
      </c>
      <c r="E117" s="305" t="s">
        <v>159</v>
      </c>
      <c r="F117" s="305" t="s">
        <v>161</v>
      </c>
      <c r="G117" s="305" t="s">
        <v>157</v>
      </c>
      <c r="H117" s="307" t="s">
        <v>1493</v>
      </c>
      <c r="I117" s="174">
        <f>I118</f>
        <v>50000</v>
      </c>
      <c r="J117" s="174">
        <f t="shared" ref="J117" si="35">J118</f>
        <v>50000</v>
      </c>
      <c r="K117" s="174">
        <f t="shared" si="24"/>
        <v>100</v>
      </c>
    </row>
    <row r="118" spans="1:11" ht="51">
      <c r="A118" s="201" t="s">
        <v>2059</v>
      </c>
      <c r="B118" s="201" t="s">
        <v>158</v>
      </c>
      <c r="C118" s="201" t="s">
        <v>156</v>
      </c>
      <c r="D118" s="202" t="s">
        <v>1308</v>
      </c>
      <c r="E118" s="201" t="s">
        <v>275</v>
      </c>
      <c r="F118" s="201" t="s">
        <v>161</v>
      </c>
      <c r="G118" s="201" t="s">
        <v>157</v>
      </c>
      <c r="H118" s="500" t="s">
        <v>1307</v>
      </c>
      <c r="I118" s="175">
        <f>225000-175000</f>
        <v>50000</v>
      </c>
      <c r="J118" s="175">
        <v>50000</v>
      </c>
      <c r="K118" s="174">
        <f t="shared" si="24"/>
        <v>100</v>
      </c>
    </row>
    <row r="119" spans="1:11" ht="25.5">
      <c r="A119" s="305" t="s">
        <v>197</v>
      </c>
      <c r="B119" s="305" t="s">
        <v>158</v>
      </c>
      <c r="C119" s="305" t="s">
        <v>156</v>
      </c>
      <c r="D119" s="306" t="s">
        <v>1496</v>
      </c>
      <c r="E119" s="305" t="s">
        <v>159</v>
      </c>
      <c r="F119" s="305" t="s">
        <v>161</v>
      </c>
      <c r="G119" s="305" t="s">
        <v>157</v>
      </c>
      <c r="H119" s="501" t="s">
        <v>1495</v>
      </c>
      <c r="I119" s="174">
        <f>I120</f>
        <v>69000</v>
      </c>
      <c r="J119" s="174">
        <f t="shared" ref="J119" si="36">J120</f>
        <v>69169.7</v>
      </c>
      <c r="K119" s="174">
        <f t="shared" si="24"/>
        <v>100.24594202898551</v>
      </c>
    </row>
    <row r="120" spans="1:11" s="129" customFormat="1" ht="25.5">
      <c r="A120" s="188" t="s">
        <v>2039</v>
      </c>
      <c r="B120" s="188" t="s">
        <v>158</v>
      </c>
      <c r="C120" s="188" t="s">
        <v>156</v>
      </c>
      <c r="D120" s="191" t="s">
        <v>321</v>
      </c>
      <c r="E120" s="188" t="s">
        <v>275</v>
      </c>
      <c r="F120" s="188" t="s">
        <v>161</v>
      </c>
      <c r="G120" s="188" t="s">
        <v>157</v>
      </c>
      <c r="H120" s="9" t="s">
        <v>320</v>
      </c>
      <c r="I120" s="175">
        <f>330000-261000</f>
        <v>69000</v>
      </c>
      <c r="J120" s="175">
        <v>69169.7</v>
      </c>
      <c r="K120" s="174">
        <f t="shared" si="24"/>
        <v>100.24594202898551</v>
      </c>
    </row>
    <row r="121" spans="1:11" s="129" customFormat="1" ht="34.5" customHeight="1">
      <c r="A121" s="188" t="s">
        <v>2150</v>
      </c>
      <c r="B121" s="188" t="s">
        <v>158</v>
      </c>
      <c r="C121" s="188" t="s">
        <v>156</v>
      </c>
      <c r="D121" s="191" t="s">
        <v>2024</v>
      </c>
      <c r="E121" s="188" t="s">
        <v>163</v>
      </c>
      <c r="F121" s="188" t="s">
        <v>161</v>
      </c>
      <c r="G121" s="188" t="s">
        <v>157</v>
      </c>
      <c r="H121" s="9" t="s">
        <v>2023</v>
      </c>
      <c r="I121" s="175">
        <v>62000</v>
      </c>
      <c r="J121" s="175">
        <v>62000</v>
      </c>
      <c r="K121" s="174">
        <f t="shared" si="24"/>
        <v>100</v>
      </c>
    </row>
    <row r="122" spans="1:11" ht="63.75">
      <c r="A122" s="187" t="s">
        <v>197</v>
      </c>
      <c r="B122" s="187" t="s">
        <v>158</v>
      </c>
      <c r="C122" s="187" t="s">
        <v>156</v>
      </c>
      <c r="D122" s="190" t="s">
        <v>677</v>
      </c>
      <c r="E122" s="187" t="s">
        <v>163</v>
      </c>
      <c r="F122" s="187" t="s">
        <v>161</v>
      </c>
      <c r="G122" s="187" t="s">
        <v>157</v>
      </c>
      <c r="H122" s="186" t="s">
        <v>688</v>
      </c>
      <c r="I122" s="174">
        <f>SUM(I123:I127)</f>
        <v>356420</v>
      </c>
      <c r="J122" s="174">
        <f>SUM(J123:J127)</f>
        <v>366419.57</v>
      </c>
      <c r="K122" s="174">
        <f t="shared" si="24"/>
        <v>102.80555804949219</v>
      </c>
    </row>
    <row r="123" spans="1:11" ht="51">
      <c r="A123" s="188" t="s">
        <v>608</v>
      </c>
      <c r="B123" s="188" t="s">
        <v>158</v>
      </c>
      <c r="C123" s="188" t="s">
        <v>156</v>
      </c>
      <c r="D123" s="191" t="s">
        <v>677</v>
      </c>
      <c r="E123" s="188" t="s">
        <v>163</v>
      </c>
      <c r="F123" s="188" t="s">
        <v>161</v>
      </c>
      <c r="G123" s="188" t="s">
        <v>157</v>
      </c>
      <c r="H123" s="9" t="s">
        <v>688</v>
      </c>
      <c r="I123" s="175">
        <v>0</v>
      </c>
      <c r="J123" s="175">
        <v>4000</v>
      </c>
      <c r="K123" s="174"/>
    </row>
    <row r="124" spans="1:11" ht="51">
      <c r="A124" s="188" t="s">
        <v>2050</v>
      </c>
      <c r="B124" s="188" t="s">
        <v>158</v>
      </c>
      <c r="C124" s="188" t="s">
        <v>156</v>
      </c>
      <c r="D124" s="191" t="s">
        <v>677</v>
      </c>
      <c r="E124" s="188" t="s">
        <v>163</v>
      </c>
      <c r="F124" s="188" t="s">
        <v>161</v>
      </c>
      <c r="G124" s="188" t="s">
        <v>157</v>
      </c>
      <c r="H124" s="9" t="s">
        <v>688</v>
      </c>
      <c r="I124" s="175">
        <v>0</v>
      </c>
      <c r="J124" s="175">
        <v>6000</v>
      </c>
      <c r="K124" s="174"/>
    </row>
    <row r="125" spans="1:11" ht="51">
      <c r="A125" s="188" t="s">
        <v>2738</v>
      </c>
      <c r="B125" s="188" t="s">
        <v>158</v>
      </c>
      <c r="C125" s="188" t="s">
        <v>156</v>
      </c>
      <c r="D125" s="191" t="s">
        <v>677</v>
      </c>
      <c r="E125" s="188" t="s">
        <v>163</v>
      </c>
      <c r="F125" s="188" t="s">
        <v>161</v>
      </c>
      <c r="G125" s="188" t="s">
        <v>157</v>
      </c>
      <c r="H125" s="9" t="s">
        <v>688</v>
      </c>
      <c r="I125" s="175"/>
      <c r="J125" s="175">
        <v>140000</v>
      </c>
      <c r="K125" s="174"/>
    </row>
    <row r="126" spans="1:11" ht="51">
      <c r="A126" s="188" t="s">
        <v>2141</v>
      </c>
      <c r="B126" s="188" t="s">
        <v>158</v>
      </c>
      <c r="C126" s="188" t="s">
        <v>156</v>
      </c>
      <c r="D126" s="191" t="s">
        <v>677</v>
      </c>
      <c r="E126" s="188" t="s">
        <v>163</v>
      </c>
      <c r="F126" s="188" t="s">
        <v>161</v>
      </c>
      <c r="G126" s="188" t="s">
        <v>157</v>
      </c>
      <c r="H126" s="9" t="s">
        <v>688</v>
      </c>
      <c r="I126" s="220">
        <v>356420</v>
      </c>
      <c r="J126" s="220">
        <v>206419.57</v>
      </c>
      <c r="K126" s="174">
        <f t="shared" si="24"/>
        <v>57.914698950676168</v>
      </c>
    </row>
    <row r="127" spans="1:11" ht="51">
      <c r="A127" s="188" t="s">
        <v>498</v>
      </c>
      <c r="B127" s="188" t="s">
        <v>158</v>
      </c>
      <c r="C127" s="188" t="s">
        <v>156</v>
      </c>
      <c r="D127" s="191" t="s">
        <v>677</v>
      </c>
      <c r="E127" s="188" t="s">
        <v>163</v>
      </c>
      <c r="F127" s="188" t="s">
        <v>161</v>
      </c>
      <c r="G127" s="188" t="s">
        <v>157</v>
      </c>
      <c r="H127" s="9" t="s">
        <v>688</v>
      </c>
      <c r="I127" s="175"/>
      <c r="J127" s="175">
        <v>10000</v>
      </c>
      <c r="K127" s="174"/>
    </row>
    <row r="128" spans="1:11" ht="25.5">
      <c r="A128" s="201" t="s">
        <v>2150</v>
      </c>
      <c r="B128" s="201" t="s">
        <v>158</v>
      </c>
      <c r="C128" s="201" t="s">
        <v>156</v>
      </c>
      <c r="D128" s="202" t="s">
        <v>817</v>
      </c>
      <c r="E128" s="201" t="s">
        <v>163</v>
      </c>
      <c r="F128" s="201" t="s">
        <v>161</v>
      </c>
      <c r="G128" s="201" t="s">
        <v>157</v>
      </c>
      <c r="H128" s="9" t="s">
        <v>1277</v>
      </c>
      <c r="I128" s="175">
        <f>450000-250000</f>
        <v>200000</v>
      </c>
      <c r="J128" s="175">
        <v>200000</v>
      </c>
      <c r="K128" s="174">
        <f t="shared" si="24"/>
        <v>100</v>
      </c>
    </row>
    <row r="129" spans="1:11" ht="25.5">
      <c r="A129" s="305" t="s">
        <v>197</v>
      </c>
      <c r="B129" s="305" t="s">
        <v>158</v>
      </c>
      <c r="C129" s="305" t="s">
        <v>156</v>
      </c>
      <c r="D129" s="306" t="s">
        <v>1498</v>
      </c>
      <c r="E129" s="305" t="s">
        <v>159</v>
      </c>
      <c r="F129" s="305" t="s">
        <v>161</v>
      </c>
      <c r="G129" s="305" t="s">
        <v>157</v>
      </c>
      <c r="H129" s="186" t="s">
        <v>1497</v>
      </c>
      <c r="I129" s="174">
        <f>SUM(I130:I138)</f>
        <v>2151674</v>
      </c>
      <c r="J129" s="174">
        <f>SUM(J130:J138)</f>
        <v>2250316.06</v>
      </c>
      <c r="K129" s="174">
        <f t="shared" si="24"/>
        <v>104.58443332958431</v>
      </c>
    </row>
    <row r="130" spans="1:11" ht="25.5">
      <c r="A130" s="494" t="s">
        <v>2025</v>
      </c>
      <c r="B130" s="188" t="s">
        <v>158</v>
      </c>
      <c r="C130" s="188" t="s">
        <v>156</v>
      </c>
      <c r="D130" s="191" t="s">
        <v>10</v>
      </c>
      <c r="E130" s="188" t="s">
        <v>275</v>
      </c>
      <c r="F130" s="188" t="s">
        <v>161</v>
      </c>
      <c r="G130" s="188" t="s">
        <v>157</v>
      </c>
      <c r="H130" s="9" t="s">
        <v>9</v>
      </c>
      <c r="I130" s="392">
        <v>600000</v>
      </c>
      <c r="J130" s="382">
        <v>526534.29</v>
      </c>
      <c r="K130" s="174">
        <f t="shared" si="24"/>
        <v>87.755714999999995</v>
      </c>
    </row>
    <row r="131" spans="1:11" ht="25.5">
      <c r="A131" s="36" t="s">
        <v>2037</v>
      </c>
      <c r="B131" s="188" t="s">
        <v>158</v>
      </c>
      <c r="C131" s="188" t="s">
        <v>156</v>
      </c>
      <c r="D131" s="191" t="s">
        <v>10</v>
      </c>
      <c r="E131" s="188" t="s">
        <v>275</v>
      </c>
      <c r="F131" s="188" t="s">
        <v>161</v>
      </c>
      <c r="G131" s="188" t="s">
        <v>157</v>
      </c>
      <c r="H131" s="9" t="s">
        <v>9</v>
      </c>
      <c r="I131" s="392">
        <v>40000</v>
      </c>
      <c r="J131" s="392">
        <v>59300</v>
      </c>
      <c r="K131" s="174">
        <f t="shared" si="24"/>
        <v>148.25</v>
      </c>
    </row>
    <row r="132" spans="1:11" ht="25.5">
      <c r="A132" s="36" t="s">
        <v>2039</v>
      </c>
      <c r="B132" s="188" t="s">
        <v>158</v>
      </c>
      <c r="C132" s="188" t="s">
        <v>156</v>
      </c>
      <c r="D132" s="191" t="s">
        <v>10</v>
      </c>
      <c r="E132" s="188" t="s">
        <v>275</v>
      </c>
      <c r="F132" s="188" t="s">
        <v>161</v>
      </c>
      <c r="G132" s="188" t="s">
        <v>157</v>
      </c>
      <c r="H132" s="9" t="s">
        <v>9</v>
      </c>
      <c r="I132" s="392">
        <v>520000</v>
      </c>
      <c r="J132" s="392">
        <v>810987.62</v>
      </c>
      <c r="K132" s="174">
        <f t="shared" si="24"/>
        <v>155.95915769230768</v>
      </c>
    </row>
    <row r="133" spans="1:11" ht="25.5">
      <c r="A133" s="36" t="s">
        <v>608</v>
      </c>
      <c r="B133" s="188" t="s">
        <v>158</v>
      </c>
      <c r="C133" s="188" t="s">
        <v>156</v>
      </c>
      <c r="D133" s="191" t="s">
        <v>10</v>
      </c>
      <c r="E133" s="188" t="s">
        <v>275</v>
      </c>
      <c r="F133" s="188" t="s">
        <v>161</v>
      </c>
      <c r="G133" s="188" t="s">
        <v>157</v>
      </c>
      <c r="H133" s="9" t="s">
        <v>9</v>
      </c>
      <c r="I133" s="392">
        <v>40000</v>
      </c>
      <c r="J133" s="392">
        <v>6000</v>
      </c>
      <c r="K133" s="174">
        <f t="shared" si="24"/>
        <v>15</v>
      </c>
    </row>
    <row r="134" spans="1:11" ht="25.5">
      <c r="A134" s="36" t="s">
        <v>2050</v>
      </c>
      <c r="B134" s="188" t="s">
        <v>158</v>
      </c>
      <c r="C134" s="188" t="s">
        <v>156</v>
      </c>
      <c r="D134" s="191" t="s">
        <v>10</v>
      </c>
      <c r="E134" s="188" t="s">
        <v>275</v>
      </c>
      <c r="F134" s="188" t="s">
        <v>161</v>
      </c>
      <c r="G134" s="188" t="s">
        <v>157</v>
      </c>
      <c r="H134" s="9" t="s">
        <v>9</v>
      </c>
      <c r="I134" s="392">
        <v>70000</v>
      </c>
      <c r="J134" s="392">
        <v>82400</v>
      </c>
      <c r="K134" s="174">
        <f t="shared" si="24"/>
        <v>117.71428571428571</v>
      </c>
    </row>
    <row r="135" spans="1:11" ht="25.5">
      <c r="A135" s="36" t="s">
        <v>2063</v>
      </c>
      <c r="B135" s="188" t="s">
        <v>158</v>
      </c>
      <c r="C135" s="188" t="s">
        <v>156</v>
      </c>
      <c r="D135" s="191" t="s">
        <v>10</v>
      </c>
      <c r="E135" s="188" t="s">
        <v>275</v>
      </c>
      <c r="F135" s="188" t="s">
        <v>161</v>
      </c>
      <c r="G135" s="188" t="s">
        <v>157</v>
      </c>
      <c r="H135" s="9" t="s">
        <v>9</v>
      </c>
      <c r="I135" s="392">
        <v>3000</v>
      </c>
      <c r="J135" s="392">
        <v>7600</v>
      </c>
      <c r="K135" s="174">
        <f t="shared" si="24"/>
        <v>253.33333333333331</v>
      </c>
    </row>
    <row r="136" spans="1:11" ht="25.5">
      <c r="A136" s="36" t="s">
        <v>2141</v>
      </c>
      <c r="B136" s="188" t="s">
        <v>158</v>
      </c>
      <c r="C136" s="188" t="s">
        <v>156</v>
      </c>
      <c r="D136" s="191" t="s">
        <v>10</v>
      </c>
      <c r="E136" s="188" t="s">
        <v>275</v>
      </c>
      <c r="F136" s="188" t="s">
        <v>161</v>
      </c>
      <c r="G136" s="188" t="s">
        <v>157</v>
      </c>
      <c r="H136" s="9" t="s">
        <v>9</v>
      </c>
      <c r="I136" s="392">
        <v>750000</v>
      </c>
      <c r="J136" s="392">
        <v>627320.21</v>
      </c>
      <c r="K136" s="174">
        <f t="shared" si="24"/>
        <v>83.642694666666657</v>
      </c>
    </row>
    <row r="137" spans="1:11" ht="25.5">
      <c r="A137" s="36" t="s">
        <v>5</v>
      </c>
      <c r="B137" s="188" t="s">
        <v>158</v>
      </c>
      <c r="C137" s="188" t="s">
        <v>156</v>
      </c>
      <c r="D137" s="191" t="s">
        <v>10</v>
      </c>
      <c r="E137" s="188" t="s">
        <v>275</v>
      </c>
      <c r="F137" s="188" t="s">
        <v>161</v>
      </c>
      <c r="G137" s="188" t="s">
        <v>157</v>
      </c>
      <c r="H137" s="9" t="s">
        <v>9</v>
      </c>
      <c r="I137" s="173">
        <v>0</v>
      </c>
      <c r="J137" s="220">
        <v>500</v>
      </c>
      <c r="K137" s="174"/>
    </row>
    <row r="138" spans="1:11" ht="25.5">
      <c r="A138" s="36" t="s">
        <v>5</v>
      </c>
      <c r="B138" s="188" t="s">
        <v>158</v>
      </c>
      <c r="C138" s="188" t="s">
        <v>156</v>
      </c>
      <c r="D138" s="191" t="s">
        <v>10</v>
      </c>
      <c r="E138" s="188" t="s">
        <v>275</v>
      </c>
      <c r="F138" s="188" t="s">
        <v>161</v>
      </c>
      <c r="G138" s="188" t="s">
        <v>157</v>
      </c>
      <c r="H138" s="9" t="s">
        <v>9</v>
      </c>
      <c r="I138" s="173">
        <v>128674</v>
      </c>
      <c r="J138" s="173">
        <v>129673.94</v>
      </c>
      <c r="K138" s="174">
        <f t="shared" ref="K138:K200" si="37">J138/I138*100</f>
        <v>100.77711114910551</v>
      </c>
    </row>
    <row r="139" spans="1:11">
      <c r="A139" s="187" t="s">
        <v>197</v>
      </c>
      <c r="B139" s="187" t="s">
        <v>158</v>
      </c>
      <c r="C139" s="187" t="s">
        <v>1720</v>
      </c>
      <c r="D139" s="190" t="s">
        <v>160</v>
      </c>
      <c r="E139" s="187" t="s">
        <v>159</v>
      </c>
      <c r="F139" s="187" t="s">
        <v>161</v>
      </c>
      <c r="G139" s="187" t="s">
        <v>678</v>
      </c>
      <c r="H139" s="186" t="s">
        <v>430</v>
      </c>
      <c r="I139" s="174">
        <f>I144+I140</f>
        <v>45360.71</v>
      </c>
      <c r="J139" s="174">
        <f>J144+J140</f>
        <v>267711.3</v>
      </c>
      <c r="K139" s="174">
        <f t="shared" si="37"/>
        <v>590.18322244074227</v>
      </c>
    </row>
    <row r="140" spans="1:11" ht="25.5">
      <c r="A140" s="187" t="s">
        <v>197</v>
      </c>
      <c r="B140" s="187" t="s">
        <v>158</v>
      </c>
      <c r="C140" s="187" t="s">
        <v>1720</v>
      </c>
      <c r="D140" s="190" t="s">
        <v>2018</v>
      </c>
      <c r="E140" s="187" t="s">
        <v>275</v>
      </c>
      <c r="F140" s="187" t="s">
        <v>161</v>
      </c>
      <c r="G140" s="187" t="s">
        <v>678</v>
      </c>
      <c r="H140" s="409" t="s">
        <v>388</v>
      </c>
      <c r="I140" s="174">
        <f>SUM(I141:I143)</f>
        <v>0</v>
      </c>
      <c r="J140" s="174">
        <f>SUM(J141:J143)</f>
        <v>222350.59</v>
      </c>
      <c r="K140" s="174"/>
    </row>
    <row r="141" spans="1:11" ht="25.5">
      <c r="A141" s="36" t="s">
        <v>5</v>
      </c>
      <c r="B141" s="188" t="s">
        <v>158</v>
      </c>
      <c r="C141" s="188" t="s">
        <v>1720</v>
      </c>
      <c r="D141" s="191" t="s">
        <v>2018</v>
      </c>
      <c r="E141" s="188" t="s">
        <v>163</v>
      </c>
      <c r="F141" s="188" t="s">
        <v>161</v>
      </c>
      <c r="G141" s="188" t="s">
        <v>678</v>
      </c>
      <c r="H141" s="391" t="s">
        <v>388</v>
      </c>
      <c r="I141" s="175">
        <v>0</v>
      </c>
      <c r="J141" s="139">
        <v>219921.19</v>
      </c>
      <c r="K141" s="174"/>
    </row>
    <row r="142" spans="1:11" ht="25.5">
      <c r="A142" s="36" t="s">
        <v>88</v>
      </c>
      <c r="B142" s="188" t="s">
        <v>158</v>
      </c>
      <c r="C142" s="188" t="s">
        <v>1720</v>
      </c>
      <c r="D142" s="191" t="s">
        <v>2018</v>
      </c>
      <c r="E142" s="188" t="s">
        <v>163</v>
      </c>
      <c r="F142" s="188" t="s">
        <v>161</v>
      </c>
      <c r="G142" s="188" t="s">
        <v>678</v>
      </c>
      <c r="H142" s="391" t="s">
        <v>388</v>
      </c>
      <c r="I142" s="175">
        <v>0</v>
      </c>
      <c r="J142" s="139">
        <v>-500</v>
      </c>
      <c r="K142" s="174"/>
    </row>
    <row r="143" spans="1:11" ht="25.5">
      <c r="A143" s="36" t="s">
        <v>252</v>
      </c>
      <c r="B143" s="188" t="s">
        <v>158</v>
      </c>
      <c r="C143" s="188" t="s">
        <v>1720</v>
      </c>
      <c r="D143" s="191" t="s">
        <v>2018</v>
      </c>
      <c r="E143" s="188" t="s">
        <v>163</v>
      </c>
      <c r="F143" s="188" t="s">
        <v>161</v>
      </c>
      <c r="G143" s="188" t="s">
        <v>678</v>
      </c>
      <c r="H143" s="391" t="s">
        <v>388</v>
      </c>
      <c r="I143" s="175">
        <v>0</v>
      </c>
      <c r="J143" s="139">
        <v>2929.4</v>
      </c>
      <c r="K143" s="174"/>
    </row>
    <row r="144" spans="1:11">
      <c r="A144" s="187" t="s">
        <v>197</v>
      </c>
      <c r="B144" s="187" t="s">
        <v>158</v>
      </c>
      <c r="C144" s="187" t="s">
        <v>1720</v>
      </c>
      <c r="D144" s="190" t="s">
        <v>1721</v>
      </c>
      <c r="E144" s="187" t="s">
        <v>275</v>
      </c>
      <c r="F144" s="187" t="s">
        <v>161</v>
      </c>
      <c r="G144" s="187" t="s">
        <v>678</v>
      </c>
      <c r="H144" s="186" t="s">
        <v>430</v>
      </c>
      <c r="I144" s="174">
        <f>I145</f>
        <v>45360.71</v>
      </c>
      <c r="J144" s="174">
        <f>J145</f>
        <v>45360.71</v>
      </c>
      <c r="K144" s="174">
        <f t="shared" si="37"/>
        <v>100</v>
      </c>
    </row>
    <row r="145" spans="1:11">
      <c r="A145" s="188" t="s">
        <v>252</v>
      </c>
      <c r="B145" s="188" t="s">
        <v>158</v>
      </c>
      <c r="C145" s="188" t="s">
        <v>1720</v>
      </c>
      <c r="D145" s="191" t="s">
        <v>1721</v>
      </c>
      <c r="E145" s="188" t="s">
        <v>275</v>
      </c>
      <c r="F145" s="188" t="s">
        <v>161</v>
      </c>
      <c r="G145" s="188" t="s">
        <v>678</v>
      </c>
      <c r="H145" s="9" t="s">
        <v>430</v>
      </c>
      <c r="I145" s="175">
        <f>35600+9760.71</f>
        <v>45360.71</v>
      </c>
      <c r="J145" s="175">
        <v>45360.71</v>
      </c>
      <c r="K145" s="174">
        <f t="shared" si="37"/>
        <v>100</v>
      </c>
    </row>
    <row r="146" spans="1:11">
      <c r="A146" s="205" t="s">
        <v>253</v>
      </c>
      <c r="B146" s="205" t="s">
        <v>207</v>
      </c>
      <c r="C146" s="205" t="s">
        <v>159</v>
      </c>
      <c r="D146" s="206" t="s">
        <v>160</v>
      </c>
      <c r="E146" s="205" t="s">
        <v>159</v>
      </c>
      <c r="F146" s="205" t="s">
        <v>161</v>
      </c>
      <c r="G146" s="205" t="s">
        <v>197</v>
      </c>
      <c r="H146" s="186" t="s">
        <v>115</v>
      </c>
      <c r="I146" s="174">
        <f>I147+I234+I254+I237+I241+I230</f>
        <v>1720579553.5800002</v>
      </c>
      <c r="J146" s="174">
        <f>J147+J234+J254+J237+J241+J230</f>
        <v>1703148560.55</v>
      </c>
      <c r="K146" s="174">
        <f t="shared" si="37"/>
        <v>98.98691153258612</v>
      </c>
    </row>
    <row r="147" spans="1:11" ht="25.5">
      <c r="A147" s="205" t="s">
        <v>253</v>
      </c>
      <c r="B147" s="205" t="s">
        <v>207</v>
      </c>
      <c r="C147" s="205" t="s">
        <v>271</v>
      </c>
      <c r="D147" s="206" t="s">
        <v>160</v>
      </c>
      <c r="E147" s="205" t="s">
        <v>159</v>
      </c>
      <c r="F147" s="205" t="s">
        <v>161</v>
      </c>
      <c r="G147" s="205" t="s">
        <v>197</v>
      </c>
      <c r="H147" s="186" t="s">
        <v>175</v>
      </c>
      <c r="I147" s="174">
        <f>I148+I153+I192+I223+I151</f>
        <v>1717113872.0700002</v>
      </c>
      <c r="J147" s="174">
        <f>J148+J151+J153+J192+J223</f>
        <v>1699324136.3699999</v>
      </c>
      <c r="K147" s="174">
        <f t="shared" si="37"/>
        <v>98.963974609409306</v>
      </c>
    </row>
    <row r="148" spans="1:11" ht="25.5">
      <c r="A148" s="205" t="s">
        <v>253</v>
      </c>
      <c r="B148" s="205" t="s">
        <v>207</v>
      </c>
      <c r="C148" s="205" t="s">
        <v>271</v>
      </c>
      <c r="D148" s="206" t="s">
        <v>1330</v>
      </c>
      <c r="E148" s="205" t="s">
        <v>159</v>
      </c>
      <c r="F148" s="205" t="s">
        <v>161</v>
      </c>
      <c r="G148" s="205" t="s">
        <v>11</v>
      </c>
      <c r="H148" s="186" t="s">
        <v>679</v>
      </c>
      <c r="I148" s="174">
        <f>I149</f>
        <v>412575900</v>
      </c>
      <c r="J148" s="174">
        <f>J149</f>
        <v>412575900</v>
      </c>
      <c r="K148" s="174">
        <f t="shared" si="37"/>
        <v>100</v>
      </c>
    </row>
    <row r="149" spans="1:11">
      <c r="A149" s="205" t="s">
        <v>253</v>
      </c>
      <c r="B149" s="205" t="s">
        <v>207</v>
      </c>
      <c r="C149" s="205" t="s">
        <v>271</v>
      </c>
      <c r="D149" s="206" t="s">
        <v>1330</v>
      </c>
      <c r="E149" s="205" t="s">
        <v>275</v>
      </c>
      <c r="F149" s="205" t="s">
        <v>161</v>
      </c>
      <c r="G149" s="205" t="s">
        <v>11</v>
      </c>
      <c r="H149" s="192" t="s">
        <v>680</v>
      </c>
      <c r="I149" s="174">
        <f>I150</f>
        <v>412575900</v>
      </c>
      <c r="J149" s="174">
        <f>J150</f>
        <v>412575900</v>
      </c>
      <c r="K149" s="174">
        <f t="shared" si="37"/>
        <v>100</v>
      </c>
    </row>
    <row r="150" spans="1:11" ht="25.5">
      <c r="A150" s="203" t="s">
        <v>253</v>
      </c>
      <c r="B150" s="203" t="s">
        <v>207</v>
      </c>
      <c r="C150" s="203" t="s">
        <v>271</v>
      </c>
      <c r="D150" s="204" t="s">
        <v>1330</v>
      </c>
      <c r="E150" s="203" t="s">
        <v>275</v>
      </c>
      <c r="F150" s="203" t="s">
        <v>681</v>
      </c>
      <c r="G150" s="203" t="s">
        <v>11</v>
      </c>
      <c r="H150" s="193" t="s">
        <v>431</v>
      </c>
      <c r="I150" s="175">
        <v>412575900</v>
      </c>
      <c r="J150" s="173">
        <v>412575900</v>
      </c>
      <c r="K150" s="174">
        <f t="shared" si="37"/>
        <v>100</v>
      </c>
    </row>
    <row r="151" spans="1:11" ht="25.5">
      <c r="A151" s="205" t="s">
        <v>253</v>
      </c>
      <c r="B151" s="205" t="s">
        <v>207</v>
      </c>
      <c r="C151" s="205" t="s">
        <v>271</v>
      </c>
      <c r="D151" s="206" t="s">
        <v>1793</v>
      </c>
      <c r="E151" s="205" t="s">
        <v>159</v>
      </c>
      <c r="F151" s="205" t="s">
        <v>161</v>
      </c>
      <c r="G151" s="205" t="s">
        <v>11</v>
      </c>
      <c r="H151" s="192" t="s">
        <v>1792</v>
      </c>
      <c r="I151" s="174">
        <f>I152</f>
        <v>158176000</v>
      </c>
      <c r="J151" s="174">
        <f>J152</f>
        <v>158176000</v>
      </c>
      <c r="K151" s="174">
        <f t="shared" si="37"/>
        <v>100</v>
      </c>
    </row>
    <row r="152" spans="1:11" ht="25.5">
      <c r="A152" s="203" t="s">
        <v>253</v>
      </c>
      <c r="B152" s="203" t="s">
        <v>207</v>
      </c>
      <c r="C152" s="203" t="s">
        <v>271</v>
      </c>
      <c r="D152" s="204" t="s">
        <v>1793</v>
      </c>
      <c r="E152" s="203" t="s">
        <v>275</v>
      </c>
      <c r="F152" s="203" t="s">
        <v>161</v>
      </c>
      <c r="G152" s="203" t="s">
        <v>11</v>
      </c>
      <c r="H152" s="193" t="s">
        <v>432</v>
      </c>
      <c r="I152" s="175">
        <v>158176000</v>
      </c>
      <c r="J152" s="173">
        <v>158176000</v>
      </c>
      <c r="K152" s="174">
        <f t="shared" si="37"/>
        <v>100</v>
      </c>
    </row>
    <row r="153" spans="1:11" ht="25.5">
      <c r="A153" s="205" t="s">
        <v>253</v>
      </c>
      <c r="B153" s="205" t="s">
        <v>207</v>
      </c>
      <c r="C153" s="205" t="s">
        <v>271</v>
      </c>
      <c r="D153" s="206" t="s">
        <v>1331</v>
      </c>
      <c r="E153" s="205" t="s">
        <v>159</v>
      </c>
      <c r="F153" s="205" t="s">
        <v>161</v>
      </c>
      <c r="G153" s="205" t="s">
        <v>11</v>
      </c>
      <c r="H153" s="196" t="s">
        <v>167</v>
      </c>
      <c r="I153" s="174">
        <f>I164+I156+I160+I154+I162+I158</f>
        <v>133020185.09</v>
      </c>
      <c r="J153" s="174">
        <f>J164+J156+J160+J154+J162+J158</f>
        <v>128057841.56000003</v>
      </c>
      <c r="K153" s="174">
        <f t="shared" si="37"/>
        <v>96.269480811019392</v>
      </c>
    </row>
    <row r="154" spans="1:11" ht="25.5">
      <c r="A154" s="205" t="s">
        <v>253</v>
      </c>
      <c r="B154" s="205" t="s">
        <v>207</v>
      </c>
      <c r="C154" s="205" t="s">
        <v>271</v>
      </c>
      <c r="D154" s="206" t="s">
        <v>1795</v>
      </c>
      <c r="E154" s="205" t="s">
        <v>159</v>
      </c>
      <c r="F154" s="205" t="s">
        <v>161</v>
      </c>
      <c r="G154" s="205" t="s">
        <v>11</v>
      </c>
      <c r="H154" s="196" t="s">
        <v>1794</v>
      </c>
      <c r="I154" s="174">
        <f>I155</f>
        <v>4156104</v>
      </c>
      <c r="J154" s="174">
        <f>J155</f>
        <v>4156104</v>
      </c>
      <c r="K154" s="174">
        <f t="shared" si="37"/>
        <v>100</v>
      </c>
    </row>
    <row r="155" spans="1:11" ht="25.5">
      <c r="A155" s="203" t="s">
        <v>253</v>
      </c>
      <c r="B155" s="203" t="s">
        <v>207</v>
      </c>
      <c r="C155" s="203" t="s">
        <v>271</v>
      </c>
      <c r="D155" s="204" t="s">
        <v>1795</v>
      </c>
      <c r="E155" s="203" t="s">
        <v>275</v>
      </c>
      <c r="F155" s="203" t="s">
        <v>161</v>
      </c>
      <c r="G155" s="203" t="s">
        <v>11</v>
      </c>
      <c r="H155" s="317" t="s">
        <v>799</v>
      </c>
      <c r="I155" s="175">
        <f>1453648.23+2702455.77</f>
        <v>4156104</v>
      </c>
      <c r="J155" s="173">
        <v>4156104</v>
      </c>
      <c r="K155" s="174">
        <f t="shared" si="37"/>
        <v>100</v>
      </c>
    </row>
    <row r="156" spans="1:11" ht="63.75">
      <c r="A156" s="205" t="s">
        <v>253</v>
      </c>
      <c r="B156" s="205" t="s">
        <v>207</v>
      </c>
      <c r="C156" s="205" t="s">
        <v>271</v>
      </c>
      <c r="D156" s="206" t="s">
        <v>1691</v>
      </c>
      <c r="E156" s="205" t="s">
        <v>159</v>
      </c>
      <c r="F156" s="205" t="s">
        <v>161</v>
      </c>
      <c r="G156" s="205" t="s">
        <v>11</v>
      </c>
      <c r="H156" s="196" t="s">
        <v>1693</v>
      </c>
      <c r="I156" s="174">
        <f>I157</f>
        <v>1935165.0899999999</v>
      </c>
      <c r="J156" s="174">
        <f>J157</f>
        <v>1935165.09</v>
      </c>
      <c r="K156" s="174">
        <f t="shared" si="37"/>
        <v>100.00000000000003</v>
      </c>
    </row>
    <row r="157" spans="1:11" ht="127.5">
      <c r="A157" s="203" t="s">
        <v>253</v>
      </c>
      <c r="B157" s="203" t="s">
        <v>207</v>
      </c>
      <c r="C157" s="203" t="s">
        <v>271</v>
      </c>
      <c r="D157" s="204" t="s">
        <v>1691</v>
      </c>
      <c r="E157" s="203" t="s">
        <v>275</v>
      </c>
      <c r="F157" s="203" t="s">
        <v>161</v>
      </c>
      <c r="G157" s="203" t="s">
        <v>11</v>
      </c>
      <c r="H157" s="317" t="s">
        <v>1692</v>
      </c>
      <c r="I157" s="175">
        <f>6058536.71-4123371.62</f>
        <v>1935165.0899999999</v>
      </c>
      <c r="J157" s="173">
        <v>1935165.09</v>
      </c>
      <c r="K157" s="174">
        <f t="shared" si="37"/>
        <v>100.00000000000003</v>
      </c>
    </row>
    <row r="158" spans="1:11" ht="38.25">
      <c r="A158" s="205" t="s">
        <v>253</v>
      </c>
      <c r="B158" s="205" t="s">
        <v>207</v>
      </c>
      <c r="C158" s="205" t="s">
        <v>271</v>
      </c>
      <c r="D158" s="206" t="s">
        <v>1849</v>
      </c>
      <c r="E158" s="205" t="s">
        <v>159</v>
      </c>
      <c r="F158" s="205" t="s">
        <v>161</v>
      </c>
      <c r="G158" s="205" t="s">
        <v>11</v>
      </c>
      <c r="H158" s="408" t="s">
        <v>1848</v>
      </c>
      <c r="I158" s="174">
        <f>I159</f>
        <v>2977209</v>
      </c>
      <c r="J158" s="174">
        <f>J159</f>
        <v>2977209</v>
      </c>
      <c r="K158" s="174">
        <f t="shared" si="37"/>
        <v>100</v>
      </c>
    </row>
    <row r="159" spans="1:11" ht="38.25">
      <c r="A159" s="203" t="s">
        <v>253</v>
      </c>
      <c r="B159" s="203" t="s">
        <v>207</v>
      </c>
      <c r="C159" s="203" t="s">
        <v>271</v>
      </c>
      <c r="D159" s="204" t="s">
        <v>1849</v>
      </c>
      <c r="E159" s="203" t="s">
        <v>275</v>
      </c>
      <c r="F159" s="203" t="s">
        <v>161</v>
      </c>
      <c r="G159" s="203" t="s">
        <v>11</v>
      </c>
      <c r="H159" s="54" t="s">
        <v>1377</v>
      </c>
      <c r="I159" s="175">
        <v>2977209</v>
      </c>
      <c r="J159" s="173">
        <v>2977209</v>
      </c>
      <c r="K159" s="174">
        <f t="shared" si="37"/>
        <v>100</v>
      </c>
    </row>
    <row r="160" spans="1:11">
      <c r="A160" s="205" t="s">
        <v>253</v>
      </c>
      <c r="B160" s="205" t="s">
        <v>207</v>
      </c>
      <c r="C160" s="205" t="s">
        <v>271</v>
      </c>
      <c r="D160" s="206" t="s">
        <v>1697</v>
      </c>
      <c r="E160" s="205" t="s">
        <v>159</v>
      </c>
      <c r="F160" s="205" t="s">
        <v>161</v>
      </c>
      <c r="G160" s="205" t="s">
        <v>11</v>
      </c>
      <c r="H160" s="196" t="s">
        <v>1698</v>
      </c>
      <c r="I160" s="174">
        <f>I161</f>
        <v>361700</v>
      </c>
      <c r="J160" s="174">
        <f>J161</f>
        <v>361700</v>
      </c>
      <c r="K160" s="174">
        <f t="shared" si="37"/>
        <v>100</v>
      </c>
    </row>
    <row r="161" spans="1:11" ht="51">
      <c r="A161" s="203" t="s">
        <v>253</v>
      </c>
      <c r="B161" s="203" t="s">
        <v>207</v>
      </c>
      <c r="C161" s="203" t="s">
        <v>271</v>
      </c>
      <c r="D161" s="204" t="s">
        <v>1697</v>
      </c>
      <c r="E161" s="203" t="s">
        <v>275</v>
      </c>
      <c r="F161" s="203" t="s">
        <v>161</v>
      </c>
      <c r="G161" s="203" t="s">
        <v>11</v>
      </c>
      <c r="H161" s="317" t="s">
        <v>1696</v>
      </c>
      <c r="I161" s="175">
        <f>17500+344200</f>
        <v>361700</v>
      </c>
      <c r="J161" s="173">
        <v>361700</v>
      </c>
      <c r="K161" s="174">
        <f t="shared" si="37"/>
        <v>100</v>
      </c>
    </row>
    <row r="162" spans="1:11" ht="51">
      <c r="A162" s="205" t="s">
        <v>253</v>
      </c>
      <c r="B162" s="205" t="s">
        <v>207</v>
      </c>
      <c r="C162" s="205" t="s">
        <v>271</v>
      </c>
      <c r="D162" s="206" t="s">
        <v>1828</v>
      </c>
      <c r="E162" s="205" t="s">
        <v>159</v>
      </c>
      <c r="F162" s="205" t="s">
        <v>161</v>
      </c>
      <c r="G162" s="205" t="s">
        <v>11</v>
      </c>
      <c r="H162" s="408" t="s">
        <v>1827</v>
      </c>
      <c r="I162" s="174">
        <f>I163</f>
        <v>611100</v>
      </c>
      <c r="J162" s="174">
        <f>J163</f>
        <v>611100</v>
      </c>
      <c r="K162" s="174">
        <f t="shared" si="37"/>
        <v>100</v>
      </c>
    </row>
    <row r="163" spans="1:11" ht="51">
      <c r="A163" s="203" t="s">
        <v>253</v>
      </c>
      <c r="B163" s="203" t="s">
        <v>207</v>
      </c>
      <c r="C163" s="203" t="s">
        <v>271</v>
      </c>
      <c r="D163" s="204" t="s">
        <v>1828</v>
      </c>
      <c r="E163" s="203" t="s">
        <v>275</v>
      </c>
      <c r="F163" s="203" t="s">
        <v>161</v>
      </c>
      <c r="G163" s="203" t="s">
        <v>11</v>
      </c>
      <c r="H163" s="54" t="s">
        <v>1829</v>
      </c>
      <c r="I163" s="175">
        <f>61110+549990</f>
        <v>611100</v>
      </c>
      <c r="J163" s="173">
        <v>611100</v>
      </c>
      <c r="K163" s="174">
        <f t="shared" si="37"/>
        <v>100</v>
      </c>
    </row>
    <row r="164" spans="1:11">
      <c r="A164" s="205" t="s">
        <v>253</v>
      </c>
      <c r="B164" s="205" t="s">
        <v>207</v>
      </c>
      <c r="C164" s="205" t="s">
        <v>271</v>
      </c>
      <c r="D164" s="206">
        <v>29999</v>
      </c>
      <c r="E164" s="205" t="s">
        <v>159</v>
      </c>
      <c r="F164" s="205" t="s">
        <v>161</v>
      </c>
      <c r="G164" s="205" t="s">
        <v>11</v>
      </c>
      <c r="H164" s="501" t="s">
        <v>70</v>
      </c>
      <c r="I164" s="174">
        <f>I165</f>
        <v>122978907</v>
      </c>
      <c r="J164" s="174">
        <f>J165</f>
        <v>118016563.47000003</v>
      </c>
      <c r="K164" s="174">
        <f t="shared" si="37"/>
        <v>95.964882392392724</v>
      </c>
    </row>
    <row r="165" spans="1:11">
      <c r="A165" s="205" t="s">
        <v>253</v>
      </c>
      <c r="B165" s="205" t="s">
        <v>207</v>
      </c>
      <c r="C165" s="205" t="s">
        <v>271</v>
      </c>
      <c r="D165" s="206" t="s">
        <v>1332</v>
      </c>
      <c r="E165" s="205" t="s">
        <v>275</v>
      </c>
      <c r="F165" s="205" t="s">
        <v>161</v>
      </c>
      <c r="G165" s="205" t="s">
        <v>11</v>
      </c>
      <c r="H165" s="408" t="s">
        <v>71</v>
      </c>
      <c r="I165" s="174">
        <f>SUM(I166:I191)</f>
        <v>122978907</v>
      </c>
      <c r="J165" s="174">
        <f>SUM(J166:J191)</f>
        <v>118016563.47000003</v>
      </c>
      <c r="K165" s="174">
        <f t="shared" si="37"/>
        <v>95.964882392392724</v>
      </c>
    </row>
    <row r="166" spans="1:11" ht="63.75">
      <c r="A166" s="203" t="s">
        <v>253</v>
      </c>
      <c r="B166" s="203" t="s">
        <v>207</v>
      </c>
      <c r="C166" s="203" t="s">
        <v>271</v>
      </c>
      <c r="D166" s="204" t="s">
        <v>1332</v>
      </c>
      <c r="E166" s="203" t="s">
        <v>275</v>
      </c>
      <c r="F166" s="203" t="s">
        <v>1851</v>
      </c>
      <c r="G166" s="203" t="s">
        <v>11</v>
      </c>
      <c r="H166" s="160" t="s">
        <v>1841</v>
      </c>
      <c r="I166" s="175">
        <f>15474000+15298000</f>
        <v>30772000</v>
      </c>
      <c r="J166" s="173">
        <v>30772000</v>
      </c>
      <c r="K166" s="174">
        <f t="shared" si="37"/>
        <v>100</v>
      </c>
    </row>
    <row r="167" spans="1:11" ht="76.5">
      <c r="A167" s="203" t="s">
        <v>253</v>
      </c>
      <c r="B167" s="203" t="s">
        <v>207</v>
      </c>
      <c r="C167" s="203" t="s">
        <v>271</v>
      </c>
      <c r="D167" s="204" t="s">
        <v>1332</v>
      </c>
      <c r="E167" s="203" t="s">
        <v>275</v>
      </c>
      <c r="F167" s="203" t="s">
        <v>1853</v>
      </c>
      <c r="G167" s="203" t="s">
        <v>11</v>
      </c>
      <c r="H167" s="160" t="s">
        <v>1852</v>
      </c>
      <c r="I167" s="175">
        <f>474800+28900</f>
        <v>503700</v>
      </c>
      <c r="J167" s="173">
        <v>503700</v>
      </c>
      <c r="K167" s="174">
        <f t="shared" si="37"/>
        <v>100</v>
      </c>
    </row>
    <row r="168" spans="1:11" ht="63.75">
      <c r="A168" s="203" t="s">
        <v>253</v>
      </c>
      <c r="B168" s="203" t="s">
        <v>207</v>
      </c>
      <c r="C168" s="203" t="s">
        <v>271</v>
      </c>
      <c r="D168" s="204" t="s">
        <v>1332</v>
      </c>
      <c r="E168" s="203" t="s">
        <v>275</v>
      </c>
      <c r="F168" s="203" t="s">
        <v>1911</v>
      </c>
      <c r="G168" s="203" t="s">
        <v>11</v>
      </c>
      <c r="H168" s="350" t="s">
        <v>1910</v>
      </c>
      <c r="I168" s="175">
        <v>1660100</v>
      </c>
      <c r="J168" s="173">
        <v>1660100</v>
      </c>
      <c r="K168" s="174">
        <f t="shared" si="37"/>
        <v>100</v>
      </c>
    </row>
    <row r="169" spans="1:11" ht="76.5">
      <c r="A169" s="203" t="s">
        <v>253</v>
      </c>
      <c r="B169" s="203" t="s">
        <v>207</v>
      </c>
      <c r="C169" s="203" t="s">
        <v>271</v>
      </c>
      <c r="D169" s="204" t="s">
        <v>1332</v>
      </c>
      <c r="E169" s="203" t="s">
        <v>275</v>
      </c>
      <c r="F169" s="203" t="s">
        <v>1708</v>
      </c>
      <c r="G169" s="203" t="s">
        <v>11</v>
      </c>
      <c r="H169" s="160" t="s">
        <v>1709</v>
      </c>
      <c r="I169" s="175">
        <v>675300</v>
      </c>
      <c r="J169" s="173">
        <v>675300</v>
      </c>
      <c r="K169" s="174">
        <f t="shared" si="37"/>
        <v>100</v>
      </c>
    </row>
    <row r="170" spans="1:11" ht="51">
      <c r="A170" s="203" t="s">
        <v>253</v>
      </c>
      <c r="B170" s="203" t="s">
        <v>207</v>
      </c>
      <c r="C170" s="203" t="s">
        <v>271</v>
      </c>
      <c r="D170" s="204" t="s">
        <v>1332</v>
      </c>
      <c r="E170" s="203" t="s">
        <v>275</v>
      </c>
      <c r="F170" s="203" t="s">
        <v>1719</v>
      </c>
      <c r="G170" s="203" t="s">
        <v>11</v>
      </c>
      <c r="H170" s="160" t="s">
        <v>1718</v>
      </c>
      <c r="I170" s="175">
        <v>888000</v>
      </c>
      <c r="J170" s="173">
        <v>888000</v>
      </c>
      <c r="K170" s="174">
        <f t="shared" si="37"/>
        <v>100</v>
      </c>
    </row>
    <row r="171" spans="1:11" ht="102">
      <c r="A171" s="203" t="s">
        <v>253</v>
      </c>
      <c r="B171" s="203" t="s">
        <v>207</v>
      </c>
      <c r="C171" s="203" t="s">
        <v>271</v>
      </c>
      <c r="D171" s="204" t="s">
        <v>1332</v>
      </c>
      <c r="E171" s="203" t="s">
        <v>275</v>
      </c>
      <c r="F171" s="203" t="s">
        <v>1913</v>
      </c>
      <c r="G171" s="203" t="s">
        <v>11</v>
      </c>
      <c r="H171" s="350" t="s">
        <v>1912</v>
      </c>
      <c r="I171" s="175">
        <v>434100</v>
      </c>
      <c r="J171" s="173">
        <v>434100</v>
      </c>
      <c r="K171" s="174">
        <f t="shared" si="37"/>
        <v>100</v>
      </c>
    </row>
    <row r="172" spans="1:11" ht="63.75">
      <c r="A172" s="203" t="s">
        <v>253</v>
      </c>
      <c r="B172" s="203" t="s">
        <v>207</v>
      </c>
      <c r="C172" s="203" t="s">
        <v>271</v>
      </c>
      <c r="D172" s="204" t="s">
        <v>1332</v>
      </c>
      <c r="E172" s="203" t="s">
        <v>275</v>
      </c>
      <c r="F172" s="203" t="s">
        <v>1915</v>
      </c>
      <c r="G172" s="203" t="s">
        <v>11</v>
      </c>
      <c r="H172" s="350" t="s">
        <v>1914</v>
      </c>
      <c r="I172" s="175">
        <f>3534200-113200+5001100+4108900</f>
        <v>12531000</v>
      </c>
      <c r="J172" s="173">
        <v>12531000</v>
      </c>
      <c r="K172" s="174">
        <f t="shared" si="37"/>
        <v>100</v>
      </c>
    </row>
    <row r="173" spans="1:11" ht="51">
      <c r="A173" s="203" t="s">
        <v>253</v>
      </c>
      <c r="B173" s="203" t="s">
        <v>207</v>
      </c>
      <c r="C173" s="203" t="s">
        <v>271</v>
      </c>
      <c r="D173" s="204" t="s">
        <v>1332</v>
      </c>
      <c r="E173" s="203" t="s">
        <v>275</v>
      </c>
      <c r="F173" s="203" t="s">
        <v>1687</v>
      </c>
      <c r="G173" s="203" t="s">
        <v>11</v>
      </c>
      <c r="H173" s="269" t="s">
        <v>1688</v>
      </c>
      <c r="I173" s="175">
        <v>6423600</v>
      </c>
      <c r="J173" s="173">
        <v>6423599.8200000003</v>
      </c>
      <c r="K173" s="174">
        <f t="shared" si="37"/>
        <v>99.999997197832997</v>
      </c>
    </row>
    <row r="174" spans="1:11" ht="63.75">
      <c r="A174" s="203" t="s">
        <v>253</v>
      </c>
      <c r="B174" s="203" t="s">
        <v>207</v>
      </c>
      <c r="C174" s="203" t="s">
        <v>271</v>
      </c>
      <c r="D174" s="204" t="s">
        <v>1332</v>
      </c>
      <c r="E174" s="203" t="s">
        <v>275</v>
      </c>
      <c r="F174" s="203" t="s">
        <v>1791</v>
      </c>
      <c r="G174" s="203" t="s">
        <v>11</v>
      </c>
      <c r="H174" s="269" t="s">
        <v>1790</v>
      </c>
      <c r="I174" s="175">
        <v>11940</v>
      </c>
      <c r="J174" s="173">
        <v>10203.700000000001</v>
      </c>
      <c r="K174" s="174">
        <f t="shared" si="37"/>
        <v>85.458123953098834</v>
      </c>
    </row>
    <row r="175" spans="1:11" ht="76.5">
      <c r="A175" s="203" t="s">
        <v>253</v>
      </c>
      <c r="B175" s="203" t="s">
        <v>207</v>
      </c>
      <c r="C175" s="203" t="s">
        <v>271</v>
      </c>
      <c r="D175" s="204" t="s">
        <v>1332</v>
      </c>
      <c r="E175" s="203" t="s">
        <v>275</v>
      </c>
      <c r="F175" s="203" t="s">
        <v>1694</v>
      </c>
      <c r="G175" s="203" t="s">
        <v>11</v>
      </c>
      <c r="H175" s="269" t="s">
        <v>1650</v>
      </c>
      <c r="I175" s="175">
        <v>1176000</v>
      </c>
      <c r="J175" s="173">
        <v>1176000</v>
      </c>
      <c r="K175" s="174">
        <f t="shared" si="37"/>
        <v>100</v>
      </c>
    </row>
    <row r="176" spans="1:11" ht="102">
      <c r="A176" s="203" t="s">
        <v>253</v>
      </c>
      <c r="B176" s="203" t="s">
        <v>207</v>
      </c>
      <c r="C176" s="203" t="s">
        <v>271</v>
      </c>
      <c r="D176" s="204" t="s">
        <v>1332</v>
      </c>
      <c r="E176" s="203" t="s">
        <v>275</v>
      </c>
      <c r="F176" s="203" t="s">
        <v>1695</v>
      </c>
      <c r="G176" s="203" t="s">
        <v>11</v>
      </c>
      <c r="H176" s="269" t="s">
        <v>1651</v>
      </c>
      <c r="I176" s="175">
        <f>363700-20300</f>
        <v>343400</v>
      </c>
      <c r="J176" s="173">
        <v>343400.00000000012</v>
      </c>
      <c r="K176" s="174">
        <f t="shared" si="37"/>
        <v>100.00000000000004</v>
      </c>
    </row>
    <row r="177" spans="1:11" ht="63.75">
      <c r="A177" s="203" t="s">
        <v>253</v>
      </c>
      <c r="B177" s="203" t="s">
        <v>207</v>
      </c>
      <c r="C177" s="203" t="s">
        <v>271</v>
      </c>
      <c r="D177" s="204" t="s">
        <v>1332</v>
      </c>
      <c r="E177" s="203" t="s">
        <v>275</v>
      </c>
      <c r="F177" s="203" t="s">
        <v>1917</v>
      </c>
      <c r="G177" s="203" t="s">
        <v>11</v>
      </c>
      <c r="H177" s="207" t="s">
        <v>1916</v>
      </c>
      <c r="I177" s="175">
        <v>97297</v>
      </c>
      <c r="J177" s="173">
        <v>97297</v>
      </c>
      <c r="K177" s="174">
        <f t="shared" si="37"/>
        <v>100</v>
      </c>
    </row>
    <row r="178" spans="1:11" ht="63.75">
      <c r="A178" s="203" t="s">
        <v>253</v>
      </c>
      <c r="B178" s="203" t="s">
        <v>207</v>
      </c>
      <c r="C178" s="203" t="s">
        <v>271</v>
      </c>
      <c r="D178" s="204" t="s">
        <v>1332</v>
      </c>
      <c r="E178" s="203" t="s">
        <v>275</v>
      </c>
      <c r="F178" s="203" t="s">
        <v>344</v>
      </c>
      <c r="G178" s="203" t="s">
        <v>11</v>
      </c>
      <c r="H178" s="207" t="s">
        <v>818</v>
      </c>
      <c r="I178" s="173">
        <v>794700</v>
      </c>
      <c r="J178" s="173">
        <v>794700</v>
      </c>
      <c r="K178" s="174">
        <f t="shared" si="37"/>
        <v>100</v>
      </c>
    </row>
    <row r="179" spans="1:11" ht="153">
      <c r="A179" s="203" t="s">
        <v>253</v>
      </c>
      <c r="B179" s="203" t="s">
        <v>207</v>
      </c>
      <c r="C179" s="203" t="s">
        <v>271</v>
      </c>
      <c r="D179" s="204" t="s">
        <v>1332</v>
      </c>
      <c r="E179" s="203" t="s">
        <v>275</v>
      </c>
      <c r="F179" s="203" t="s">
        <v>1966</v>
      </c>
      <c r="G179" s="203" t="s">
        <v>11</v>
      </c>
      <c r="H179" s="207" t="s">
        <v>1965</v>
      </c>
      <c r="I179" s="173">
        <v>5756900</v>
      </c>
      <c r="J179" s="173">
        <v>5399994.2800000003</v>
      </c>
      <c r="K179" s="174">
        <f t="shared" si="37"/>
        <v>93.800383539752303</v>
      </c>
    </row>
    <row r="180" spans="1:11" ht="63.75">
      <c r="A180" s="203" t="s">
        <v>253</v>
      </c>
      <c r="B180" s="203" t="s">
        <v>207</v>
      </c>
      <c r="C180" s="203" t="s">
        <v>271</v>
      </c>
      <c r="D180" s="204" t="s">
        <v>1332</v>
      </c>
      <c r="E180" s="203" t="s">
        <v>275</v>
      </c>
      <c r="F180" s="203" t="s">
        <v>1699</v>
      </c>
      <c r="G180" s="203" t="s">
        <v>11</v>
      </c>
      <c r="H180" s="207" t="s">
        <v>1700</v>
      </c>
      <c r="I180" s="173">
        <v>278800</v>
      </c>
      <c r="J180" s="173">
        <v>278800</v>
      </c>
      <c r="K180" s="174">
        <f t="shared" si="37"/>
        <v>100</v>
      </c>
    </row>
    <row r="181" spans="1:11" ht="63.75">
      <c r="A181" s="203" t="s">
        <v>253</v>
      </c>
      <c r="B181" s="203" t="s">
        <v>207</v>
      </c>
      <c r="C181" s="203" t="s">
        <v>271</v>
      </c>
      <c r="D181" s="204" t="s">
        <v>1332</v>
      </c>
      <c r="E181" s="203" t="s">
        <v>275</v>
      </c>
      <c r="F181" s="203" t="s">
        <v>1701</v>
      </c>
      <c r="G181" s="203" t="s">
        <v>11</v>
      </c>
      <c r="H181" s="207" t="s">
        <v>1702</v>
      </c>
      <c r="I181" s="173">
        <f>5686800-1724100+1949430</f>
        <v>5912130</v>
      </c>
      <c r="J181" s="173">
        <v>5912130</v>
      </c>
      <c r="K181" s="174">
        <f t="shared" si="37"/>
        <v>100</v>
      </c>
    </row>
    <row r="182" spans="1:11" ht="63.75">
      <c r="A182" s="203" t="s">
        <v>253</v>
      </c>
      <c r="B182" s="203" t="s">
        <v>207</v>
      </c>
      <c r="C182" s="203" t="s">
        <v>271</v>
      </c>
      <c r="D182" s="204" t="s">
        <v>1332</v>
      </c>
      <c r="E182" s="203" t="s">
        <v>275</v>
      </c>
      <c r="F182" s="203" t="s">
        <v>1706</v>
      </c>
      <c r="G182" s="203" t="s">
        <v>11</v>
      </c>
      <c r="H182" s="207" t="s">
        <v>1707</v>
      </c>
      <c r="I182" s="173">
        <f>28151600+917100</f>
        <v>29068700</v>
      </c>
      <c r="J182" s="173">
        <v>28817536.649999999</v>
      </c>
      <c r="K182" s="174">
        <f t="shared" si="37"/>
        <v>99.13596634868432</v>
      </c>
    </row>
    <row r="183" spans="1:11" ht="102">
      <c r="A183" s="203" t="s">
        <v>253</v>
      </c>
      <c r="B183" s="203" t="s">
        <v>207</v>
      </c>
      <c r="C183" s="203" t="s">
        <v>271</v>
      </c>
      <c r="D183" s="204" t="s">
        <v>1332</v>
      </c>
      <c r="E183" s="203" t="s">
        <v>275</v>
      </c>
      <c r="F183" s="203" t="s">
        <v>343</v>
      </c>
      <c r="G183" s="203" t="s">
        <v>11</v>
      </c>
      <c r="H183" s="207" t="s">
        <v>829</v>
      </c>
      <c r="I183" s="173">
        <v>64000</v>
      </c>
      <c r="J183" s="173">
        <v>64000</v>
      </c>
      <c r="K183" s="174">
        <f t="shared" si="37"/>
        <v>100</v>
      </c>
    </row>
    <row r="184" spans="1:11" ht="63.75">
      <c r="A184" s="203" t="s">
        <v>253</v>
      </c>
      <c r="B184" s="203" t="s">
        <v>207</v>
      </c>
      <c r="C184" s="203" t="s">
        <v>271</v>
      </c>
      <c r="D184" s="204" t="s">
        <v>1332</v>
      </c>
      <c r="E184" s="203" t="s">
        <v>275</v>
      </c>
      <c r="F184" s="203" t="s">
        <v>1789</v>
      </c>
      <c r="G184" s="203" t="s">
        <v>11</v>
      </c>
      <c r="H184" s="207" t="s">
        <v>1788</v>
      </c>
      <c r="I184" s="173">
        <v>5782800</v>
      </c>
      <c r="J184" s="173">
        <v>5782800</v>
      </c>
      <c r="K184" s="174">
        <f t="shared" si="37"/>
        <v>100</v>
      </c>
    </row>
    <row r="185" spans="1:11" ht="178.5">
      <c r="A185" s="203" t="s">
        <v>253</v>
      </c>
      <c r="B185" s="203" t="s">
        <v>207</v>
      </c>
      <c r="C185" s="203" t="s">
        <v>271</v>
      </c>
      <c r="D185" s="204" t="s">
        <v>1332</v>
      </c>
      <c r="E185" s="203" t="s">
        <v>275</v>
      </c>
      <c r="F185" s="203" t="s">
        <v>1831</v>
      </c>
      <c r="G185" s="203" t="s">
        <v>11</v>
      </c>
      <c r="H185" s="207" t="s">
        <v>1830</v>
      </c>
      <c r="I185" s="173">
        <f>3900000+4300000</f>
        <v>8200000</v>
      </c>
      <c r="J185" s="173">
        <v>7794423.0600000005</v>
      </c>
      <c r="K185" s="174">
        <f t="shared" si="37"/>
        <v>95.053939756097577</v>
      </c>
    </row>
    <row r="186" spans="1:11" ht="84" customHeight="1">
      <c r="A186" s="203" t="s">
        <v>253</v>
      </c>
      <c r="B186" s="203" t="s">
        <v>207</v>
      </c>
      <c r="C186" s="203" t="s">
        <v>271</v>
      </c>
      <c r="D186" s="204" t="s">
        <v>1332</v>
      </c>
      <c r="E186" s="203" t="s">
        <v>275</v>
      </c>
      <c r="F186" s="203" t="s">
        <v>1935</v>
      </c>
      <c r="G186" s="203" t="s">
        <v>11</v>
      </c>
      <c r="H186" s="207" t="s">
        <v>1934</v>
      </c>
      <c r="I186" s="173">
        <v>2761000</v>
      </c>
      <c r="J186" s="173">
        <v>0</v>
      </c>
      <c r="K186" s="174">
        <f t="shared" si="37"/>
        <v>0</v>
      </c>
    </row>
    <row r="187" spans="1:11" ht="99.75" customHeight="1">
      <c r="A187" s="203" t="s">
        <v>253</v>
      </c>
      <c r="B187" s="203" t="s">
        <v>207</v>
      </c>
      <c r="C187" s="203" t="s">
        <v>271</v>
      </c>
      <c r="D187" s="204" t="s">
        <v>1332</v>
      </c>
      <c r="E187" s="203" t="s">
        <v>275</v>
      </c>
      <c r="F187" s="203" t="s">
        <v>1939</v>
      </c>
      <c r="G187" s="203" t="s">
        <v>11</v>
      </c>
      <c r="H187" s="207" t="s">
        <v>1938</v>
      </c>
      <c r="I187" s="173">
        <v>1500000</v>
      </c>
      <c r="J187" s="173">
        <v>1500000</v>
      </c>
      <c r="K187" s="174">
        <f t="shared" si="37"/>
        <v>100</v>
      </c>
    </row>
    <row r="188" spans="1:11" ht="76.5">
      <c r="A188" s="203" t="s">
        <v>253</v>
      </c>
      <c r="B188" s="203" t="s">
        <v>207</v>
      </c>
      <c r="C188" s="203" t="s">
        <v>271</v>
      </c>
      <c r="D188" s="204" t="s">
        <v>1332</v>
      </c>
      <c r="E188" s="203" t="s">
        <v>275</v>
      </c>
      <c r="F188" s="203" t="s">
        <v>1918</v>
      </c>
      <c r="G188" s="203" t="s">
        <v>11</v>
      </c>
      <c r="H188" s="350" t="s">
        <v>1919</v>
      </c>
      <c r="I188" s="173">
        <v>112700</v>
      </c>
      <c r="J188" s="173">
        <v>92307.6</v>
      </c>
      <c r="K188" s="174">
        <f t="shared" si="37"/>
        <v>81.905590062111813</v>
      </c>
    </row>
    <row r="189" spans="1:11" ht="76.5">
      <c r="A189" s="203" t="s">
        <v>253</v>
      </c>
      <c r="B189" s="203" t="s">
        <v>207</v>
      </c>
      <c r="C189" s="203" t="s">
        <v>271</v>
      </c>
      <c r="D189" s="204" t="s">
        <v>1332</v>
      </c>
      <c r="E189" s="203" t="s">
        <v>275</v>
      </c>
      <c r="F189" s="203" t="s">
        <v>1855</v>
      </c>
      <c r="G189" s="203" t="s">
        <v>11</v>
      </c>
      <c r="H189" s="207" t="s">
        <v>1854</v>
      </c>
      <c r="I189" s="173">
        <v>3780740</v>
      </c>
      <c r="J189" s="173">
        <v>3431421.54</v>
      </c>
      <c r="K189" s="174">
        <f t="shared" si="37"/>
        <v>90.760579674878457</v>
      </c>
    </row>
    <row r="190" spans="1:11" ht="76.5">
      <c r="A190" s="203" t="s">
        <v>253</v>
      </c>
      <c r="B190" s="203" t="s">
        <v>207</v>
      </c>
      <c r="C190" s="203" t="s">
        <v>271</v>
      </c>
      <c r="D190" s="204" t="s">
        <v>1332</v>
      </c>
      <c r="E190" s="203" t="s">
        <v>275</v>
      </c>
      <c r="F190" s="203" t="s">
        <v>1856</v>
      </c>
      <c r="G190" s="203" t="s">
        <v>11</v>
      </c>
      <c r="H190" s="207" t="s">
        <v>1847</v>
      </c>
      <c r="I190" s="173">
        <v>350000</v>
      </c>
      <c r="J190" s="173">
        <v>350000</v>
      </c>
      <c r="K190" s="174">
        <f t="shared" si="37"/>
        <v>100</v>
      </c>
    </row>
    <row r="191" spans="1:11" ht="102">
      <c r="A191" s="203" t="s">
        <v>253</v>
      </c>
      <c r="B191" s="203" t="s">
        <v>207</v>
      </c>
      <c r="C191" s="203" t="s">
        <v>271</v>
      </c>
      <c r="D191" s="204" t="s">
        <v>1332</v>
      </c>
      <c r="E191" s="203" t="s">
        <v>275</v>
      </c>
      <c r="F191" s="203" t="s">
        <v>1850</v>
      </c>
      <c r="G191" s="203" t="s">
        <v>11</v>
      </c>
      <c r="H191" s="207" t="s">
        <v>1844</v>
      </c>
      <c r="I191" s="173">
        <v>3100000</v>
      </c>
      <c r="J191" s="173">
        <v>2283749.8200000003</v>
      </c>
      <c r="K191" s="174">
        <f t="shared" si="37"/>
        <v>73.669349032258069</v>
      </c>
    </row>
    <row r="192" spans="1:11" ht="25.5">
      <c r="A192" s="205" t="s">
        <v>253</v>
      </c>
      <c r="B192" s="205" t="s">
        <v>207</v>
      </c>
      <c r="C192" s="205" t="s">
        <v>271</v>
      </c>
      <c r="D192" s="206" t="s">
        <v>1333</v>
      </c>
      <c r="E192" s="205" t="s">
        <v>159</v>
      </c>
      <c r="F192" s="205" t="s">
        <v>161</v>
      </c>
      <c r="G192" s="205" t="s">
        <v>11</v>
      </c>
      <c r="H192" s="197" t="s">
        <v>91</v>
      </c>
      <c r="I192" s="172">
        <f>I193+I213+I217+I219+I215</f>
        <v>960874777.98000002</v>
      </c>
      <c r="J192" s="172">
        <f>J193+J213+J217+J219+J215</f>
        <v>953249683</v>
      </c>
      <c r="K192" s="174">
        <f t="shared" si="37"/>
        <v>99.206442384091929</v>
      </c>
    </row>
    <row r="193" spans="1:11" ht="25.5">
      <c r="A193" s="205" t="s">
        <v>253</v>
      </c>
      <c r="B193" s="205" t="s">
        <v>207</v>
      </c>
      <c r="C193" s="205" t="s">
        <v>271</v>
      </c>
      <c r="D193" s="206" t="s">
        <v>1335</v>
      </c>
      <c r="E193" s="205" t="s">
        <v>159</v>
      </c>
      <c r="F193" s="205" t="s">
        <v>161</v>
      </c>
      <c r="G193" s="205" t="s">
        <v>11</v>
      </c>
      <c r="H193" s="194" t="s">
        <v>6</v>
      </c>
      <c r="I193" s="185">
        <f>I194</f>
        <v>806841500</v>
      </c>
      <c r="J193" s="185">
        <f>J194</f>
        <v>803805921</v>
      </c>
      <c r="K193" s="174">
        <f t="shared" si="37"/>
        <v>99.623770096109325</v>
      </c>
    </row>
    <row r="194" spans="1:11" ht="25.5">
      <c r="A194" s="205" t="s">
        <v>253</v>
      </c>
      <c r="B194" s="205" t="s">
        <v>207</v>
      </c>
      <c r="C194" s="205" t="s">
        <v>271</v>
      </c>
      <c r="D194" s="206" t="s">
        <v>1335</v>
      </c>
      <c r="E194" s="205" t="s">
        <v>275</v>
      </c>
      <c r="F194" s="205" t="s">
        <v>161</v>
      </c>
      <c r="G194" s="205" t="s">
        <v>11</v>
      </c>
      <c r="H194" s="194" t="s">
        <v>7</v>
      </c>
      <c r="I194" s="185">
        <f>SUM(I195:I212)</f>
        <v>806841500</v>
      </c>
      <c r="J194" s="185">
        <f>SUM(J195:J212)</f>
        <v>803805921</v>
      </c>
      <c r="K194" s="174">
        <f t="shared" si="37"/>
        <v>99.623770096109325</v>
      </c>
    </row>
    <row r="195" spans="1:11" ht="114.75">
      <c r="A195" s="203" t="s">
        <v>253</v>
      </c>
      <c r="B195" s="203" t="s">
        <v>207</v>
      </c>
      <c r="C195" s="203" t="s">
        <v>271</v>
      </c>
      <c r="D195" s="208" t="s">
        <v>1335</v>
      </c>
      <c r="E195" s="203" t="s">
        <v>275</v>
      </c>
      <c r="F195" s="203" t="s">
        <v>346</v>
      </c>
      <c r="G195" s="203" t="s">
        <v>11</v>
      </c>
      <c r="H195" s="207" t="s">
        <v>819</v>
      </c>
      <c r="I195" s="173">
        <f>38038600+7203000+140700-402749+1059700</f>
        <v>46039251</v>
      </c>
      <c r="J195" s="173">
        <v>46039251</v>
      </c>
      <c r="K195" s="174">
        <f t="shared" si="37"/>
        <v>100</v>
      </c>
    </row>
    <row r="196" spans="1:11" ht="102">
      <c r="A196" s="203" t="s">
        <v>253</v>
      </c>
      <c r="B196" s="203" t="s">
        <v>207</v>
      </c>
      <c r="C196" s="203" t="s">
        <v>271</v>
      </c>
      <c r="D196" s="208" t="s">
        <v>1335</v>
      </c>
      <c r="E196" s="203" t="s">
        <v>275</v>
      </c>
      <c r="F196" s="203" t="s">
        <v>1336</v>
      </c>
      <c r="G196" s="203" t="s">
        <v>11</v>
      </c>
      <c r="H196" s="207" t="s">
        <v>1305</v>
      </c>
      <c r="I196" s="173">
        <v>337500</v>
      </c>
      <c r="J196" s="173">
        <v>337500</v>
      </c>
      <c r="K196" s="174">
        <f t="shared" si="37"/>
        <v>100</v>
      </c>
    </row>
    <row r="197" spans="1:11" ht="76.5">
      <c r="A197" s="203" t="s">
        <v>253</v>
      </c>
      <c r="B197" s="203" t="s">
        <v>207</v>
      </c>
      <c r="C197" s="203" t="s">
        <v>271</v>
      </c>
      <c r="D197" s="208" t="s">
        <v>1335</v>
      </c>
      <c r="E197" s="203" t="s">
        <v>275</v>
      </c>
      <c r="F197" s="203" t="s">
        <v>683</v>
      </c>
      <c r="G197" s="203" t="s">
        <v>11</v>
      </c>
      <c r="H197" s="207" t="s">
        <v>820</v>
      </c>
      <c r="I197" s="173">
        <f>51000+4000</f>
        <v>55000</v>
      </c>
      <c r="J197" s="173">
        <v>55000</v>
      </c>
      <c r="K197" s="174">
        <f t="shared" si="37"/>
        <v>100</v>
      </c>
    </row>
    <row r="198" spans="1:11" ht="114.75">
      <c r="A198" s="203" t="s">
        <v>253</v>
      </c>
      <c r="B198" s="203" t="s">
        <v>207</v>
      </c>
      <c r="C198" s="203" t="s">
        <v>271</v>
      </c>
      <c r="D198" s="208" t="s">
        <v>1335</v>
      </c>
      <c r="E198" s="203" t="s">
        <v>275</v>
      </c>
      <c r="F198" s="203" t="s">
        <v>359</v>
      </c>
      <c r="G198" s="203" t="s">
        <v>11</v>
      </c>
      <c r="H198" s="207" t="s">
        <v>821</v>
      </c>
      <c r="I198" s="173">
        <f>525200-900</f>
        <v>524300</v>
      </c>
      <c r="J198" s="173">
        <v>524299.99999999988</v>
      </c>
      <c r="K198" s="174">
        <f t="shared" si="37"/>
        <v>99.999999999999972</v>
      </c>
    </row>
    <row r="199" spans="1:11" ht="140.25">
      <c r="A199" s="203" t="s">
        <v>253</v>
      </c>
      <c r="B199" s="203" t="s">
        <v>207</v>
      </c>
      <c r="C199" s="203" t="s">
        <v>271</v>
      </c>
      <c r="D199" s="208" t="s">
        <v>1335</v>
      </c>
      <c r="E199" s="203" t="s">
        <v>275</v>
      </c>
      <c r="F199" s="203" t="s">
        <v>352</v>
      </c>
      <c r="G199" s="203" t="s">
        <v>11</v>
      </c>
      <c r="H199" s="207" t="s">
        <v>822</v>
      </c>
      <c r="I199" s="173">
        <f>18139300+462000+402749</f>
        <v>19004049</v>
      </c>
      <c r="J199" s="173">
        <v>19004049</v>
      </c>
      <c r="K199" s="174">
        <f t="shared" si="37"/>
        <v>100</v>
      </c>
    </row>
    <row r="200" spans="1:11" ht="51">
      <c r="A200" s="203" t="s">
        <v>253</v>
      </c>
      <c r="B200" s="203" t="s">
        <v>207</v>
      </c>
      <c r="C200" s="203" t="s">
        <v>271</v>
      </c>
      <c r="D200" s="208" t="s">
        <v>1335</v>
      </c>
      <c r="E200" s="203" t="s">
        <v>275</v>
      </c>
      <c r="F200" s="203" t="s">
        <v>355</v>
      </c>
      <c r="G200" s="203" t="s">
        <v>11</v>
      </c>
      <c r="H200" s="207" t="s">
        <v>823</v>
      </c>
      <c r="I200" s="173">
        <v>178100</v>
      </c>
      <c r="J200" s="173">
        <v>178100</v>
      </c>
      <c r="K200" s="174">
        <f t="shared" si="37"/>
        <v>100</v>
      </c>
    </row>
    <row r="201" spans="1:11" ht="89.25">
      <c r="A201" s="203" t="s">
        <v>253</v>
      </c>
      <c r="B201" s="203" t="s">
        <v>207</v>
      </c>
      <c r="C201" s="203" t="s">
        <v>271</v>
      </c>
      <c r="D201" s="208" t="s">
        <v>1335</v>
      </c>
      <c r="E201" s="203" t="s">
        <v>275</v>
      </c>
      <c r="F201" s="203" t="s">
        <v>358</v>
      </c>
      <c r="G201" s="203" t="s">
        <v>11</v>
      </c>
      <c r="H201" s="207" t="s">
        <v>824</v>
      </c>
      <c r="I201" s="173">
        <v>1160800</v>
      </c>
      <c r="J201" s="173">
        <v>1160800</v>
      </c>
      <c r="K201" s="174">
        <f t="shared" ref="K201:K257" si="38">J201/I201*100</f>
        <v>100</v>
      </c>
    </row>
    <row r="202" spans="1:11" ht="102">
      <c r="A202" s="209" t="s">
        <v>253</v>
      </c>
      <c r="B202" s="209" t="s">
        <v>207</v>
      </c>
      <c r="C202" s="209" t="s">
        <v>271</v>
      </c>
      <c r="D202" s="209" t="s">
        <v>1335</v>
      </c>
      <c r="E202" s="209" t="s">
        <v>275</v>
      </c>
      <c r="F202" s="209" t="s">
        <v>357</v>
      </c>
      <c r="G202" s="209" t="s">
        <v>11</v>
      </c>
      <c r="H202" s="207" t="s">
        <v>825</v>
      </c>
      <c r="I202" s="173">
        <v>617800</v>
      </c>
      <c r="J202" s="173">
        <v>617800</v>
      </c>
      <c r="K202" s="174">
        <f t="shared" si="38"/>
        <v>100</v>
      </c>
    </row>
    <row r="203" spans="1:11" ht="76.5">
      <c r="A203" s="209" t="s">
        <v>253</v>
      </c>
      <c r="B203" s="209" t="s">
        <v>207</v>
      </c>
      <c r="C203" s="209" t="s">
        <v>271</v>
      </c>
      <c r="D203" s="209" t="s">
        <v>1335</v>
      </c>
      <c r="E203" s="209" t="s">
        <v>275</v>
      </c>
      <c r="F203" s="209" t="s">
        <v>353</v>
      </c>
      <c r="G203" s="209" t="s">
        <v>11</v>
      </c>
      <c r="H203" s="207" t="s">
        <v>826</v>
      </c>
      <c r="I203" s="173">
        <v>69600</v>
      </c>
      <c r="J203" s="173">
        <v>69600</v>
      </c>
      <c r="K203" s="174">
        <f t="shared" si="38"/>
        <v>100</v>
      </c>
    </row>
    <row r="204" spans="1:11" ht="89.25">
      <c r="A204" s="209" t="s">
        <v>253</v>
      </c>
      <c r="B204" s="209" t="s">
        <v>207</v>
      </c>
      <c r="C204" s="209" t="s">
        <v>271</v>
      </c>
      <c r="D204" s="209" t="s">
        <v>1335</v>
      </c>
      <c r="E204" s="209" t="s">
        <v>275</v>
      </c>
      <c r="F204" s="209" t="s">
        <v>351</v>
      </c>
      <c r="G204" s="209" t="s">
        <v>11</v>
      </c>
      <c r="H204" s="207" t="s">
        <v>827</v>
      </c>
      <c r="I204" s="173">
        <v>1362700</v>
      </c>
      <c r="J204" s="173">
        <v>1271020</v>
      </c>
      <c r="K204" s="174">
        <f t="shared" si="38"/>
        <v>93.272180230424894</v>
      </c>
    </row>
    <row r="205" spans="1:11" ht="127.5">
      <c r="A205" s="209" t="s">
        <v>253</v>
      </c>
      <c r="B205" s="209" t="s">
        <v>207</v>
      </c>
      <c r="C205" s="209" t="s">
        <v>271</v>
      </c>
      <c r="D205" s="209" t="s">
        <v>1335</v>
      </c>
      <c r="E205" s="209" t="s">
        <v>275</v>
      </c>
      <c r="F205" s="209" t="s">
        <v>347</v>
      </c>
      <c r="G205" s="209" t="s">
        <v>11</v>
      </c>
      <c r="H205" s="207" t="s">
        <v>828</v>
      </c>
      <c r="I205" s="173">
        <f>543100-161000</f>
        <v>382100</v>
      </c>
      <c r="J205" s="173">
        <v>382100</v>
      </c>
      <c r="K205" s="174">
        <f t="shared" si="38"/>
        <v>100</v>
      </c>
    </row>
    <row r="206" spans="1:11" ht="140.25">
      <c r="A206" s="209" t="s">
        <v>253</v>
      </c>
      <c r="B206" s="209" t="s">
        <v>207</v>
      </c>
      <c r="C206" s="209" t="s">
        <v>271</v>
      </c>
      <c r="D206" s="209" t="s">
        <v>1335</v>
      </c>
      <c r="E206" s="209" t="s">
        <v>275</v>
      </c>
      <c r="F206" s="209" t="s">
        <v>348</v>
      </c>
      <c r="G206" s="209" t="s">
        <v>11</v>
      </c>
      <c r="H206" s="207" t="s">
        <v>830</v>
      </c>
      <c r="I206" s="173">
        <f>351836600+2341900+1322300+1334800</f>
        <v>356835600</v>
      </c>
      <c r="J206" s="173">
        <v>356821900</v>
      </c>
      <c r="K206" s="174">
        <f t="shared" si="38"/>
        <v>99.996160696970819</v>
      </c>
    </row>
    <row r="207" spans="1:11" ht="89.25">
      <c r="A207" s="209" t="s">
        <v>253</v>
      </c>
      <c r="B207" s="209" t="s">
        <v>207</v>
      </c>
      <c r="C207" s="209" t="s">
        <v>271</v>
      </c>
      <c r="D207" s="209" t="s">
        <v>1335</v>
      </c>
      <c r="E207" s="209" t="s">
        <v>275</v>
      </c>
      <c r="F207" s="209" t="s">
        <v>349</v>
      </c>
      <c r="G207" s="209" t="s">
        <v>11</v>
      </c>
      <c r="H207" s="207" t="s">
        <v>831</v>
      </c>
      <c r="I207" s="173">
        <v>25003900</v>
      </c>
      <c r="J207" s="173">
        <v>25003900</v>
      </c>
      <c r="K207" s="174">
        <f t="shared" si="38"/>
        <v>100</v>
      </c>
    </row>
    <row r="208" spans="1:11" ht="76.5">
      <c r="A208" s="209" t="s">
        <v>253</v>
      </c>
      <c r="B208" s="209" t="s">
        <v>207</v>
      </c>
      <c r="C208" s="209" t="s">
        <v>271</v>
      </c>
      <c r="D208" s="209" t="s">
        <v>1335</v>
      </c>
      <c r="E208" s="209" t="s">
        <v>275</v>
      </c>
      <c r="F208" s="209" t="s">
        <v>684</v>
      </c>
      <c r="G208" s="209" t="s">
        <v>11</v>
      </c>
      <c r="H208" s="207" t="s">
        <v>832</v>
      </c>
      <c r="I208" s="173">
        <f>192759900-2561500</f>
        <v>190198400</v>
      </c>
      <c r="J208" s="173">
        <v>187391971</v>
      </c>
      <c r="K208" s="174">
        <f t="shared" si="38"/>
        <v>98.524472866228109</v>
      </c>
    </row>
    <row r="209" spans="1:11" ht="102">
      <c r="A209" s="209" t="s">
        <v>253</v>
      </c>
      <c r="B209" s="209" t="s">
        <v>207</v>
      </c>
      <c r="C209" s="209" t="s">
        <v>271</v>
      </c>
      <c r="D209" s="209" t="s">
        <v>1335</v>
      </c>
      <c r="E209" s="209" t="s">
        <v>275</v>
      </c>
      <c r="F209" s="209" t="s">
        <v>356</v>
      </c>
      <c r="G209" s="209" t="s">
        <v>11</v>
      </c>
      <c r="H209" s="207" t="s">
        <v>833</v>
      </c>
      <c r="I209" s="173">
        <f>19890000-4265600</f>
        <v>15624400</v>
      </c>
      <c r="J209" s="173">
        <v>15556100</v>
      </c>
      <c r="K209" s="174">
        <f t="shared" si="38"/>
        <v>99.562863213947423</v>
      </c>
    </row>
    <row r="210" spans="1:11" ht="153">
      <c r="A210" s="209" t="s">
        <v>253</v>
      </c>
      <c r="B210" s="209" t="s">
        <v>207</v>
      </c>
      <c r="C210" s="209" t="s">
        <v>271</v>
      </c>
      <c r="D210" s="209" t="s">
        <v>1335</v>
      </c>
      <c r="E210" s="209" t="s">
        <v>275</v>
      </c>
      <c r="F210" s="209" t="s">
        <v>350</v>
      </c>
      <c r="G210" s="209" t="s">
        <v>11</v>
      </c>
      <c r="H210" s="207" t="s">
        <v>834</v>
      </c>
      <c r="I210" s="173">
        <f>125931800-4502200+328200</f>
        <v>121757800</v>
      </c>
      <c r="J210" s="173">
        <v>121757800</v>
      </c>
      <c r="K210" s="174">
        <f t="shared" si="38"/>
        <v>100</v>
      </c>
    </row>
    <row r="211" spans="1:11" ht="102">
      <c r="A211" s="209" t="s">
        <v>253</v>
      </c>
      <c r="B211" s="209" t="s">
        <v>207</v>
      </c>
      <c r="C211" s="209" t="s">
        <v>271</v>
      </c>
      <c r="D211" s="209" t="s">
        <v>1335</v>
      </c>
      <c r="E211" s="209" t="s">
        <v>275</v>
      </c>
      <c r="F211" s="209" t="s">
        <v>360</v>
      </c>
      <c r="G211" s="209" t="s">
        <v>11</v>
      </c>
      <c r="H211" s="207" t="s">
        <v>835</v>
      </c>
      <c r="I211" s="173">
        <v>26666200</v>
      </c>
      <c r="J211" s="173">
        <v>26666200</v>
      </c>
      <c r="K211" s="174">
        <f t="shared" si="38"/>
        <v>100</v>
      </c>
    </row>
    <row r="212" spans="1:11" ht="63.75">
      <c r="A212" s="209" t="s">
        <v>253</v>
      </c>
      <c r="B212" s="209" t="s">
        <v>207</v>
      </c>
      <c r="C212" s="209" t="s">
        <v>271</v>
      </c>
      <c r="D212" s="209" t="s">
        <v>1335</v>
      </c>
      <c r="E212" s="209" t="s">
        <v>275</v>
      </c>
      <c r="F212" s="209" t="s">
        <v>354</v>
      </c>
      <c r="G212" s="209" t="s">
        <v>11</v>
      </c>
      <c r="H212" s="207" t="s">
        <v>836</v>
      </c>
      <c r="I212" s="173">
        <v>1024000</v>
      </c>
      <c r="J212" s="173">
        <v>968530</v>
      </c>
      <c r="K212" s="174">
        <f t="shared" si="38"/>
        <v>94.5830078125</v>
      </c>
    </row>
    <row r="213" spans="1:11" ht="76.5">
      <c r="A213" s="206" t="s">
        <v>253</v>
      </c>
      <c r="B213" s="206" t="s">
        <v>207</v>
      </c>
      <c r="C213" s="206" t="s">
        <v>271</v>
      </c>
      <c r="D213" s="206" t="s">
        <v>1337</v>
      </c>
      <c r="E213" s="206" t="s">
        <v>159</v>
      </c>
      <c r="F213" s="206" t="s">
        <v>161</v>
      </c>
      <c r="G213" s="206" t="s">
        <v>11</v>
      </c>
      <c r="H213" s="186" t="s">
        <v>837</v>
      </c>
      <c r="I213" s="172">
        <f>I214</f>
        <v>10359400</v>
      </c>
      <c r="J213" s="172">
        <f t="shared" ref="J213" si="39">J214</f>
        <v>7685044.6500000004</v>
      </c>
      <c r="K213" s="174">
        <f t="shared" si="38"/>
        <v>74.18426405004152</v>
      </c>
    </row>
    <row r="214" spans="1:11" ht="63.75">
      <c r="A214" s="204" t="s">
        <v>253</v>
      </c>
      <c r="B214" s="204" t="s">
        <v>207</v>
      </c>
      <c r="C214" s="204" t="s">
        <v>271</v>
      </c>
      <c r="D214" s="204" t="s">
        <v>1337</v>
      </c>
      <c r="E214" s="204" t="s">
        <v>275</v>
      </c>
      <c r="F214" s="204" t="s">
        <v>161</v>
      </c>
      <c r="G214" s="204" t="s">
        <v>11</v>
      </c>
      <c r="H214" s="9" t="s">
        <v>838</v>
      </c>
      <c r="I214" s="173">
        <v>10359400</v>
      </c>
      <c r="J214" s="173">
        <v>7685044.6500000004</v>
      </c>
      <c r="K214" s="174">
        <f t="shared" si="38"/>
        <v>74.18426405004152</v>
      </c>
    </row>
    <row r="215" spans="1:11" ht="76.5">
      <c r="A215" s="205" t="s">
        <v>253</v>
      </c>
      <c r="B215" s="205" t="s">
        <v>207</v>
      </c>
      <c r="C215" s="205" t="s">
        <v>271</v>
      </c>
      <c r="D215" s="206" t="s">
        <v>1334</v>
      </c>
      <c r="E215" s="205" t="s">
        <v>159</v>
      </c>
      <c r="F215" s="205" t="s">
        <v>161</v>
      </c>
      <c r="G215" s="205" t="s">
        <v>11</v>
      </c>
      <c r="H215" s="186" t="s">
        <v>345</v>
      </c>
      <c r="I215" s="172">
        <f>I216</f>
        <v>4131005</v>
      </c>
      <c r="J215" s="172">
        <f t="shared" ref="J215" si="40">J216</f>
        <v>4076645.37</v>
      </c>
      <c r="K215" s="174">
        <f t="shared" si="38"/>
        <v>98.684106409941407</v>
      </c>
    </row>
    <row r="216" spans="1:11" ht="76.5">
      <c r="A216" s="203" t="s">
        <v>253</v>
      </c>
      <c r="B216" s="203" t="s">
        <v>207</v>
      </c>
      <c r="C216" s="203" t="s">
        <v>271</v>
      </c>
      <c r="D216" s="204" t="s">
        <v>1334</v>
      </c>
      <c r="E216" s="203" t="s">
        <v>275</v>
      </c>
      <c r="F216" s="203" t="s">
        <v>161</v>
      </c>
      <c r="G216" s="203" t="s">
        <v>11</v>
      </c>
      <c r="H216" s="9" t="s">
        <v>785</v>
      </c>
      <c r="I216" s="420">
        <f>4226600+58000-34395-119200</f>
        <v>4131005</v>
      </c>
      <c r="J216" s="173">
        <v>4076645.37</v>
      </c>
      <c r="K216" s="174">
        <f t="shared" si="38"/>
        <v>98.684106409941407</v>
      </c>
    </row>
    <row r="217" spans="1:11" ht="89.25">
      <c r="A217" s="206" t="s">
        <v>253</v>
      </c>
      <c r="B217" s="206" t="s">
        <v>207</v>
      </c>
      <c r="C217" s="206" t="s">
        <v>271</v>
      </c>
      <c r="D217" s="206" t="s">
        <v>1689</v>
      </c>
      <c r="E217" s="206" t="s">
        <v>159</v>
      </c>
      <c r="F217" s="206" t="s">
        <v>161</v>
      </c>
      <c r="G217" s="206" t="s">
        <v>11</v>
      </c>
      <c r="H217" s="316" t="s">
        <v>1690</v>
      </c>
      <c r="I217" s="172">
        <f>I218</f>
        <v>22012.98</v>
      </c>
      <c r="J217" s="172">
        <f t="shared" ref="J217" si="41">J218</f>
        <v>22012.98</v>
      </c>
      <c r="K217" s="174">
        <f t="shared" si="38"/>
        <v>100</v>
      </c>
    </row>
    <row r="218" spans="1:11" ht="76.5">
      <c r="A218" s="204" t="s">
        <v>253</v>
      </c>
      <c r="B218" s="204" t="s">
        <v>207</v>
      </c>
      <c r="C218" s="204" t="s">
        <v>271</v>
      </c>
      <c r="D218" s="204" t="s">
        <v>1689</v>
      </c>
      <c r="E218" s="204" t="s">
        <v>275</v>
      </c>
      <c r="F218" s="204" t="s">
        <v>161</v>
      </c>
      <c r="G218" s="204" t="s">
        <v>11</v>
      </c>
      <c r="H218" s="9" t="s">
        <v>1690</v>
      </c>
      <c r="I218" s="173">
        <f>7900+15937+166.36-99.52-1890.86</f>
        <v>22012.98</v>
      </c>
      <c r="J218" s="173">
        <v>22012.98</v>
      </c>
      <c r="K218" s="174">
        <f t="shared" si="38"/>
        <v>100</v>
      </c>
    </row>
    <row r="219" spans="1:11">
      <c r="A219" s="206" t="s">
        <v>253</v>
      </c>
      <c r="B219" s="206" t="s">
        <v>207</v>
      </c>
      <c r="C219" s="206" t="s">
        <v>271</v>
      </c>
      <c r="D219" s="206" t="s">
        <v>1338</v>
      </c>
      <c r="E219" s="206" t="s">
        <v>159</v>
      </c>
      <c r="F219" s="206" t="s">
        <v>161</v>
      </c>
      <c r="G219" s="206" t="s">
        <v>11</v>
      </c>
      <c r="H219" s="186" t="s">
        <v>839</v>
      </c>
      <c r="I219" s="172">
        <f>I220</f>
        <v>139520860</v>
      </c>
      <c r="J219" s="172">
        <f t="shared" ref="J219" si="42">J220</f>
        <v>137660059</v>
      </c>
      <c r="K219" s="174">
        <f t="shared" si="38"/>
        <v>98.666291907891051</v>
      </c>
    </row>
    <row r="220" spans="1:11">
      <c r="A220" s="206" t="s">
        <v>253</v>
      </c>
      <c r="B220" s="206" t="s">
        <v>207</v>
      </c>
      <c r="C220" s="206" t="s">
        <v>271</v>
      </c>
      <c r="D220" s="206" t="s">
        <v>1338</v>
      </c>
      <c r="E220" s="206" t="s">
        <v>275</v>
      </c>
      <c r="F220" s="206" t="s">
        <v>161</v>
      </c>
      <c r="G220" s="206" t="s">
        <v>11</v>
      </c>
      <c r="H220" s="186" t="s">
        <v>840</v>
      </c>
      <c r="I220" s="173">
        <f>SUM(I221:I222)</f>
        <v>139520860</v>
      </c>
      <c r="J220" s="173">
        <f t="shared" ref="J220" si="43">SUM(J221:J222)</f>
        <v>137660059</v>
      </c>
      <c r="K220" s="174">
        <f t="shared" si="38"/>
        <v>98.666291907891051</v>
      </c>
    </row>
    <row r="221" spans="1:11" ht="153">
      <c r="A221" s="204" t="s">
        <v>253</v>
      </c>
      <c r="B221" s="204" t="s">
        <v>207</v>
      </c>
      <c r="C221" s="204" t="s">
        <v>271</v>
      </c>
      <c r="D221" s="204" t="s">
        <v>1338</v>
      </c>
      <c r="E221" s="204" t="s">
        <v>275</v>
      </c>
      <c r="F221" s="204" t="s">
        <v>842</v>
      </c>
      <c r="G221" s="204" t="s">
        <v>11</v>
      </c>
      <c r="H221" s="207" t="s">
        <v>841</v>
      </c>
      <c r="I221" s="173">
        <f>62470800+1225260+3933100</f>
        <v>67629160</v>
      </c>
      <c r="J221" s="173">
        <v>67629159.670000002</v>
      </c>
      <c r="K221" s="174">
        <f t="shared" si="38"/>
        <v>99.999999512044795</v>
      </c>
    </row>
    <row r="222" spans="1:11" ht="140.25">
      <c r="A222" s="204" t="s">
        <v>253</v>
      </c>
      <c r="B222" s="204" t="s">
        <v>207</v>
      </c>
      <c r="C222" s="204" t="s">
        <v>271</v>
      </c>
      <c r="D222" s="204" t="s">
        <v>1338</v>
      </c>
      <c r="E222" s="204" t="s">
        <v>275</v>
      </c>
      <c r="F222" s="204" t="s">
        <v>844</v>
      </c>
      <c r="G222" s="204" t="s">
        <v>11</v>
      </c>
      <c r="H222" s="207" t="s">
        <v>843</v>
      </c>
      <c r="I222" s="173">
        <f>69960700+1931000</f>
        <v>71891700</v>
      </c>
      <c r="J222" s="173">
        <v>70030899.329999998</v>
      </c>
      <c r="K222" s="174">
        <f t="shared" si="38"/>
        <v>97.411661332253928</v>
      </c>
    </row>
    <row r="223" spans="1:11">
      <c r="A223" s="210" t="s">
        <v>253</v>
      </c>
      <c r="B223" s="210" t="s">
        <v>207</v>
      </c>
      <c r="C223" s="210" t="s">
        <v>271</v>
      </c>
      <c r="D223" s="210" t="s">
        <v>1339</v>
      </c>
      <c r="E223" s="210" t="s">
        <v>159</v>
      </c>
      <c r="F223" s="210" t="s">
        <v>161</v>
      </c>
      <c r="G223" s="210" t="s">
        <v>11</v>
      </c>
      <c r="H223" s="186" t="s">
        <v>93</v>
      </c>
      <c r="I223" s="172">
        <f>I224+I226</f>
        <v>52467009</v>
      </c>
      <c r="J223" s="172">
        <f>J224+J226</f>
        <v>47264711.810000002</v>
      </c>
      <c r="K223" s="174">
        <f t="shared" si="38"/>
        <v>90.084631677784415</v>
      </c>
    </row>
    <row r="224" spans="1:11" ht="51">
      <c r="A224" s="206">
        <v>890</v>
      </c>
      <c r="B224" s="206">
        <v>2</v>
      </c>
      <c r="C224" s="206" t="s">
        <v>271</v>
      </c>
      <c r="D224" s="206">
        <v>40014</v>
      </c>
      <c r="E224" s="206" t="s">
        <v>159</v>
      </c>
      <c r="F224" s="206" t="s">
        <v>161</v>
      </c>
      <c r="G224" s="206">
        <v>151</v>
      </c>
      <c r="H224" s="186" t="s">
        <v>1714</v>
      </c>
      <c r="I224" s="172">
        <f>I225</f>
        <v>34112977</v>
      </c>
      <c r="J224" s="172">
        <f>J225</f>
        <v>34700679.810000002</v>
      </c>
      <c r="K224" s="174">
        <f t="shared" si="38"/>
        <v>101.72281302215285</v>
      </c>
    </row>
    <row r="225" spans="1:11" ht="51">
      <c r="A225" s="209" t="s">
        <v>253</v>
      </c>
      <c r="B225" s="209" t="s">
        <v>207</v>
      </c>
      <c r="C225" s="209" t="s">
        <v>271</v>
      </c>
      <c r="D225" s="209" t="s">
        <v>1340</v>
      </c>
      <c r="E225" s="209" t="s">
        <v>275</v>
      </c>
      <c r="F225" s="209" t="s">
        <v>161</v>
      </c>
      <c r="G225" s="209" t="s">
        <v>11</v>
      </c>
      <c r="H225" s="9" t="s">
        <v>266</v>
      </c>
      <c r="I225" s="173">
        <f>26736227+82608+1374674-18399+3888446+1321950-1321950+1505000+3300+12650+528471</f>
        <v>34112977</v>
      </c>
      <c r="J225" s="173">
        <v>34700679.810000002</v>
      </c>
      <c r="K225" s="174">
        <f t="shared" si="38"/>
        <v>101.72281302215285</v>
      </c>
    </row>
    <row r="226" spans="1:11">
      <c r="A226" s="206" t="s">
        <v>253</v>
      </c>
      <c r="B226" s="206" t="s">
        <v>207</v>
      </c>
      <c r="C226" s="206" t="s">
        <v>271</v>
      </c>
      <c r="D226" s="206" t="s">
        <v>1716</v>
      </c>
      <c r="E226" s="206" t="s">
        <v>159</v>
      </c>
      <c r="F226" s="206" t="s">
        <v>161</v>
      </c>
      <c r="G226" s="206" t="s">
        <v>11</v>
      </c>
      <c r="H226" s="186" t="s">
        <v>1715</v>
      </c>
      <c r="I226" s="172">
        <f>I227+I229+I228</f>
        <v>18354032</v>
      </c>
      <c r="J226" s="172">
        <f>J227+J229+J228</f>
        <v>12564032</v>
      </c>
      <c r="K226" s="174">
        <f t="shared" si="38"/>
        <v>68.453798053746453</v>
      </c>
    </row>
    <row r="227" spans="1:11" ht="25.5">
      <c r="A227" s="204" t="s">
        <v>253</v>
      </c>
      <c r="B227" s="204" t="s">
        <v>207</v>
      </c>
      <c r="C227" s="204" t="s">
        <v>271</v>
      </c>
      <c r="D227" s="204" t="s">
        <v>1716</v>
      </c>
      <c r="E227" s="204" t="s">
        <v>275</v>
      </c>
      <c r="F227" s="204" t="s">
        <v>161</v>
      </c>
      <c r="G227" s="204" t="s">
        <v>11</v>
      </c>
      <c r="H227" s="9" t="s">
        <v>1717</v>
      </c>
      <c r="I227" s="173">
        <f>1030000+10000000+590000+250000</f>
        <v>11870000</v>
      </c>
      <c r="J227" s="173">
        <v>6080000</v>
      </c>
      <c r="K227" s="174">
        <f t="shared" si="38"/>
        <v>51.221566975568656</v>
      </c>
    </row>
    <row r="228" spans="1:11" ht="114.75">
      <c r="A228" s="204" t="s">
        <v>253</v>
      </c>
      <c r="B228" s="204" t="s">
        <v>207</v>
      </c>
      <c r="C228" s="204" t="s">
        <v>271</v>
      </c>
      <c r="D228" s="204" t="s">
        <v>1716</v>
      </c>
      <c r="E228" s="204" t="s">
        <v>275</v>
      </c>
      <c r="F228" s="204" t="s">
        <v>1980</v>
      </c>
      <c r="G228" s="204" t="s">
        <v>11</v>
      </c>
      <c r="H228" s="9" t="s">
        <v>1976</v>
      </c>
      <c r="I228" s="173">
        <v>3312132</v>
      </c>
      <c r="J228" s="173">
        <v>3312132</v>
      </c>
      <c r="K228" s="174">
        <f t="shared" si="38"/>
        <v>100</v>
      </c>
    </row>
    <row r="229" spans="1:11" ht="63.75">
      <c r="A229" s="204" t="s">
        <v>253</v>
      </c>
      <c r="B229" s="204" t="s">
        <v>207</v>
      </c>
      <c r="C229" s="204" t="s">
        <v>271</v>
      </c>
      <c r="D229" s="204" t="s">
        <v>1716</v>
      </c>
      <c r="E229" s="204" t="s">
        <v>275</v>
      </c>
      <c r="F229" s="204" t="s">
        <v>1930</v>
      </c>
      <c r="G229" s="204" t="s">
        <v>11</v>
      </c>
      <c r="H229" s="9" t="s">
        <v>1931</v>
      </c>
      <c r="I229" s="173">
        <v>3171900</v>
      </c>
      <c r="J229" s="173">
        <v>3171900</v>
      </c>
      <c r="K229" s="174">
        <f t="shared" si="38"/>
        <v>100</v>
      </c>
    </row>
    <row r="230" spans="1:11" hidden="1">
      <c r="A230" s="206" t="s">
        <v>197</v>
      </c>
      <c r="B230" s="206" t="s">
        <v>207</v>
      </c>
      <c r="C230" s="206" t="s">
        <v>285</v>
      </c>
      <c r="D230" s="206" t="s">
        <v>160</v>
      </c>
      <c r="E230" s="206" t="s">
        <v>159</v>
      </c>
      <c r="F230" s="206" t="s">
        <v>161</v>
      </c>
      <c r="G230" s="206" t="s">
        <v>197</v>
      </c>
      <c r="H230" s="186" t="s">
        <v>1796</v>
      </c>
      <c r="I230" s="172">
        <f t="shared" ref="I230:J232" si="44">I231</f>
        <v>0</v>
      </c>
      <c r="J230" s="172">
        <f t="shared" si="44"/>
        <v>0</v>
      </c>
      <c r="K230" s="174" t="e">
        <f t="shared" si="38"/>
        <v>#DIV/0!</v>
      </c>
    </row>
    <row r="231" spans="1:11" ht="25.5" hidden="1">
      <c r="A231" s="206" t="s">
        <v>197</v>
      </c>
      <c r="B231" s="206" t="s">
        <v>207</v>
      </c>
      <c r="C231" s="206" t="s">
        <v>285</v>
      </c>
      <c r="D231" s="206" t="s">
        <v>37</v>
      </c>
      <c r="E231" s="206" t="s">
        <v>275</v>
      </c>
      <c r="F231" s="206" t="s">
        <v>161</v>
      </c>
      <c r="G231" s="206" t="s">
        <v>678</v>
      </c>
      <c r="H231" s="186" t="s">
        <v>1797</v>
      </c>
      <c r="I231" s="172">
        <f t="shared" si="44"/>
        <v>0</v>
      </c>
      <c r="J231" s="172">
        <f t="shared" si="44"/>
        <v>0</v>
      </c>
      <c r="K231" s="174" t="e">
        <f t="shared" si="38"/>
        <v>#DIV/0!</v>
      </c>
    </row>
    <row r="232" spans="1:11" ht="25.5" hidden="1">
      <c r="A232" s="206" t="s">
        <v>197</v>
      </c>
      <c r="B232" s="206" t="s">
        <v>207</v>
      </c>
      <c r="C232" s="206" t="s">
        <v>285</v>
      </c>
      <c r="D232" s="206" t="s">
        <v>1799</v>
      </c>
      <c r="E232" s="206" t="s">
        <v>275</v>
      </c>
      <c r="F232" s="206" t="s">
        <v>161</v>
      </c>
      <c r="G232" s="206" t="s">
        <v>678</v>
      </c>
      <c r="H232" s="186" t="s">
        <v>1798</v>
      </c>
      <c r="I232" s="172">
        <f t="shared" si="44"/>
        <v>0</v>
      </c>
      <c r="J232" s="172">
        <f t="shared" si="44"/>
        <v>0</v>
      </c>
      <c r="K232" s="174" t="e">
        <f t="shared" si="38"/>
        <v>#DIV/0!</v>
      </c>
    </row>
    <row r="233" spans="1:11" ht="25.5" hidden="1">
      <c r="A233" s="204" t="s">
        <v>5</v>
      </c>
      <c r="B233" s="204" t="s">
        <v>207</v>
      </c>
      <c r="C233" s="204" t="s">
        <v>285</v>
      </c>
      <c r="D233" s="204" t="s">
        <v>1799</v>
      </c>
      <c r="E233" s="204" t="s">
        <v>275</v>
      </c>
      <c r="F233" s="204" t="s">
        <v>685</v>
      </c>
      <c r="G233" s="204" t="s">
        <v>678</v>
      </c>
      <c r="H233" s="9" t="s">
        <v>1798</v>
      </c>
      <c r="I233" s="173">
        <f>112499433.5-88176000-22003027.46-2320406.04</f>
        <v>0</v>
      </c>
      <c r="J233" s="173">
        <v>0</v>
      </c>
      <c r="K233" s="174" t="e">
        <f t="shared" si="38"/>
        <v>#DIV/0!</v>
      </c>
    </row>
    <row r="234" spans="1:11" ht="25.5">
      <c r="A234" s="206" t="s">
        <v>197</v>
      </c>
      <c r="B234" s="206" t="s">
        <v>207</v>
      </c>
      <c r="C234" s="206" t="s">
        <v>30</v>
      </c>
      <c r="D234" s="206" t="s">
        <v>37</v>
      </c>
      <c r="E234" s="206" t="s">
        <v>275</v>
      </c>
      <c r="F234" s="206" t="s">
        <v>161</v>
      </c>
      <c r="G234" s="206" t="s">
        <v>678</v>
      </c>
      <c r="H234" s="340" t="s">
        <v>406</v>
      </c>
      <c r="I234" s="172">
        <f>I235</f>
        <v>1800000</v>
      </c>
      <c r="J234" s="172">
        <f t="shared" ref="J234" si="45">J235</f>
        <v>2138150</v>
      </c>
      <c r="K234" s="174">
        <f t="shared" si="38"/>
        <v>118.7861111111111</v>
      </c>
    </row>
    <row r="235" spans="1:11" ht="25.5">
      <c r="A235" s="206" t="s">
        <v>197</v>
      </c>
      <c r="B235" s="206" t="s">
        <v>207</v>
      </c>
      <c r="C235" s="206" t="s">
        <v>30</v>
      </c>
      <c r="D235" s="206" t="s">
        <v>240</v>
      </c>
      <c r="E235" s="206" t="s">
        <v>275</v>
      </c>
      <c r="F235" s="206" t="s">
        <v>161</v>
      </c>
      <c r="G235" s="206" t="s">
        <v>678</v>
      </c>
      <c r="H235" s="340" t="s">
        <v>406</v>
      </c>
      <c r="I235" s="172">
        <f>SUM(I236:I236)</f>
        <v>1800000</v>
      </c>
      <c r="J235" s="172">
        <f>SUM(J236:J236)</f>
        <v>2138150</v>
      </c>
      <c r="K235" s="174">
        <f t="shared" si="38"/>
        <v>118.7861111111111</v>
      </c>
    </row>
    <row r="236" spans="1:11" ht="51">
      <c r="A236" s="204" t="s">
        <v>252</v>
      </c>
      <c r="B236" s="209" t="s">
        <v>207</v>
      </c>
      <c r="C236" s="209" t="s">
        <v>30</v>
      </c>
      <c r="D236" s="209" t="s">
        <v>240</v>
      </c>
      <c r="E236" s="209" t="s">
        <v>275</v>
      </c>
      <c r="F236" s="209" t="s">
        <v>685</v>
      </c>
      <c r="G236" s="209" t="s">
        <v>678</v>
      </c>
      <c r="H236" s="9" t="s">
        <v>408</v>
      </c>
      <c r="I236" s="173">
        <v>1800000</v>
      </c>
      <c r="J236" s="8">
        <v>2138150</v>
      </c>
      <c r="K236" s="174">
        <f t="shared" si="38"/>
        <v>118.7861111111111</v>
      </c>
    </row>
    <row r="237" spans="1:11" ht="51">
      <c r="A237" s="206" t="s">
        <v>253</v>
      </c>
      <c r="B237" s="210" t="s">
        <v>207</v>
      </c>
      <c r="C237" s="210" t="s">
        <v>1723</v>
      </c>
      <c r="D237" s="206" t="s">
        <v>160</v>
      </c>
      <c r="E237" s="210" t="s">
        <v>275</v>
      </c>
      <c r="F237" s="210" t="s">
        <v>161</v>
      </c>
      <c r="G237" s="210" t="s">
        <v>11</v>
      </c>
      <c r="H237" s="186" t="s">
        <v>1722</v>
      </c>
      <c r="I237" s="172">
        <f>I238</f>
        <v>10011.450000000001</v>
      </c>
      <c r="J237" s="172">
        <f>J238</f>
        <v>10011.450000000001</v>
      </c>
      <c r="K237" s="174">
        <f t="shared" si="38"/>
        <v>100</v>
      </c>
    </row>
    <row r="238" spans="1:11" ht="38.25">
      <c r="A238" s="206" t="s">
        <v>197</v>
      </c>
      <c r="B238" s="210">
        <v>2</v>
      </c>
      <c r="C238" s="210">
        <v>18</v>
      </c>
      <c r="D238" s="206" t="s">
        <v>160</v>
      </c>
      <c r="E238" s="206" t="s">
        <v>275</v>
      </c>
      <c r="F238" s="206" t="s">
        <v>161</v>
      </c>
      <c r="G238" s="210">
        <v>151</v>
      </c>
      <c r="H238" s="9" t="s">
        <v>1566</v>
      </c>
      <c r="I238" s="173">
        <f>I239+I240</f>
        <v>10011.450000000001</v>
      </c>
      <c r="J238" s="173">
        <f>J239+J240</f>
        <v>10011.450000000001</v>
      </c>
      <c r="K238" s="174">
        <f t="shared" si="38"/>
        <v>100</v>
      </c>
    </row>
    <row r="239" spans="1:11" ht="38.25">
      <c r="A239" s="204" t="s">
        <v>253</v>
      </c>
      <c r="B239" s="209" t="s">
        <v>207</v>
      </c>
      <c r="C239" s="209" t="s">
        <v>1723</v>
      </c>
      <c r="D239" s="209">
        <v>60010</v>
      </c>
      <c r="E239" s="209" t="s">
        <v>275</v>
      </c>
      <c r="F239" s="209">
        <v>5118</v>
      </c>
      <c r="G239" s="209">
        <v>151</v>
      </c>
      <c r="H239" s="9" t="s">
        <v>1566</v>
      </c>
      <c r="I239" s="173">
        <v>11.45</v>
      </c>
      <c r="J239" s="420">
        <v>11.45</v>
      </c>
      <c r="K239" s="174">
        <f t="shared" si="38"/>
        <v>100</v>
      </c>
    </row>
    <row r="240" spans="1:11" ht="38.25">
      <c r="A240" s="204" t="s">
        <v>253</v>
      </c>
      <c r="B240" s="209" t="s">
        <v>207</v>
      </c>
      <c r="C240" s="209" t="s">
        <v>1723</v>
      </c>
      <c r="D240" s="209">
        <v>60010</v>
      </c>
      <c r="E240" s="209" t="s">
        <v>275</v>
      </c>
      <c r="F240" s="209">
        <v>7412</v>
      </c>
      <c r="G240" s="209">
        <v>151</v>
      </c>
      <c r="H240" s="9" t="s">
        <v>1566</v>
      </c>
      <c r="I240" s="173">
        <v>10000</v>
      </c>
      <c r="J240" s="420">
        <v>10000</v>
      </c>
      <c r="K240" s="174">
        <f t="shared" si="38"/>
        <v>100</v>
      </c>
    </row>
    <row r="241" spans="1:11" ht="25.5">
      <c r="A241" s="206" t="s">
        <v>253</v>
      </c>
      <c r="B241" s="210">
        <v>2</v>
      </c>
      <c r="C241" s="210">
        <v>18</v>
      </c>
      <c r="D241" s="206" t="s">
        <v>160</v>
      </c>
      <c r="E241" s="206" t="s">
        <v>159</v>
      </c>
      <c r="F241" s="206" t="s">
        <v>161</v>
      </c>
      <c r="G241" s="206" t="s">
        <v>678</v>
      </c>
      <c r="H241" s="186" t="s">
        <v>1724</v>
      </c>
      <c r="I241" s="172">
        <f>I242</f>
        <v>19385724.48</v>
      </c>
      <c r="J241" s="172">
        <f>J242</f>
        <v>19406317.150000002</v>
      </c>
      <c r="K241" s="174">
        <f t="shared" si="38"/>
        <v>100.10622595003476</v>
      </c>
    </row>
    <row r="242" spans="1:11" ht="25.5">
      <c r="A242" s="206" t="s">
        <v>197</v>
      </c>
      <c r="B242" s="210">
        <v>2</v>
      </c>
      <c r="C242" s="210">
        <v>18</v>
      </c>
      <c r="D242" s="206" t="s">
        <v>37</v>
      </c>
      <c r="E242" s="206" t="s">
        <v>275</v>
      </c>
      <c r="F242" s="206" t="s">
        <v>161</v>
      </c>
      <c r="G242" s="206" t="s">
        <v>678</v>
      </c>
      <c r="H242" s="186" t="s">
        <v>1725</v>
      </c>
      <c r="I242" s="173">
        <f>I243+I244+I245+I246</f>
        <v>19385724.48</v>
      </c>
      <c r="J242" s="173">
        <f>J243+J244+J245+J246</f>
        <v>19406317.150000002</v>
      </c>
      <c r="K242" s="174">
        <f t="shared" si="38"/>
        <v>100.10622595003476</v>
      </c>
    </row>
    <row r="243" spans="1:11" ht="25.5">
      <c r="A243" s="204" t="s">
        <v>5</v>
      </c>
      <c r="B243" s="209">
        <v>2</v>
      </c>
      <c r="C243" s="209">
        <v>18</v>
      </c>
      <c r="D243" s="204" t="s">
        <v>260</v>
      </c>
      <c r="E243" s="204" t="s">
        <v>275</v>
      </c>
      <c r="F243" s="204" t="s">
        <v>161</v>
      </c>
      <c r="G243" s="204">
        <v>180</v>
      </c>
      <c r="H243" s="9" t="s">
        <v>566</v>
      </c>
      <c r="I243" s="173">
        <f>101766.53-54530.98</f>
        <v>47235.549999999996</v>
      </c>
      <c r="J243" s="420">
        <v>47235.55</v>
      </c>
      <c r="K243" s="174">
        <f t="shared" si="38"/>
        <v>100.00000000000003</v>
      </c>
    </row>
    <row r="244" spans="1:11" ht="25.5">
      <c r="A244" s="204" t="s">
        <v>5</v>
      </c>
      <c r="B244" s="209">
        <v>2</v>
      </c>
      <c r="C244" s="209">
        <v>18</v>
      </c>
      <c r="D244" s="204" t="s">
        <v>260</v>
      </c>
      <c r="E244" s="204" t="s">
        <v>275</v>
      </c>
      <c r="F244" s="204" t="s">
        <v>1835</v>
      </c>
      <c r="G244" s="204">
        <v>180</v>
      </c>
      <c r="H244" s="9" t="s">
        <v>566</v>
      </c>
      <c r="I244" s="173">
        <v>54530.98</v>
      </c>
      <c r="J244" s="420">
        <v>54530.98</v>
      </c>
      <c r="K244" s="174">
        <f t="shared" si="38"/>
        <v>100</v>
      </c>
    </row>
    <row r="245" spans="1:11" ht="25.5">
      <c r="A245" s="204" t="s">
        <v>278</v>
      </c>
      <c r="B245" s="209">
        <v>2</v>
      </c>
      <c r="C245" s="209">
        <v>18</v>
      </c>
      <c r="D245" s="204" t="s">
        <v>260</v>
      </c>
      <c r="E245" s="204" t="s">
        <v>275</v>
      </c>
      <c r="F245" s="204" t="s">
        <v>161</v>
      </c>
      <c r="G245" s="209">
        <v>180</v>
      </c>
      <c r="H245" s="9" t="s">
        <v>566</v>
      </c>
      <c r="I245" s="173">
        <f>29332.87+4000000+1209081.3+1103641.19</f>
        <v>6342055.3599999994</v>
      </c>
      <c r="J245" s="420">
        <v>6342055.3600000003</v>
      </c>
      <c r="K245" s="174">
        <f t="shared" si="38"/>
        <v>100.00000000000003</v>
      </c>
    </row>
    <row r="246" spans="1:11" ht="25.5">
      <c r="A246" s="206" t="s">
        <v>197</v>
      </c>
      <c r="B246" s="210">
        <v>2</v>
      </c>
      <c r="C246" s="210">
        <v>18</v>
      </c>
      <c r="D246" s="206" t="s">
        <v>240</v>
      </c>
      <c r="E246" s="206" t="s">
        <v>275</v>
      </c>
      <c r="F246" s="206" t="s">
        <v>161</v>
      </c>
      <c r="G246" s="210">
        <v>180</v>
      </c>
      <c r="H246" s="408" t="s">
        <v>1323</v>
      </c>
      <c r="I246" s="172">
        <f>I247+I248+I253+I249+I250+I251</f>
        <v>12941902.590000002</v>
      </c>
      <c r="J246" s="172">
        <f>J247+J248+J253+J249+J250+J251+J252</f>
        <v>12962495.260000002</v>
      </c>
      <c r="K246" s="174">
        <f t="shared" si="38"/>
        <v>100.15911624938292</v>
      </c>
    </row>
    <row r="247" spans="1:11" ht="25.5">
      <c r="A247" s="204" t="s">
        <v>5</v>
      </c>
      <c r="B247" s="209">
        <v>2</v>
      </c>
      <c r="C247" s="209">
        <v>18</v>
      </c>
      <c r="D247" s="204" t="s">
        <v>240</v>
      </c>
      <c r="E247" s="204" t="s">
        <v>275</v>
      </c>
      <c r="F247" s="204" t="s">
        <v>1836</v>
      </c>
      <c r="G247" s="209">
        <v>180</v>
      </c>
      <c r="H247" s="54" t="s">
        <v>1323</v>
      </c>
      <c r="I247" s="173">
        <f>5306214+3577693</f>
        <v>8883907</v>
      </c>
      <c r="J247" s="420">
        <v>8883907</v>
      </c>
      <c r="K247" s="174">
        <f t="shared" si="38"/>
        <v>100</v>
      </c>
    </row>
    <row r="248" spans="1:11" ht="25.5">
      <c r="A248" s="204" t="s">
        <v>5</v>
      </c>
      <c r="B248" s="209">
        <v>2</v>
      </c>
      <c r="C248" s="209">
        <v>18</v>
      </c>
      <c r="D248" s="204" t="s">
        <v>240</v>
      </c>
      <c r="E248" s="204" t="s">
        <v>275</v>
      </c>
      <c r="F248" s="204" t="s">
        <v>1837</v>
      </c>
      <c r="G248" s="209">
        <v>180</v>
      </c>
      <c r="H248" s="54" t="s">
        <v>1323</v>
      </c>
      <c r="I248" s="173">
        <f>2500000+1258895.39</f>
        <v>3758895.3899999997</v>
      </c>
      <c r="J248" s="420">
        <v>3758895.39</v>
      </c>
      <c r="K248" s="174">
        <f t="shared" si="38"/>
        <v>100.00000000000003</v>
      </c>
    </row>
    <row r="249" spans="1:11" ht="25.5">
      <c r="A249" s="204" t="s">
        <v>177</v>
      </c>
      <c r="B249" s="209">
        <v>2</v>
      </c>
      <c r="C249" s="209">
        <v>18</v>
      </c>
      <c r="D249" s="204" t="s">
        <v>240</v>
      </c>
      <c r="E249" s="204" t="s">
        <v>275</v>
      </c>
      <c r="F249" s="204" t="s">
        <v>1936</v>
      </c>
      <c r="G249" s="209">
        <v>180</v>
      </c>
      <c r="H249" s="54" t="s">
        <v>1323</v>
      </c>
      <c r="I249" s="173">
        <v>1271.3</v>
      </c>
      <c r="J249" s="420">
        <v>14928.33</v>
      </c>
      <c r="K249" s="174">
        <f t="shared" si="38"/>
        <v>1174.2570597026665</v>
      </c>
    </row>
    <row r="250" spans="1:11" ht="25.5">
      <c r="A250" s="204" t="s">
        <v>177</v>
      </c>
      <c r="B250" s="209">
        <v>2</v>
      </c>
      <c r="C250" s="209">
        <v>18</v>
      </c>
      <c r="D250" s="204" t="s">
        <v>240</v>
      </c>
      <c r="E250" s="204" t="s">
        <v>275</v>
      </c>
      <c r="F250" s="204" t="s">
        <v>1974</v>
      </c>
      <c r="G250" s="209">
        <v>180</v>
      </c>
      <c r="H250" s="54" t="s">
        <v>1323</v>
      </c>
      <c r="I250" s="173">
        <v>13967.5</v>
      </c>
      <c r="J250" s="420">
        <v>13967.5</v>
      </c>
      <c r="K250" s="174">
        <f t="shared" si="38"/>
        <v>100</v>
      </c>
    </row>
    <row r="251" spans="1:11" ht="25.5">
      <c r="A251" s="204" t="s">
        <v>177</v>
      </c>
      <c r="B251" s="209">
        <v>2</v>
      </c>
      <c r="C251" s="209">
        <v>18</v>
      </c>
      <c r="D251" s="204" t="s">
        <v>240</v>
      </c>
      <c r="E251" s="204" t="s">
        <v>275</v>
      </c>
      <c r="F251" s="204" t="s">
        <v>1979</v>
      </c>
      <c r="G251" s="209">
        <v>180</v>
      </c>
      <c r="H251" s="54" t="s">
        <v>1323</v>
      </c>
      <c r="I251" s="173">
        <v>22055.15</v>
      </c>
      <c r="J251" s="420">
        <v>22055.15</v>
      </c>
      <c r="K251" s="174">
        <f t="shared" si="38"/>
        <v>100</v>
      </c>
    </row>
    <row r="252" spans="1:11" ht="25.5">
      <c r="A252" s="204" t="s">
        <v>177</v>
      </c>
      <c r="B252" s="209">
        <v>2</v>
      </c>
      <c r="C252" s="209">
        <v>18</v>
      </c>
      <c r="D252" s="204" t="s">
        <v>240</v>
      </c>
      <c r="E252" s="204" t="s">
        <v>275</v>
      </c>
      <c r="F252" s="204" t="s">
        <v>2760</v>
      </c>
      <c r="G252" s="209">
        <v>180</v>
      </c>
      <c r="H252" s="54" t="s">
        <v>1323</v>
      </c>
      <c r="I252" s="173">
        <v>0</v>
      </c>
      <c r="J252" s="420">
        <v>6935.64</v>
      </c>
      <c r="K252" s="174"/>
    </row>
    <row r="253" spans="1:11" ht="25.5">
      <c r="A253" s="204" t="s">
        <v>1164</v>
      </c>
      <c r="B253" s="209">
        <v>2</v>
      </c>
      <c r="C253" s="209">
        <v>18</v>
      </c>
      <c r="D253" s="204" t="s">
        <v>240</v>
      </c>
      <c r="E253" s="204" t="s">
        <v>275</v>
      </c>
      <c r="F253" s="204" t="s">
        <v>1836</v>
      </c>
      <c r="G253" s="209">
        <v>180</v>
      </c>
      <c r="H253" s="54" t="s">
        <v>1323</v>
      </c>
      <c r="I253" s="173">
        <v>261806.25</v>
      </c>
      <c r="J253" s="420">
        <v>261806.25</v>
      </c>
      <c r="K253" s="174">
        <f t="shared" si="38"/>
        <v>100</v>
      </c>
    </row>
    <row r="254" spans="1:11" ht="25.5">
      <c r="A254" s="206" t="s">
        <v>197</v>
      </c>
      <c r="B254" s="206">
        <v>2</v>
      </c>
      <c r="C254" s="206">
        <v>19</v>
      </c>
      <c r="D254" s="206" t="s">
        <v>160</v>
      </c>
      <c r="E254" s="206" t="s">
        <v>159</v>
      </c>
      <c r="F254" s="206" t="s">
        <v>161</v>
      </c>
      <c r="G254" s="206" t="s">
        <v>197</v>
      </c>
      <c r="H254" s="318" t="s">
        <v>1710</v>
      </c>
      <c r="I254" s="172">
        <f>I255</f>
        <v>-17730054.420000002</v>
      </c>
      <c r="J254" s="172">
        <f>J255</f>
        <v>-17730054.420000002</v>
      </c>
      <c r="K254" s="174">
        <f t="shared" si="38"/>
        <v>100</v>
      </c>
    </row>
    <row r="255" spans="1:11" ht="38.25">
      <c r="A255" s="204" t="s">
        <v>253</v>
      </c>
      <c r="B255" s="204" t="s">
        <v>207</v>
      </c>
      <c r="C255" s="204" t="s">
        <v>1712</v>
      </c>
      <c r="D255" s="204" t="s">
        <v>160</v>
      </c>
      <c r="E255" s="204" t="s">
        <v>275</v>
      </c>
      <c r="F255" s="204" t="s">
        <v>161</v>
      </c>
      <c r="G255" s="204" t="s">
        <v>11</v>
      </c>
      <c r="H255" s="9" t="s">
        <v>1711</v>
      </c>
      <c r="I255" s="173">
        <f>I256</f>
        <v>-17730054.420000002</v>
      </c>
      <c r="J255" s="173">
        <f>J256</f>
        <v>-17730054.420000002</v>
      </c>
      <c r="K255" s="174">
        <f t="shared" si="38"/>
        <v>100</v>
      </c>
    </row>
    <row r="256" spans="1:11" ht="38.25">
      <c r="A256" s="204" t="s">
        <v>253</v>
      </c>
      <c r="B256" s="204" t="s">
        <v>207</v>
      </c>
      <c r="C256" s="204" t="s">
        <v>1712</v>
      </c>
      <c r="D256" s="204" t="s">
        <v>1713</v>
      </c>
      <c r="E256" s="204" t="s">
        <v>275</v>
      </c>
      <c r="F256" s="204" t="s">
        <v>161</v>
      </c>
      <c r="G256" s="204" t="s">
        <v>11</v>
      </c>
      <c r="H256" s="9" t="s">
        <v>1582</v>
      </c>
      <c r="I256" s="173">
        <f>-20898917.1+16165296.75-0.03-0.47-8068020.25-4836588.39-54530.98-1271.3-13967.5-22055.15</f>
        <v>-17730054.420000002</v>
      </c>
      <c r="J256" s="420">
        <v>-17730054.420000002</v>
      </c>
      <c r="K256" s="174">
        <f t="shared" si="38"/>
        <v>100</v>
      </c>
    </row>
    <row r="257" spans="1:11">
      <c r="A257" s="183" t="s">
        <v>197</v>
      </c>
      <c r="B257" s="183" t="s">
        <v>31</v>
      </c>
      <c r="C257" s="183" t="s">
        <v>32</v>
      </c>
      <c r="D257" s="183" t="s">
        <v>160</v>
      </c>
      <c r="E257" s="183" t="s">
        <v>159</v>
      </c>
      <c r="F257" s="183" t="s">
        <v>161</v>
      </c>
      <c r="G257" s="184" t="s">
        <v>197</v>
      </c>
      <c r="H257" s="184"/>
      <c r="I257" s="185">
        <f>I8+I146</f>
        <v>2116114650.5300002</v>
      </c>
      <c r="J257" s="185">
        <f>J8+J146</f>
        <v>2065497528.6999998</v>
      </c>
      <c r="K257" s="174">
        <f t="shared" si="38"/>
        <v>97.608016096040785</v>
      </c>
    </row>
  </sheetData>
  <autoFilter ref="A6:M257">
    <filterColumn colId="0"/>
    <filterColumn colId="5"/>
    <filterColumn colId="7"/>
  </autoFilter>
  <mergeCells count="7">
    <mergeCell ref="A1:K1"/>
    <mergeCell ref="A2:K2"/>
    <mergeCell ref="K4:K6"/>
    <mergeCell ref="I4:I6"/>
    <mergeCell ref="A4:G5"/>
    <mergeCell ref="J4:J6"/>
    <mergeCell ref="H4:H6"/>
  </mergeCells>
  <pageMargins left="0.15748031496062992" right="0.15748031496062992" top="0.19685039370078741" bottom="0.19685039370078741" header="0.15748031496062992" footer="0.19685039370078741"/>
  <pageSetup paperSize="9" scale="71" fitToHeight="0" orientation="portrait" r:id="rId1"/>
  <headerFooter alignWithMargins="0"/>
</worksheet>
</file>

<file path=xl/worksheets/sheet11.xml><?xml version="1.0" encoding="utf-8"?>
<worksheet xmlns="http://schemas.openxmlformats.org/spreadsheetml/2006/main" xmlns:r="http://schemas.openxmlformats.org/officeDocument/2006/relationships">
  <sheetPr codeName="Лист7">
    <tabColor rgb="FF92D050"/>
  </sheetPr>
  <dimension ref="A1:J843"/>
  <sheetViews>
    <sheetView workbookViewId="0">
      <selection activeCell="A3" sqref="A3"/>
    </sheetView>
  </sheetViews>
  <sheetFormatPr defaultRowHeight="12.75"/>
  <cols>
    <col min="1" max="1" width="43.5703125" style="4" customWidth="1"/>
    <col min="2" max="2" width="5.28515625" style="150" customWidth="1"/>
    <col min="3" max="3" width="5.42578125" style="150" customWidth="1"/>
    <col min="4" max="4" width="11.85546875" style="150" customWidth="1"/>
    <col min="5" max="5" width="5.85546875" style="151" customWidth="1"/>
    <col min="6" max="6" width="17.85546875" style="352" customWidth="1"/>
    <col min="7" max="7" width="15.7109375" style="352" customWidth="1"/>
    <col min="8" max="8" width="11.28515625" style="352" customWidth="1"/>
    <col min="9" max="9" width="25.85546875" style="4" customWidth="1"/>
    <col min="10" max="10" width="13.5703125" style="4" bestFit="1" customWidth="1"/>
    <col min="11" max="16384" width="9.140625" style="4"/>
  </cols>
  <sheetData>
    <row r="1" spans="1:10" ht="53.25" customHeight="1">
      <c r="A1" s="508"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 " 2018 года №</v>
      </c>
      <c r="B1" s="508"/>
      <c r="C1" s="508"/>
      <c r="D1" s="508"/>
      <c r="E1" s="508"/>
      <c r="F1" s="508"/>
      <c r="G1" s="508"/>
      <c r="H1" s="508"/>
    </row>
    <row r="2" spans="1:10" ht="39.75" customHeight="1">
      <c r="A2" s="551" t="str">
        <f>"Ведомственная структура расходов районного бюджета за "&amp;год&amp;" год"</f>
        <v>Ведомственная структура расходов районного бюджета за 2017 год</v>
      </c>
      <c r="B2" s="551"/>
      <c r="C2" s="551"/>
      <c r="D2" s="551"/>
      <c r="E2" s="551"/>
      <c r="F2" s="551"/>
      <c r="G2" s="551"/>
      <c r="H2" s="551"/>
    </row>
    <row r="3" spans="1:10">
      <c r="G3" s="351"/>
      <c r="H3" s="351" t="s">
        <v>94</v>
      </c>
    </row>
    <row r="4" spans="1:10">
      <c r="A4" s="555" t="s">
        <v>280</v>
      </c>
      <c r="B4" s="557" t="s">
        <v>214</v>
      </c>
      <c r="C4" s="558"/>
      <c r="D4" s="558"/>
      <c r="E4" s="559"/>
      <c r="F4" s="560" t="s">
        <v>2456</v>
      </c>
      <c r="G4" s="550" t="s">
        <v>2559</v>
      </c>
      <c r="H4" s="550" t="s">
        <v>2194</v>
      </c>
    </row>
    <row r="5" spans="1:10" ht="38.25">
      <c r="A5" s="556"/>
      <c r="B5" s="212" t="s">
        <v>213</v>
      </c>
      <c r="C5" s="212" t="s">
        <v>281</v>
      </c>
      <c r="D5" s="212" t="s">
        <v>215</v>
      </c>
      <c r="E5" s="212" t="s">
        <v>216</v>
      </c>
      <c r="F5" s="561"/>
      <c r="G5" s="550"/>
      <c r="H5" s="550"/>
    </row>
    <row r="6" spans="1:10" s="14" customFormat="1">
      <c r="A6" s="552" t="s">
        <v>95</v>
      </c>
      <c r="B6" s="553"/>
      <c r="C6" s="553"/>
      <c r="D6" s="553"/>
      <c r="E6" s="554"/>
      <c r="F6" s="474">
        <v>2119922020.1199999</v>
      </c>
      <c r="G6" s="471">
        <v>2028300069.1700001</v>
      </c>
      <c r="H6" s="475">
        <f>G6/F6*100</f>
        <v>95.67805088675793</v>
      </c>
      <c r="J6" s="98"/>
    </row>
    <row r="7" spans="1:10">
      <c r="A7" s="53" t="s">
        <v>437</v>
      </c>
      <c r="B7" s="137" t="s">
        <v>217</v>
      </c>
      <c r="C7" s="137"/>
      <c r="D7" s="137"/>
      <c r="E7" s="137"/>
      <c r="F7" s="472">
        <v>4386710</v>
      </c>
      <c r="G7" s="470">
        <v>4370547.3499999996</v>
      </c>
      <c r="H7" s="320">
        <f t="shared" ref="H7:H70" si="0">G7/F7*100</f>
        <v>99.631554171577321</v>
      </c>
      <c r="I7" s="149" t="str">
        <f>CONCATENATE(C7,D7,E7)</f>
        <v/>
      </c>
    </row>
    <row r="8" spans="1:10">
      <c r="A8" s="53" t="s">
        <v>282</v>
      </c>
      <c r="B8" s="137" t="s">
        <v>217</v>
      </c>
      <c r="C8" s="137" t="s">
        <v>1598</v>
      </c>
      <c r="D8" s="137"/>
      <c r="E8" s="137"/>
      <c r="F8" s="472">
        <v>4386710</v>
      </c>
      <c r="G8" s="470">
        <v>4370547.3499999996</v>
      </c>
      <c r="H8" s="320">
        <f t="shared" si="0"/>
        <v>99.631554171577321</v>
      </c>
      <c r="I8" s="149" t="str">
        <f t="shared" ref="I8:I71" si="1">CONCATENATE(C8,D8,E8)</f>
        <v>0100</v>
      </c>
      <c r="J8" s="149"/>
    </row>
    <row r="9" spans="1:10" ht="51">
      <c r="A9" s="53" t="s">
        <v>92</v>
      </c>
      <c r="B9" s="137" t="s">
        <v>217</v>
      </c>
      <c r="C9" s="137" t="s">
        <v>443</v>
      </c>
      <c r="D9" s="137"/>
      <c r="E9" s="137"/>
      <c r="F9" s="472">
        <v>4386710</v>
      </c>
      <c r="G9" s="470">
        <v>4370547.3499999996</v>
      </c>
      <c r="H9" s="320">
        <f t="shared" si="0"/>
        <v>99.631554171577321</v>
      </c>
      <c r="I9" s="149" t="str">
        <f t="shared" si="1"/>
        <v>0103</v>
      </c>
    </row>
    <row r="10" spans="1:10" ht="51">
      <c r="A10" s="53" t="s">
        <v>444</v>
      </c>
      <c r="B10" s="137" t="s">
        <v>217</v>
      </c>
      <c r="C10" s="137" t="s">
        <v>443</v>
      </c>
      <c r="D10" s="137" t="s">
        <v>847</v>
      </c>
      <c r="E10" s="137"/>
      <c r="F10" s="472">
        <v>1659789.93</v>
      </c>
      <c r="G10" s="470">
        <v>1653146.62</v>
      </c>
      <c r="H10" s="320">
        <f t="shared" si="0"/>
        <v>99.599749951489358</v>
      </c>
      <c r="I10" s="149" t="str">
        <f t="shared" si="1"/>
        <v>01038020060000</v>
      </c>
    </row>
    <row r="11" spans="1:10" ht="25.5">
      <c r="A11" s="53" t="s">
        <v>1165</v>
      </c>
      <c r="B11" s="137" t="s">
        <v>217</v>
      </c>
      <c r="C11" s="137" t="s">
        <v>443</v>
      </c>
      <c r="D11" s="137" t="s">
        <v>847</v>
      </c>
      <c r="E11" s="137" t="s">
        <v>440</v>
      </c>
      <c r="F11" s="472">
        <v>932563.46</v>
      </c>
      <c r="G11" s="470">
        <v>932563.35</v>
      </c>
      <c r="H11" s="320">
        <f t="shared" si="0"/>
        <v>99.999988204556075</v>
      </c>
      <c r="I11" s="149" t="str">
        <f t="shared" si="1"/>
        <v>01038020060000121</v>
      </c>
    </row>
    <row r="12" spans="1:10" ht="38.25">
      <c r="A12" s="53" t="s">
        <v>441</v>
      </c>
      <c r="B12" s="137" t="s">
        <v>217</v>
      </c>
      <c r="C12" s="137" t="s">
        <v>443</v>
      </c>
      <c r="D12" s="137" t="s">
        <v>847</v>
      </c>
      <c r="E12" s="137" t="s">
        <v>442</v>
      </c>
      <c r="F12" s="472">
        <v>9980</v>
      </c>
      <c r="G12" s="470">
        <v>9980</v>
      </c>
      <c r="H12" s="320">
        <f t="shared" si="0"/>
        <v>100</v>
      </c>
      <c r="I12" s="149" t="str">
        <f t="shared" si="1"/>
        <v>01038020060000122</v>
      </c>
    </row>
    <row r="13" spans="1:10" ht="51">
      <c r="A13" s="53" t="s">
        <v>1288</v>
      </c>
      <c r="B13" s="137" t="s">
        <v>217</v>
      </c>
      <c r="C13" s="137" t="s">
        <v>443</v>
      </c>
      <c r="D13" s="137" t="s">
        <v>847</v>
      </c>
      <c r="E13" s="137" t="s">
        <v>1289</v>
      </c>
      <c r="F13" s="472">
        <v>316200.49</v>
      </c>
      <c r="G13" s="470">
        <v>316162.57</v>
      </c>
      <c r="H13" s="320">
        <f t="shared" si="0"/>
        <v>99.98800760871687</v>
      </c>
      <c r="I13" s="149" t="str">
        <f t="shared" si="1"/>
        <v>01038020060000129</v>
      </c>
    </row>
    <row r="14" spans="1:10" ht="38.25">
      <c r="A14" s="53" t="s">
        <v>445</v>
      </c>
      <c r="B14" s="137" t="s">
        <v>217</v>
      </c>
      <c r="C14" s="137" t="s">
        <v>443</v>
      </c>
      <c r="D14" s="137" t="s">
        <v>847</v>
      </c>
      <c r="E14" s="137" t="s">
        <v>446</v>
      </c>
      <c r="F14" s="472">
        <v>398620.28</v>
      </c>
      <c r="G14" s="470">
        <v>392020</v>
      </c>
      <c r="H14" s="320">
        <f t="shared" si="0"/>
        <v>98.344218713608839</v>
      </c>
      <c r="I14" s="149" t="str">
        <f t="shared" si="1"/>
        <v>01038020060000244</v>
      </c>
    </row>
    <row r="15" spans="1:10">
      <c r="A15" s="53" t="s">
        <v>1293</v>
      </c>
      <c r="B15" s="137" t="s">
        <v>217</v>
      </c>
      <c r="C15" s="137" t="s">
        <v>443</v>
      </c>
      <c r="D15" s="137" t="s">
        <v>847</v>
      </c>
      <c r="E15" s="137" t="s">
        <v>1294</v>
      </c>
      <c r="F15" s="472">
        <v>2425.6999999999998</v>
      </c>
      <c r="G15" s="470">
        <v>2420.6999999999998</v>
      </c>
      <c r="H15" s="320">
        <f t="shared" si="0"/>
        <v>99.793873933297604</v>
      </c>
      <c r="I15" s="149" t="str">
        <f t="shared" si="1"/>
        <v>01038020060000853</v>
      </c>
    </row>
    <row r="16" spans="1:10" ht="76.5">
      <c r="A16" s="53" t="s">
        <v>723</v>
      </c>
      <c r="B16" s="137" t="s">
        <v>217</v>
      </c>
      <c r="C16" s="137" t="s">
        <v>443</v>
      </c>
      <c r="D16" s="137" t="s">
        <v>848</v>
      </c>
      <c r="E16" s="137"/>
      <c r="F16" s="472">
        <v>135660.79999999999</v>
      </c>
      <c r="G16" s="470">
        <v>135660.79999999999</v>
      </c>
      <c r="H16" s="320">
        <f t="shared" si="0"/>
        <v>100</v>
      </c>
      <c r="I16" s="149" t="str">
        <f t="shared" si="1"/>
        <v>01038020067000</v>
      </c>
    </row>
    <row r="17" spans="1:9" ht="38.25">
      <c r="A17" s="53" t="s">
        <v>441</v>
      </c>
      <c r="B17" s="137" t="s">
        <v>217</v>
      </c>
      <c r="C17" s="137" t="s">
        <v>443</v>
      </c>
      <c r="D17" s="137" t="s">
        <v>848</v>
      </c>
      <c r="E17" s="137" t="s">
        <v>442</v>
      </c>
      <c r="F17" s="472">
        <v>135660.79999999999</v>
      </c>
      <c r="G17" s="470">
        <v>135660.79999999999</v>
      </c>
      <c r="H17" s="320">
        <f t="shared" si="0"/>
        <v>100</v>
      </c>
      <c r="I17" s="149" t="str">
        <f t="shared" si="1"/>
        <v>01038020067000122</v>
      </c>
    </row>
    <row r="18" spans="1:9" ht="38.25">
      <c r="A18" s="53" t="s">
        <v>1166</v>
      </c>
      <c r="B18" s="137" t="s">
        <v>217</v>
      </c>
      <c r="C18" s="137" t="s">
        <v>443</v>
      </c>
      <c r="D18" s="137" t="s">
        <v>1167</v>
      </c>
      <c r="E18" s="137"/>
      <c r="F18" s="472">
        <v>85580.22</v>
      </c>
      <c r="G18" s="470">
        <v>85540</v>
      </c>
      <c r="H18" s="320">
        <f t="shared" si="0"/>
        <v>99.953003158907521</v>
      </c>
      <c r="I18" s="149" t="str">
        <f t="shared" si="1"/>
        <v>0103802006Ф000</v>
      </c>
    </row>
    <row r="19" spans="1:9" ht="38.25">
      <c r="A19" s="53" t="s">
        <v>445</v>
      </c>
      <c r="B19" s="137" t="s">
        <v>217</v>
      </c>
      <c r="C19" s="137" t="s">
        <v>443</v>
      </c>
      <c r="D19" s="137" t="s">
        <v>1167</v>
      </c>
      <c r="E19" s="137" t="s">
        <v>446</v>
      </c>
      <c r="F19" s="472">
        <v>85580.22</v>
      </c>
      <c r="G19" s="470">
        <v>85540</v>
      </c>
      <c r="H19" s="320">
        <f t="shared" si="0"/>
        <v>99.953003158907521</v>
      </c>
      <c r="I19" s="149" t="str">
        <f t="shared" si="1"/>
        <v>0103802006Ф000244</v>
      </c>
    </row>
    <row r="20" spans="1:9" ht="51">
      <c r="A20" s="53" t="s">
        <v>447</v>
      </c>
      <c r="B20" s="137" t="s">
        <v>217</v>
      </c>
      <c r="C20" s="137" t="s">
        <v>443</v>
      </c>
      <c r="D20" s="137" t="s">
        <v>849</v>
      </c>
      <c r="E20" s="137"/>
      <c r="F20" s="472">
        <v>2475365.0499999998</v>
      </c>
      <c r="G20" s="470">
        <v>2465885.9300000002</v>
      </c>
      <c r="H20" s="320">
        <f t="shared" si="0"/>
        <v>99.617061733985466</v>
      </c>
      <c r="I20" s="149" t="str">
        <f t="shared" si="1"/>
        <v>01038030060000</v>
      </c>
    </row>
    <row r="21" spans="1:9" ht="25.5">
      <c r="A21" s="53" t="s">
        <v>1165</v>
      </c>
      <c r="B21" s="137" t="s">
        <v>217</v>
      </c>
      <c r="C21" s="137" t="s">
        <v>443</v>
      </c>
      <c r="D21" s="137" t="s">
        <v>849</v>
      </c>
      <c r="E21" s="137" t="s">
        <v>440</v>
      </c>
      <c r="F21" s="472">
        <v>1672868.36</v>
      </c>
      <c r="G21" s="470">
        <v>1672868.36</v>
      </c>
      <c r="H21" s="320">
        <f t="shared" si="0"/>
        <v>100</v>
      </c>
      <c r="I21" s="149" t="str">
        <f t="shared" si="1"/>
        <v>01038030060000121</v>
      </c>
    </row>
    <row r="22" spans="1:9" ht="38.25">
      <c r="A22" s="53" t="s">
        <v>441</v>
      </c>
      <c r="B22" s="137" t="s">
        <v>217</v>
      </c>
      <c r="C22" s="137" t="s">
        <v>443</v>
      </c>
      <c r="D22" s="137" t="s">
        <v>849</v>
      </c>
      <c r="E22" s="137" t="s">
        <v>442</v>
      </c>
      <c r="F22" s="472">
        <v>119636.42</v>
      </c>
      <c r="G22" s="470">
        <v>119561.4</v>
      </c>
      <c r="H22" s="320">
        <f t="shared" si="0"/>
        <v>99.937293342612548</v>
      </c>
      <c r="I22" s="149" t="str">
        <f t="shared" si="1"/>
        <v>01038030060000122</v>
      </c>
    </row>
    <row r="23" spans="1:9" ht="63.75">
      <c r="A23" s="53" t="s">
        <v>1599</v>
      </c>
      <c r="B23" s="137" t="s">
        <v>217</v>
      </c>
      <c r="C23" s="137" t="s">
        <v>443</v>
      </c>
      <c r="D23" s="137" t="s">
        <v>849</v>
      </c>
      <c r="E23" s="137" t="s">
        <v>623</v>
      </c>
      <c r="F23" s="472">
        <v>216000</v>
      </c>
      <c r="G23" s="470">
        <v>216000</v>
      </c>
      <c r="H23" s="320">
        <f t="shared" si="0"/>
        <v>100</v>
      </c>
      <c r="I23" s="149" t="str">
        <f t="shared" si="1"/>
        <v>01038030060000123</v>
      </c>
    </row>
    <row r="24" spans="1:9" ht="51">
      <c r="A24" s="53" t="s">
        <v>1288</v>
      </c>
      <c r="B24" s="137" t="s">
        <v>217</v>
      </c>
      <c r="C24" s="137" t="s">
        <v>443</v>
      </c>
      <c r="D24" s="137" t="s">
        <v>849</v>
      </c>
      <c r="E24" s="137" t="s">
        <v>1289</v>
      </c>
      <c r="F24" s="472">
        <v>466860.27</v>
      </c>
      <c r="G24" s="470">
        <v>457456.17</v>
      </c>
      <c r="H24" s="320">
        <f t="shared" si="0"/>
        <v>97.985671387286814</v>
      </c>
      <c r="I24" s="149" t="str">
        <f t="shared" si="1"/>
        <v>01038030060000129</v>
      </c>
    </row>
    <row r="25" spans="1:9" ht="63.75">
      <c r="A25" s="53" t="s">
        <v>1600</v>
      </c>
      <c r="B25" s="137" t="s">
        <v>217</v>
      </c>
      <c r="C25" s="137" t="s">
        <v>443</v>
      </c>
      <c r="D25" s="137" t="s">
        <v>850</v>
      </c>
      <c r="E25" s="137"/>
      <c r="F25" s="472">
        <v>30314</v>
      </c>
      <c r="G25" s="470">
        <v>30314</v>
      </c>
      <c r="H25" s="320">
        <f t="shared" si="0"/>
        <v>100</v>
      </c>
      <c r="I25" s="149" t="str">
        <f t="shared" si="1"/>
        <v>01038030067000</v>
      </c>
    </row>
    <row r="26" spans="1:9" ht="38.25">
      <c r="A26" s="53" t="s">
        <v>441</v>
      </c>
      <c r="B26" s="137" t="s">
        <v>217</v>
      </c>
      <c r="C26" s="137" t="s">
        <v>443</v>
      </c>
      <c r="D26" s="137" t="s">
        <v>850</v>
      </c>
      <c r="E26" s="137" t="s">
        <v>442</v>
      </c>
      <c r="F26" s="472">
        <v>30314</v>
      </c>
      <c r="G26" s="470">
        <v>30314</v>
      </c>
      <c r="H26" s="320">
        <f t="shared" si="0"/>
        <v>100</v>
      </c>
      <c r="I26" s="149" t="str">
        <f t="shared" si="1"/>
        <v>01038030067000122</v>
      </c>
    </row>
    <row r="27" spans="1:9" ht="25.5">
      <c r="A27" s="53" t="s">
        <v>219</v>
      </c>
      <c r="B27" s="137" t="s">
        <v>218</v>
      </c>
      <c r="C27" s="137"/>
      <c r="D27" s="137"/>
      <c r="E27" s="137"/>
      <c r="F27" s="472">
        <v>1346322.34</v>
      </c>
      <c r="G27" s="470">
        <v>1317541.6399999999</v>
      </c>
      <c r="H27" s="320">
        <f t="shared" si="0"/>
        <v>97.862272715462765</v>
      </c>
      <c r="I27" s="149" t="str">
        <f t="shared" si="1"/>
        <v/>
      </c>
    </row>
    <row r="28" spans="1:9">
      <c r="A28" s="53" t="s">
        <v>282</v>
      </c>
      <c r="B28" s="137" t="s">
        <v>218</v>
      </c>
      <c r="C28" s="137" t="s">
        <v>1598</v>
      </c>
      <c r="D28" s="137"/>
      <c r="E28" s="137"/>
      <c r="F28" s="472">
        <v>1346322.34</v>
      </c>
      <c r="G28" s="470">
        <v>1317541.6399999999</v>
      </c>
      <c r="H28" s="320">
        <f t="shared" si="0"/>
        <v>97.862272715462765</v>
      </c>
      <c r="I28" s="149" t="str">
        <f t="shared" si="1"/>
        <v>0100</v>
      </c>
    </row>
    <row r="29" spans="1:9" ht="38.25">
      <c r="A29" s="53" t="s">
        <v>264</v>
      </c>
      <c r="B29" s="137" t="s">
        <v>218</v>
      </c>
      <c r="C29" s="137" t="s">
        <v>448</v>
      </c>
      <c r="D29" s="137"/>
      <c r="E29" s="137"/>
      <c r="F29" s="472">
        <v>1346322.34</v>
      </c>
      <c r="G29" s="470">
        <v>1317541.6399999999</v>
      </c>
      <c r="H29" s="320">
        <f t="shared" si="0"/>
        <v>97.862272715462765</v>
      </c>
      <c r="I29" s="149" t="str">
        <f t="shared" si="1"/>
        <v>0106</v>
      </c>
    </row>
    <row r="30" spans="1:9" ht="51">
      <c r="A30" s="53" t="s">
        <v>444</v>
      </c>
      <c r="B30" s="137" t="s">
        <v>218</v>
      </c>
      <c r="C30" s="137" t="s">
        <v>448</v>
      </c>
      <c r="D30" s="137" t="s">
        <v>847</v>
      </c>
      <c r="E30" s="137"/>
      <c r="F30" s="472">
        <v>590564.93999999994</v>
      </c>
      <c r="G30" s="470">
        <v>571960.02</v>
      </c>
      <c r="H30" s="320">
        <f t="shared" si="0"/>
        <v>96.849640278340956</v>
      </c>
      <c r="I30" s="149" t="str">
        <f t="shared" si="1"/>
        <v>01068020060000</v>
      </c>
    </row>
    <row r="31" spans="1:9" ht="25.5">
      <c r="A31" s="53" t="s">
        <v>1165</v>
      </c>
      <c r="B31" s="137" t="s">
        <v>218</v>
      </c>
      <c r="C31" s="137" t="s">
        <v>448</v>
      </c>
      <c r="D31" s="137" t="s">
        <v>847</v>
      </c>
      <c r="E31" s="137" t="s">
        <v>440</v>
      </c>
      <c r="F31" s="472">
        <v>413377.6</v>
      </c>
      <c r="G31" s="470">
        <v>413377.6</v>
      </c>
      <c r="H31" s="320">
        <f t="shared" si="0"/>
        <v>100</v>
      </c>
      <c r="I31" s="149" t="str">
        <f t="shared" si="1"/>
        <v>01068020060000121</v>
      </c>
    </row>
    <row r="32" spans="1:9" ht="38.25">
      <c r="A32" s="53" t="s">
        <v>441</v>
      </c>
      <c r="B32" s="137" t="s">
        <v>218</v>
      </c>
      <c r="C32" s="137" t="s">
        <v>448</v>
      </c>
      <c r="D32" s="137" t="s">
        <v>847</v>
      </c>
      <c r="E32" s="137" t="s">
        <v>442</v>
      </c>
      <c r="F32" s="472">
        <v>13260</v>
      </c>
      <c r="G32" s="470">
        <v>4350</v>
      </c>
      <c r="H32" s="320">
        <f t="shared" si="0"/>
        <v>32.805429864253391</v>
      </c>
      <c r="I32" s="149" t="str">
        <f t="shared" si="1"/>
        <v>01068020060000122</v>
      </c>
    </row>
    <row r="33" spans="1:9" ht="51">
      <c r="A33" s="53" t="s">
        <v>1288</v>
      </c>
      <c r="B33" s="137" t="s">
        <v>218</v>
      </c>
      <c r="C33" s="137" t="s">
        <v>448</v>
      </c>
      <c r="D33" s="137" t="s">
        <v>847</v>
      </c>
      <c r="E33" s="137" t="s">
        <v>1289</v>
      </c>
      <c r="F33" s="472">
        <v>124880</v>
      </c>
      <c r="G33" s="470">
        <v>124880</v>
      </c>
      <c r="H33" s="320">
        <f t="shared" si="0"/>
        <v>100</v>
      </c>
      <c r="I33" s="149" t="str">
        <f t="shared" si="1"/>
        <v>01068020060000129</v>
      </c>
    </row>
    <row r="34" spans="1:9" ht="38.25">
      <c r="A34" s="53" t="s">
        <v>445</v>
      </c>
      <c r="B34" s="137" t="s">
        <v>218</v>
      </c>
      <c r="C34" s="137" t="s">
        <v>448</v>
      </c>
      <c r="D34" s="137" t="s">
        <v>847</v>
      </c>
      <c r="E34" s="137" t="s">
        <v>446</v>
      </c>
      <c r="F34" s="472">
        <v>38793</v>
      </c>
      <c r="G34" s="470">
        <v>29098.080000000002</v>
      </c>
      <c r="H34" s="320">
        <f t="shared" si="0"/>
        <v>75.00858402289073</v>
      </c>
      <c r="I34" s="149" t="str">
        <f t="shared" si="1"/>
        <v>01068020060000244</v>
      </c>
    </row>
    <row r="35" spans="1:9">
      <c r="A35" s="53" t="s">
        <v>1293</v>
      </c>
      <c r="B35" s="137" t="s">
        <v>218</v>
      </c>
      <c r="C35" s="137" t="s">
        <v>448</v>
      </c>
      <c r="D35" s="137" t="s">
        <v>847</v>
      </c>
      <c r="E35" s="137" t="s">
        <v>1294</v>
      </c>
      <c r="F35" s="472">
        <v>254.34</v>
      </c>
      <c r="G35" s="470">
        <v>254.34</v>
      </c>
      <c r="H35" s="320">
        <f t="shared" si="0"/>
        <v>100</v>
      </c>
      <c r="I35" s="149" t="str">
        <f t="shared" si="1"/>
        <v>01068020060000853</v>
      </c>
    </row>
    <row r="36" spans="1:9" ht="38.25">
      <c r="A36" s="53" t="s">
        <v>1166</v>
      </c>
      <c r="B36" s="137" t="s">
        <v>218</v>
      </c>
      <c r="C36" s="137" t="s">
        <v>448</v>
      </c>
      <c r="D36" s="137" t="s">
        <v>1167</v>
      </c>
      <c r="E36" s="137"/>
      <c r="F36" s="472">
        <v>7493</v>
      </c>
      <c r="G36" s="470">
        <v>7493</v>
      </c>
      <c r="H36" s="320">
        <f t="shared" si="0"/>
        <v>100</v>
      </c>
      <c r="I36" s="149" t="str">
        <f t="shared" si="1"/>
        <v>0106802006Ф000</v>
      </c>
    </row>
    <row r="37" spans="1:9" ht="38.25">
      <c r="A37" s="53" t="s">
        <v>445</v>
      </c>
      <c r="B37" s="137" t="s">
        <v>218</v>
      </c>
      <c r="C37" s="137" t="s">
        <v>448</v>
      </c>
      <c r="D37" s="137" t="s">
        <v>1167</v>
      </c>
      <c r="E37" s="137" t="s">
        <v>446</v>
      </c>
      <c r="F37" s="472">
        <v>7493</v>
      </c>
      <c r="G37" s="470">
        <v>7493</v>
      </c>
      <c r="H37" s="320">
        <f t="shared" si="0"/>
        <v>100</v>
      </c>
      <c r="I37" s="149" t="str">
        <f t="shared" si="1"/>
        <v>0106802006Ф000244</v>
      </c>
    </row>
    <row r="38" spans="1:9" ht="63.75">
      <c r="A38" s="53" t="s">
        <v>449</v>
      </c>
      <c r="B38" s="137" t="s">
        <v>218</v>
      </c>
      <c r="C38" s="137" t="s">
        <v>448</v>
      </c>
      <c r="D38" s="137" t="s">
        <v>851</v>
      </c>
      <c r="E38" s="137"/>
      <c r="F38" s="472">
        <v>748264.4</v>
      </c>
      <c r="G38" s="470">
        <v>738088.62</v>
      </c>
      <c r="H38" s="320">
        <f t="shared" si="0"/>
        <v>98.640082302458865</v>
      </c>
      <c r="I38" s="149" t="str">
        <f t="shared" si="1"/>
        <v>01068040060000</v>
      </c>
    </row>
    <row r="39" spans="1:9" ht="25.5">
      <c r="A39" s="53" t="s">
        <v>1165</v>
      </c>
      <c r="B39" s="137" t="s">
        <v>218</v>
      </c>
      <c r="C39" s="137" t="s">
        <v>448</v>
      </c>
      <c r="D39" s="137" t="s">
        <v>851</v>
      </c>
      <c r="E39" s="137" t="s">
        <v>440</v>
      </c>
      <c r="F39" s="472">
        <v>558190.4</v>
      </c>
      <c r="G39" s="470">
        <v>558127.44999999995</v>
      </c>
      <c r="H39" s="320">
        <f t="shared" si="0"/>
        <v>99.988722486090751</v>
      </c>
      <c r="I39" s="149" t="str">
        <f t="shared" si="1"/>
        <v>01068040060000121</v>
      </c>
    </row>
    <row r="40" spans="1:9" ht="38.25">
      <c r="A40" s="53" t="s">
        <v>441</v>
      </c>
      <c r="B40" s="137" t="s">
        <v>218</v>
      </c>
      <c r="C40" s="137" t="s">
        <v>448</v>
      </c>
      <c r="D40" s="137" t="s">
        <v>851</v>
      </c>
      <c r="E40" s="137" t="s">
        <v>442</v>
      </c>
      <c r="F40" s="472">
        <v>17400</v>
      </c>
      <c r="G40" s="470">
        <v>12212.2</v>
      </c>
      <c r="H40" s="320">
        <f t="shared" si="0"/>
        <v>70.185057471264372</v>
      </c>
      <c r="I40" s="149" t="str">
        <f t="shared" si="1"/>
        <v>01068040060000122</v>
      </c>
    </row>
    <row r="41" spans="1:9" ht="51">
      <c r="A41" s="53" t="s">
        <v>1288</v>
      </c>
      <c r="B41" s="137" t="s">
        <v>218</v>
      </c>
      <c r="C41" s="137" t="s">
        <v>448</v>
      </c>
      <c r="D41" s="137" t="s">
        <v>851</v>
      </c>
      <c r="E41" s="137" t="s">
        <v>1289</v>
      </c>
      <c r="F41" s="472">
        <v>172674</v>
      </c>
      <c r="G41" s="470">
        <v>167748.97</v>
      </c>
      <c r="H41" s="320">
        <f t="shared" si="0"/>
        <v>97.147787159618701</v>
      </c>
      <c r="I41" s="149" t="str">
        <f t="shared" si="1"/>
        <v>01068040060000129</v>
      </c>
    </row>
    <row r="42" spans="1:9">
      <c r="A42" s="53" t="s">
        <v>220</v>
      </c>
      <c r="B42" s="137" t="s">
        <v>5</v>
      </c>
      <c r="C42" s="137"/>
      <c r="D42" s="137"/>
      <c r="E42" s="137"/>
      <c r="F42" s="472">
        <v>298632701.64999998</v>
      </c>
      <c r="G42" s="470">
        <v>291872559.38</v>
      </c>
      <c r="H42" s="320">
        <f t="shared" si="0"/>
        <v>97.736302075208442</v>
      </c>
      <c r="I42" s="149" t="str">
        <f t="shared" si="1"/>
        <v/>
      </c>
    </row>
    <row r="43" spans="1:9">
      <c r="A43" s="53" t="s">
        <v>282</v>
      </c>
      <c r="B43" s="137" t="s">
        <v>5</v>
      </c>
      <c r="C43" s="137" t="s">
        <v>1598</v>
      </c>
      <c r="D43" s="137"/>
      <c r="E43" s="137"/>
      <c r="F43" s="472">
        <v>46159936.509999998</v>
      </c>
      <c r="G43" s="470">
        <v>43997543.829999998</v>
      </c>
      <c r="H43" s="320">
        <f t="shared" si="0"/>
        <v>95.315434024629681</v>
      </c>
      <c r="I43" s="149" t="str">
        <f t="shared" si="1"/>
        <v>0100</v>
      </c>
    </row>
    <row r="44" spans="1:9" ht="38.25">
      <c r="A44" s="53" t="s">
        <v>1883</v>
      </c>
      <c r="B44" s="137" t="s">
        <v>5</v>
      </c>
      <c r="C44" s="137" t="s">
        <v>438</v>
      </c>
      <c r="D44" s="137"/>
      <c r="E44" s="137"/>
      <c r="F44" s="472">
        <v>1314246</v>
      </c>
      <c r="G44" s="470">
        <v>1257174.3899999999</v>
      </c>
      <c r="H44" s="320">
        <f t="shared" si="0"/>
        <v>95.657463671184843</v>
      </c>
      <c r="I44" s="149" t="str">
        <f t="shared" si="1"/>
        <v>0102</v>
      </c>
    </row>
    <row r="45" spans="1:9" ht="51">
      <c r="A45" s="53" t="s">
        <v>439</v>
      </c>
      <c r="B45" s="137" t="s">
        <v>5</v>
      </c>
      <c r="C45" s="137" t="s">
        <v>438</v>
      </c>
      <c r="D45" s="137" t="s">
        <v>853</v>
      </c>
      <c r="E45" s="137"/>
      <c r="F45" s="472">
        <v>1314246</v>
      </c>
      <c r="G45" s="470">
        <v>1257174.3899999999</v>
      </c>
      <c r="H45" s="320">
        <f t="shared" si="0"/>
        <v>95.657463671184843</v>
      </c>
      <c r="I45" s="149" t="str">
        <f t="shared" si="1"/>
        <v>01028010060000</v>
      </c>
    </row>
    <row r="46" spans="1:9" ht="25.5">
      <c r="A46" s="53" t="s">
        <v>1165</v>
      </c>
      <c r="B46" s="137" t="s">
        <v>5</v>
      </c>
      <c r="C46" s="137" t="s">
        <v>438</v>
      </c>
      <c r="D46" s="137" t="s">
        <v>853</v>
      </c>
      <c r="E46" s="137" t="s">
        <v>440</v>
      </c>
      <c r="F46" s="472">
        <v>973860</v>
      </c>
      <c r="G46" s="470">
        <v>919660.39</v>
      </c>
      <c r="H46" s="320">
        <f t="shared" si="0"/>
        <v>94.434558355410431</v>
      </c>
      <c r="I46" s="149" t="str">
        <f t="shared" si="1"/>
        <v>01028010060000121</v>
      </c>
    </row>
    <row r="47" spans="1:9" ht="38.25">
      <c r="A47" s="53" t="s">
        <v>441</v>
      </c>
      <c r="B47" s="137" t="s">
        <v>5</v>
      </c>
      <c r="C47" s="137" t="s">
        <v>438</v>
      </c>
      <c r="D47" s="137" t="s">
        <v>853</v>
      </c>
      <c r="E47" s="137" t="s">
        <v>442</v>
      </c>
      <c r="F47" s="472">
        <v>81400</v>
      </c>
      <c r="G47" s="470">
        <v>78528</v>
      </c>
      <c r="H47" s="320">
        <f t="shared" si="0"/>
        <v>96.471744471744472</v>
      </c>
      <c r="I47" s="149" t="str">
        <f t="shared" si="1"/>
        <v>01028010060000122</v>
      </c>
    </row>
    <row r="48" spans="1:9" ht="51">
      <c r="A48" s="53" t="s">
        <v>1288</v>
      </c>
      <c r="B48" s="137" t="s">
        <v>5</v>
      </c>
      <c r="C48" s="137" t="s">
        <v>438</v>
      </c>
      <c r="D48" s="137" t="s">
        <v>853</v>
      </c>
      <c r="E48" s="137" t="s">
        <v>1289</v>
      </c>
      <c r="F48" s="472">
        <v>258986</v>
      </c>
      <c r="G48" s="470">
        <v>258986</v>
      </c>
      <c r="H48" s="320">
        <f t="shared" si="0"/>
        <v>100</v>
      </c>
      <c r="I48" s="149" t="str">
        <f t="shared" si="1"/>
        <v>01028010060000129</v>
      </c>
    </row>
    <row r="49" spans="1:9" ht="51">
      <c r="A49" s="53" t="s">
        <v>284</v>
      </c>
      <c r="B49" s="137" t="s">
        <v>5</v>
      </c>
      <c r="C49" s="137" t="s">
        <v>450</v>
      </c>
      <c r="D49" s="137"/>
      <c r="E49" s="137"/>
      <c r="F49" s="472">
        <v>44581090.509999998</v>
      </c>
      <c r="G49" s="470">
        <v>42475950.710000001</v>
      </c>
      <c r="H49" s="320">
        <f t="shared" si="0"/>
        <v>95.277953554034767</v>
      </c>
      <c r="I49" s="149" t="str">
        <f t="shared" si="1"/>
        <v>0104</v>
      </c>
    </row>
    <row r="50" spans="1:9" ht="102">
      <c r="A50" s="53" t="s">
        <v>451</v>
      </c>
      <c r="B50" s="137" t="s">
        <v>5</v>
      </c>
      <c r="C50" s="137" t="s">
        <v>450</v>
      </c>
      <c r="D50" s="137" t="s">
        <v>854</v>
      </c>
      <c r="E50" s="137"/>
      <c r="F50" s="472">
        <v>57691.51</v>
      </c>
      <c r="G50" s="470">
        <v>57691.51</v>
      </c>
      <c r="H50" s="320">
        <f t="shared" si="0"/>
        <v>100</v>
      </c>
      <c r="I50" s="149" t="str">
        <f t="shared" si="1"/>
        <v>01040420080040</v>
      </c>
    </row>
    <row r="51" spans="1:9" ht="38.25">
      <c r="A51" s="53" t="s">
        <v>445</v>
      </c>
      <c r="B51" s="137" t="s">
        <v>5</v>
      </c>
      <c r="C51" s="137" t="s">
        <v>450</v>
      </c>
      <c r="D51" s="137" t="s">
        <v>854</v>
      </c>
      <c r="E51" s="137" t="s">
        <v>446</v>
      </c>
      <c r="F51" s="472">
        <v>57691.51</v>
      </c>
      <c r="G51" s="470">
        <v>57691.51</v>
      </c>
      <c r="H51" s="320">
        <f t="shared" si="0"/>
        <v>100</v>
      </c>
      <c r="I51" s="149" t="str">
        <f t="shared" si="1"/>
        <v>01040420080040244</v>
      </c>
    </row>
    <row r="52" spans="1:9" ht="25.5" customHeight="1">
      <c r="A52" s="53" t="s">
        <v>444</v>
      </c>
      <c r="B52" s="137" t="s">
        <v>5</v>
      </c>
      <c r="C52" s="137" t="s">
        <v>450</v>
      </c>
      <c r="D52" s="137" t="s">
        <v>847</v>
      </c>
      <c r="E52" s="137"/>
      <c r="F52" s="472">
        <v>31090223.309999999</v>
      </c>
      <c r="G52" s="470">
        <v>29903223.199999999</v>
      </c>
      <c r="H52" s="320">
        <f t="shared" si="0"/>
        <v>96.182079175937574</v>
      </c>
      <c r="I52" s="149" t="str">
        <f t="shared" si="1"/>
        <v>01048020060000</v>
      </c>
    </row>
    <row r="53" spans="1:9" ht="25.5">
      <c r="A53" s="53" t="s">
        <v>1165</v>
      </c>
      <c r="B53" s="137" t="s">
        <v>5</v>
      </c>
      <c r="C53" s="137" t="s">
        <v>450</v>
      </c>
      <c r="D53" s="137" t="s">
        <v>847</v>
      </c>
      <c r="E53" s="137" t="s">
        <v>440</v>
      </c>
      <c r="F53" s="472">
        <v>17516955.68</v>
      </c>
      <c r="G53" s="470">
        <v>17362791.050000001</v>
      </c>
      <c r="H53" s="320">
        <f t="shared" si="0"/>
        <v>99.11991197091389</v>
      </c>
      <c r="I53" s="149" t="str">
        <f t="shared" si="1"/>
        <v>01048020060000121</v>
      </c>
    </row>
    <row r="54" spans="1:9" ht="38.25">
      <c r="A54" s="53" t="s">
        <v>441</v>
      </c>
      <c r="B54" s="137" t="s">
        <v>5</v>
      </c>
      <c r="C54" s="137" t="s">
        <v>450</v>
      </c>
      <c r="D54" s="137" t="s">
        <v>847</v>
      </c>
      <c r="E54" s="137" t="s">
        <v>442</v>
      </c>
      <c r="F54" s="472">
        <v>578929.41</v>
      </c>
      <c r="G54" s="470">
        <v>549736.69999999995</v>
      </c>
      <c r="H54" s="320">
        <f t="shared" si="0"/>
        <v>94.957466403373758</v>
      </c>
      <c r="I54" s="149" t="str">
        <f t="shared" si="1"/>
        <v>01048020060000122</v>
      </c>
    </row>
    <row r="55" spans="1:9" ht="51">
      <c r="A55" s="53" t="s">
        <v>1288</v>
      </c>
      <c r="B55" s="137" t="s">
        <v>5</v>
      </c>
      <c r="C55" s="137" t="s">
        <v>450</v>
      </c>
      <c r="D55" s="137" t="s">
        <v>847</v>
      </c>
      <c r="E55" s="137" t="s">
        <v>1289</v>
      </c>
      <c r="F55" s="472">
        <v>5290120.9000000004</v>
      </c>
      <c r="G55" s="470">
        <v>5034609.4000000004</v>
      </c>
      <c r="H55" s="320">
        <f t="shared" si="0"/>
        <v>95.170025320215274</v>
      </c>
      <c r="I55" s="149" t="str">
        <f t="shared" si="1"/>
        <v>01048020060000129</v>
      </c>
    </row>
    <row r="56" spans="1:9" ht="38.25">
      <c r="A56" s="53" t="s">
        <v>445</v>
      </c>
      <c r="B56" s="137" t="s">
        <v>5</v>
      </c>
      <c r="C56" s="137" t="s">
        <v>450</v>
      </c>
      <c r="D56" s="137" t="s">
        <v>847</v>
      </c>
      <c r="E56" s="137" t="s">
        <v>446</v>
      </c>
      <c r="F56" s="472">
        <v>7409148.6699999999</v>
      </c>
      <c r="G56" s="470">
        <v>6676812.2400000002</v>
      </c>
      <c r="H56" s="320">
        <f t="shared" si="0"/>
        <v>90.115781682647764</v>
      </c>
      <c r="I56" s="149" t="str">
        <f t="shared" si="1"/>
        <v>01048020060000244</v>
      </c>
    </row>
    <row r="57" spans="1:9" ht="23.25" customHeight="1">
      <c r="A57" s="53" t="s">
        <v>1168</v>
      </c>
      <c r="B57" s="137" t="s">
        <v>5</v>
      </c>
      <c r="C57" s="137" t="s">
        <v>450</v>
      </c>
      <c r="D57" s="137" t="s">
        <v>847</v>
      </c>
      <c r="E57" s="137" t="s">
        <v>626</v>
      </c>
      <c r="F57" s="472">
        <v>2000</v>
      </c>
      <c r="G57" s="470">
        <v>2000</v>
      </c>
      <c r="H57" s="320">
        <f t="shared" si="0"/>
        <v>100</v>
      </c>
      <c r="I57" s="149" t="str">
        <f t="shared" si="1"/>
        <v>01048020060000852</v>
      </c>
    </row>
    <row r="58" spans="1:9">
      <c r="A58" s="54" t="s">
        <v>1293</v>
      </c>
      <c r="B58" s="137" t="s">
        <v>5</v>
      </c>
      <c r="C58" s="137" t="s">
        <v>450</v>
      </c>
      <c r="D58" s="137" t="s">
        <v>847</v>
      </c>
      <c r="E58" s="137" t="s">
        <v>1294</v>
      </c>
      <c r="F58" s="472">
        <v>293068.65000000002</v>
      </c>
      <c r="G58" s="470">
        <v>277273.81</v>
      </c>
      <c r="H58" s="320">
        <f t="shared" si="0"/>
        <v>94.610532378676453</v>
      </c>
      <c r="I58" s="149" t="str">
        <f t="shared" si="1"/>
        <v>01048020060000853</v>
      </c>
    </row>
    <row r="59" spans="1:9" ht="89.25">
      <c r="A59" s="53" t="s">
        <v>725</v>
      </c>
      <c r="B59" s="137" t="s">
        <v>5</v>
      </c>
      <c r="C59" s="137" t="s">
        <v>450</v>
      </c>
      <c r="D59" s="137" t="s">
        <v>857</v>
      </c>
      <c r="E59" s="137"/>
      <c r="F59" s="472">
        <v>869781</v>
      </c>
      <c r="G59" s="470">
        <v>869781</v>
      </c>
      <c r="H59" s="320">
        <f t="shared" si="0"/>
        <v>100</v>
      </c>
      <c r="I59" s="149" t="str">
        <f t="shared" si="1"/>
        <v>01048020061000</v>
      </c>
    </row>
    <row r="60" spans="1:9" ht="25.5">
      <c r="A60" s="53" t="s">
        <v>1165</v>
      </c>
      <c r="B60" s="137" t="s">
        <v>5</v>
      </c>
      <c r="C60" s="137" t="s">
        <v>450</v>
      </c>
      <c r="D60" s="137" t="s">
        <v>857</v>
      </c>
      <c r="E60" s="137" t="s">
        <v>440</v>
      </c>
      <c r="F60" s="472">
        <v>668035</v>
      </c>
      <c r="G60" s="470">
        <v>668035</v>
      </c>
      <c r="H60" s="320">
        <f t="shared" si="0"/>
        <v>100</v>
      </c>
      <c r="I60" s="149" t="str">
        <f t="shared" si="1"/>
        <v>01048020061000121</v>
      </c>
    </row>
    <row r="61" spans="1:9" ht="51">
      <c r="A61" s="53" t="s">
        <v>1288</v>
      </c>
      <c r="B61" s="137" t="s">
        <v>5</v>
      </c>
      <c r="C61" s="137" t="s">
        <v>450</v>
      </c>
      <c r="D61" s="137" t="s">
        <v>857</v>
      </c>
      <c r="E61" s="137" t="s">
        <v>1289</v>
      </c>
      <c r="F61" s="472">
        <v>201746</v>
      </c>
      <c r="G61" s="470">
        <v>201746</v>
      </c>
      <c r="H61" s="320">
        <f t="shared" si="0"/>
        <v>100</v>
      </c>
      <c r="I61" s="149" t="str">
        <f t="shared" si="1"/>
        <v>01048020061000129</v>
      </c>
    </row>
    <row r="62" spans="1:9" ht="76.5">
      <c r="A62" s="53" t="s">
        <v>723</v>
      </c>
      <c r="B62" s="137" t="s">
        <v>5</v>
      </c>
      <c r="C62" s="137" t="s">
        <v>450</v>
      </c>
      <c r="D62" s="137" t="s">
        <v>848</v>
      </c>
      <c r="E62" s="137"/>
      <c r="F62" s="472">
        <v>945904.27</v>
      </c>
      <c r="G62" s="470">
        <v>904267.73</v>
      </c>
      <c r="H62" s="320">
        <f t="shared" si="0"/>
        <v>95.598228983573563</v>
      </c>
      <c r="I62" s="149" t="str">
        <f t="shared" si="1"/>
        <v>01048020067000</v>
      </c>
    </row>
    <row r="63" spans="1:9" ht="38.25">
      <c r="A63" s="53" t="s">
        <v>441</v>
      </c>
      <c r="B63" s="137" t="s">
        <v>5</v>
      </c>
      <c r="C63" s="137" t="s">
        <v>450</v>
      </c>
      <c r="D63" s="137" t="s">
        <v>848</v>
      </c>
      <c r="E63" s="137" t="s">
        <v>442</v>
      </c>
      <c r="F63" s="472">
        <v>945904.27</v>
      </c>
      <c r="G63" s="470">
        <v>904267.73</v>
      </c>
      <c r="H63" s="320">
        <f t="shared" si="0"/>
        <v>95.598228983573563</v>
      </c>
      <c r="I63" s="149" t="str">
        <f t="shared" si="1"/>
        <v>01048020067000122</v>
      </c>
    </row>
    <row r="64" spans="1:9" ht="63.75">
      <c r="A64" s="53" t="s">
        <v>726</v>
      </c>
      <c r="B64" s="137" t="s">
        <v>5</v>
      </c>
      <c r="C64" s="137" t="s">
        <v>450</v>
      </c>
      <c r="D64" s="137" t="s">
        <v>858</v>
      </c>
      <c r="E64" s="137"/>
      <c r="F64" s="472">
        <v>5475168</v>
      </c>
      <c r="G64" s="470">
        <v>4792644.3600000003</v>
      </c>
      <c r="H64" s="320">
        <f t="shared" si="0"/>
        <v>87.534197306822364</v>
      </c>
      <c r="I64" s="149" t="str">
        <f t="shared" si="1"/>
        <v>0104802006Б000</v>
      </c>
    </row>
    <row r="65" spans="1:9" ht="25.5">
      <c r="A65" s="53" t="s">
        <v>1165</v>
      </c>
      <c r="B65" s="137" t="s">
        <v>5</v>
      </c>
      <c r="C65" s="137" t="s">
        <v>450</v>
      </c>
      <c r="D65" s="137" t="s">
        <v>858</v>
      </c>
      <c r="E65" s="137" t="s">
        <v>440</v>
      </c>
      <c r="F65" s="472">
        <v>4205198</v>
      </c>
      <c r="G65" s="470">
        <v>3647850.4</v>
      </c>
      <c r="H65" s="320">
        <f t="shared" si="0"/>
        <v>86.746222175507555</v>
      </c>
      <c r="I65" s="149" t="str">
        <f t="shared" si="1"/>
        <v>0104802006Б000121</v>
      </c>
    </row>
    <row r="66" spans="1:9" ht="51">
      <c r="A66" s="53" t="s">
        <v>1288</v>
      </c>
      <c r="B66" s="137" t="s">
        <v>5</v>
      </c>
      <c r="C66" s="137" t="s">
        <v>450</v>
      </c>
      <c r="D66" s="137" t="s">
        <v>858</v>
      </c>
      <c r="E66" s="137" t="s">
        <v>1289</v>
      </c>
      <c r="F66" s="472">
        <v>1269970</v>
      </c>
      <c r="G66" s="470">
        <v>1144793.96</v>
      </c>
      <c r="H66" s="320">
        <f t="shared" si="0"/>
        <v>90.143386064237745</v>
      </c>
      <c r="I66" s="149" t="str">
        <f t="shared" si="1"/>
        <v>0104802006Б000129</v>
      </c>
    </row>
    <row r="67" spans="1:9" ht="51">
      <c r="A67" s="53" t="s">
        <v>1169</v>
      </c>
      <c r="B67" s="137" t="s">
        <v>5</v>
      </c>
      <c r="C67" s="137" t="s">
        <v>450</v>
      </c>
      <c r="D67" s="137" t="s">
        <v>1170</v>
      </c>
      <c r="E67" s="137"/>
      <c r="F67" s="472">
        <v>2417921</v>
      </c>
      <c r="G67" s="470">
        <v>2321124.87</v>
      </c>
      <c r="H67" s="320">
        <f t="shared" si="0"/>
        <v>95.996720736533575</v>
      </c>
      <c r="I67" s="149" t="str">
        <f t="shared" si="1"/>
        <v>0104802006Г000</v>
      </c>
    </row>
    <row r="68" spans="1:9" ht="38.25">
      <c r="A68" s="53" t="s">
        <v>445</v>
      </c>
      <c r="B68" s="137" t="s">
        <v>5</v>
      </c>
      <c r="C68" s="137" t="s">
        <v>450</v>
      </c>
      <c r="D68" s="137" t="s">
        <v>1170</v>
      </c>
      <c r="E68" s="137" t="s">
        <v>446</v>
      </c>
      <c r="F68" s="472">
        <v>2417921</v>
      </c>
      <c r="G68" s="470">
        <v>2321124.87</v>
      </c>
      <c r="H68" s="320">
        <f t="shared" si="0"/>
        <v>95.996720736533575</v>
      </c>
      <c r="I68" s="149" t="str">
        <f t="shared" si="1"/>
        <v>0104802006Г000244</v>
      </c>
    </row>
    <row r="69" spans="1:9" ht="38.25">
      <c r="A69" s="53" t="s">
        <v>1166</v>
      </c>
      <c r="B69" s="137" t="s">
        <v>5</v>
      </c>
      <c r="C69" s="137" t="s">
        <v>450</v>
      </c>
      <c r="D69" s="137" t="s">
        <v>1167</v>
      </c>
      <c r="E69" s="137"/>
      <c r="F69" s="472">
        <v>637406.42000000004</v>
      </c>
      <c r="G69" s="470">
        <v>627021</v>
      </c>
      <c r="H69" s="320">
        <f t="shared" si="0"/>
        <v>98.370675337722517</v>
      </c>
      <c r="I69" s="149" t="str">
        <f t="shared" si="1"/>
        <v>0104802006Ф000</v>
      </c>
    </row>
    <row r="70" spans="1:9" ht="38.25">
      <c r="A70" s="53" t="s">
        <v>445</v>
      </c>
      <c r="B70" s="137" t="s">
        <v>5</v>
      </c>
      <c r="C70" s="137" t="s">
        <v>450</v>
      </c>
      <c r="D70" s="137" t="s">
        <v>1167</v>
      </c>
      <c r="E70" s="137" t="s">
        <v>446</v>
      </c>
      <c r="F70" s="472">
        <v>637406.42000000004</v>
      </c>
      <c r="G70" s="470">
        <v>627021</v>
      </c>
      <c r="H70" s="320">
        <f t="shared" si="0"/>
        <v>98.370675337722517</v>
      </c>
      <c r="I70" s="149" t="str">
        <f t="shared" si="1"/>
        <v>0104802006Ф000244</v>
      </c>
    </row>
    <row r="71" spans="1:9" ht="38.25">
      <c r="A71" s="53" t="s">
        <v>1438</v>
      </c>
      <c r="B71" s="137" t="s">
        <v>5</v>
      </c>
      <c r="C71" s="137" t="s">
        <v>450</v>
      </c>
      <c r="D71" s="137" t="s">
        <v>1439</v>
      </c>
      <c r="E71" s="137"/>
      <c r="F71" s="472">
        <v>750540</v>
      </c>
      <c r="G71" s="470">
        <v>744403.99</v>
      </c>
      <c r="H71" s="320">
        <f t="shared" ref="H71:H134" si="2">G71/F71*100</f>
        <v>99.182453966477468</v>
      </c>
      <c r="I71" s="149" t="str">
        <f t="shared" si="1"/>
        <v>0104802006Э000</v>
      </c>
    </row>
    <row r="72" spans="1:9" ht="38.25">
      <c r="A72" s="53" t="s">
        <v>445</v>
      </c>
      <c r="B72" s="137" t="s">
        <v>5</v>
      </c>
      <c r="C72" s="137" t="s">
        <v>450</v>
      </c>
      <c r="D72" s="137" t="s">
        <v>1439</v>
      </c>
      <c r="E72" s="137" t="s">
        <v>446</v>
      </c>
      <c r="F72" s="472">
        <v>750540</v>
      </c>
      <c r="G72" s="470">
        <v>744403.99</v>
      </c>
      <c r="H72" s="320">
        <f t="shared" si="2"/>
        <v>99.182453966477468</v>
      </c>
      <c r="I72" s="149" t="str">
        <f t="shared" ref="I72:I129" si="3">CONCATENATE(C72,D72,E72)</f>
        <v>0104802006Э000244</v>
      </c>
    </row>
    <row r="73" spans="1:9" ht="28.5" customHeight="1">
      <c r="A73" s="53" t="s">
        <v>452</v>
      </c>
      <c r="B73" s="137" t="s">
        <v>5</v>
      </c>
      <c r="C73" s="137" t="s">
        <v>450</v>
      </c>
      <c r="D73" s="137" t="s">
        <v>855</v>
      </c>
      <c r="E73" s="137"/>
      <c r="F73" s="472">
        <v>524300</v>
      </c>
      <c r="G73" s="470">
        <v>522749.83</v>
      </c>
      <c r="H73" s="320">
        <f t="shared" si="2"/>
        <v>99.704335304215149</v>
      </c>
      <c r="I73" s="149" t="str">
        <f t="shared" si="3"/>
        <v>01048020074670</v>
      </c>
    </row>
    <row r="74" spans="1:9" ht="25.5">
      <c r="A74" s="53" t="s">
        <v>1165</v>
      </c>
      <c r="B74" s="137" t="s">
        <v>5</v>
      </c>
      <c r="C74" s="137" t="s">
        <v>450</v>
      </c>
      <c r="D74" s="137" t="s">
        <v>855</v>
      </c>
      <c r="E74" s="137" t="s">
        <v>440</v>
      </c>
      <c r="F74" s="472">
        <v>370964</v>
      </c>
      <c r="G74" s="470">
        <v>370964</v>
      </c>
      <c r="H74" s="320">
        <f t="shared" si="2"/>
        <v>100</v>
      </c>
      <c r="I74" s="149" t="str">
        <f t="shared" si="3"/>
        <v>01048020074670121</v>
      </c>
    </row>
    <row r="75" spans="1:9" ht="29.25" customHeight="1">
      <c r="A75" s="53" t="s">
        <v>441</v>
      </c>
      <c r="B75" s="137" t="s">
        <v>5</v>
      </c>
      <c r="C75" s="137" t="s">
        <v>450</v>
      </c>
      <c r="D75" s="137" t="s">
        <v>855</v>
      </c>
      <c r="E75" s="137" t="s">
        <v>442</v>
      </c>
      <c r="F75" s="472">
        <v>6100</v>
      </c>
      <c r="G75" s="470">
        <v>4550</v>
      </c>
      <c r="H75" s="320">
        <f t="shared" si="2"/>
        <v>74.590163934426229</v>
      </c>
      <c r="I75" s="149" t="str">
        <f t="shared" si="3"/>
        <v>01048020074670122</v>
      </c>
    </row>
    <row r="76" spans="1:9" ht="51">
      <c r="A76" s="53" t="s">
        <v>1288</v>
      </c>
      <c r="B76" s="137" t="s">
        <v>5</v>
      </c>
      <c r="C76" s="137" t="s">
        <v>450</v>
      </c>
      <c r="D76" s="137" t="s">
        <v>855</v>
      </c>
      <c r="E76" s="137" t="s">
        <v>1289</v>
      </c>
      <c r="F76" s="472">
        <v>112031</v>
      </c>
      <c r="G76" s="470">
        <v>112031</v>
      </c>
      <c r="H76" s="320">
        <f t="shared" si="2"/>
        <v>100</v>
      </c>
      <c r="I76" s="149" t="str">
        <f t="shared" si="3"/>
        <v>01048020074670129</v>
      </c>
    </row>
    <row r="77" spans="1:9" ht="38.25">
      <c r="A77" s="53" t="s">
        <v>445</v>
      </c>
      <c r="B77" s="137" t="s">
        <v>5</v>
      </c>
      <c r="C77" s="137" t="s">
        <v>450</v>
      </c>
      <c r="D77" s="137" t="s">
        <v>855</v>
      </c>
      <c r="E77" s="137" t="s">
        <v>446</v>
      </c>
      <c r="F77" s="472">
        <v>35205</v>
      </c>
      <c r="G77" s="470">
        <v>35204.83</v>
      </c>
      <c r="H77" s="320">
        <f t="shared" si="2"/>
        <v>99.999517114046313</v>
      </c>
      <c r="I77" s="149" t="str">
        <f t="shared" si="3"/>
        <v>01048020074670244</v>
      </c>
    </row>
    <row r="78" spans="1:9" ht="63.75">
      <c r="A78" s="53" t="s">
        <v>453</v>
      </c>
      <c r="B78" s="137" t="s">
        <v>5</v>
      </c>
      <c r="C78" s="137" t="s">
        <v>450</v>
      </c>
      <c r="D78" s="137" t="s">
        <v>856</v>
      </c>
      <c r="E78" s="137"/>
      <c r="F78" s="472">
        <v>1024000</v>
      </c>
      <c r="G78" s="470">
        <v>944888.22</v>
      </c>
      <c r="H78" s="320">
        <f t="shared" si="2"/>
        <v>92.274240234375</v>
      </c>
      <c r="I78" s="149" t="str">
        <f t="shared" si="3"/>
        <v>01048020076040</v>
      </c>
    </row>
    <row r="79" spans="1:9" ht="25.5">
      <c r="A79" s="53" t="s">
        <v>1165</v>
      </c>
      <c r="B79" s="137" t="s">
        <v>5</v>
      </c>
      <c r="C79" s="137" t="s">
        <v>450</v>
      </c>
      <c r="D79" s="137" t="s">
        <v>856</v>
      </c>
      <c r="E79" s="137" t="s">
        <v>440</v>
      </c>
      <c r="F79" s="472">
        <v>741928</v>
      </c>
      <c r="G79" s="470">
        <v>664193.82999999996</v>
      </c>
      <c r="H79" s="320">
        <f t="shared" si="2"/>
        <v>89.522680098338384</v>
      </c>
      <c r="I79" s="149" t="str">
        <f t="shared" si="3"/>
        <v>01048020076040121</v>
      </c>
    </row>
    <row r="80" spans="1:9" ht="38.25">
      <c r="A80" s="53" t="s">
        <v>441</v>
      </c>
      <c r="B80" s="137" t="s">
        <v>5</v>
      </c>
      <c r="C80" s="137" t="s">
        <v>450</v>
      </c>
      <c r="D80" s="137" t="s">
        <v>856</v>
      </c>
      <c r="E80" s="137" t="s">
        <v>442</v>
      </c>
      <c r="F80" s="472">
        <v>6600</v>
      </c>
      <c r="G80" s="470">
        <v>6600</v>
      </c>
      <c r="H80" s="320">
        <f t="shared" si="2"/>
        <v>100</v>
      </c>
      <c r="I80" s="149" t="str">
        <f t="shared" si="3"/>
        <v>01048020076040122</v>
      </c>
    </row>
    <row r="81" spans="1:9" ht="51">
      <c r="A81" s="53" t="s">
        <v>1288</v>
      </c>
      <c r="B81" s="137" t="s">
        <v>5</v>
      </c>
      <c r="C81" s="137" t="s">
        <v>450</v>
      </c>
      <c r="D81" s="137" t="s">
        <v>856</v>
      </c>
      <c r="E81" s="137" t="s">
        <v>1289</v>
      </c>
      <c r="F81" s="472">
        <v>224062</v>
      </c>
      <c r="G81" s="470">
        <v>222719.21</v>
      </c>
      <c r="H81" s="320">
        <f t="shared" si="2"/>
        <v>99.400706054574172</v>
      </c>
      <c r="I81" s="149" t="str">
        <f t="shared" si="3"/>
        <v>01048020076040129</v>
      </c>
    </row>
    <row r="82" spans="1:9" ht="38.25">
      <c r="A82" s="53" t="s">
        <v>445</v>
      </c>
      <c r="B82" s="137" t="s">
        <v>5</v>
      </c>
      <c r="C82" s="137" t="s">
        <v>450</v>
      </c>
      <c r="D82" s="137" t="s">
        <v>856</v>
      </c>
      <c r="E82" s="137" t="s">
        <v>446</v>
      </c>
      <c r="F82" s="472">
        <v>51410</v>
      </c>
      <c r="G82" s="470">
        <v>51375.18</v>
      </c>
      <c r="H82" s="320">
        <f t="shared" si="2"/>
        <v>99.932269986383972</v>
      </c>
      <c r="I82" s="149" t="str">
        <f t="shared" si="3"/>
        <v>01048020076040244</v>
      </c>
    </row>
    <row r="83" spans="1:9" ht="89.25">
      <c r="A83" s="53" t="s">
        <v>2004</v>
      </c>
      <c r="B83" s="137" t="s">
        <v>5</v>
      </c>
      <c r="C83" s="137" t="s">
        <v>450</v>
      </c>
      <c r="D83" s="137" t="s">
        <v>2005</v>
      </c>
      <c r="E83" s="137"/>
      <c r="F83" s="472">
        <v>305160</v>
      </c>
      <c r="G83" s="470">
        <v>305160</v>
      </c>
      <c r="H83" s="320">
        <f t="shared" si="2"/>
        <v>100</v>
      </c>
      <c r="I83" s="149" t="str">
        <f t="shared" si="3"/>
        <v>01048020077440</v>
      </c>
    </row>
    <row r="84" spans="1:9" ht="25.5">
      <c r="A84" s="53" t="s">
        <v>1165</v>
      </c>
      <c r="B84" s="137" t="s">
        <v>5</v>
      </c>
      <c r="C84" s="137" t="s">
        <v>450</v>
      </c>
      <c r="D84" s="137" t="s">
        <v>2005</v>
      </c>
      <c r="E84" s="137" t="s">
        <v>440</v>
      </c>
      <c r="F84" s="472">
        <v>234380</v>
      </c>
      <c r="G84" s="470">
        <v>234380</v>
      </c>
      <c r="H84" s="320">
        <f t="shared" si="2"/>
        <v>100</v>
      </c>
      <c r="I84" s="149" t="str">
        <f t="shared" si="3"/>
        <v>01048020077440121</v>
      </c>
    </row>
    <row r="85" spans="1:9" ht="51">
      <c r="A85" s="53" t="s">
        <v>1288</v>
      </c>
      <c r="B85" s="137" t="s">
        <v>5</v>
      </c>
      <c r="C85" s="137" t="s">
        <v>450</v>
      </c>
      <c r="D85" s="137" t="s">
        <v>2005</v>
      </c>
      <c r="E85" s="137" t="s">
        <v>1289</v>
      </c>
      <c r="F85" s="472">
        <v>70780</v>
      </c>
      <c r="G85" s="470">
        <v>70780</v>
      </c>
      <c r="H85" s="320">
        <f t="shared" si="2"/>
        <v>100</v>
      </c>
      <c r="I85" s="149" t="str">
        <f t="shared" si="3"/>
        <v>01048020077440129</v>
      </c>
    </row>
    <row r="86" spans="1:9" ht="229.5">
      <c r="A86" s="53" t="s">
        <v>627</v>
      </c>
      <c r="B86" s="137" t="s">
        <v>5</v>
      </c>
      <c r="C86" s="137" t="s">
        <v>450</v>
      </c>
      <c r="D86" s="137" t="s">
        <v>859</v>
      </c>
      <c r="E86" s="137"/>
      <c r="F86" s="472">
        <v>482995</v>
      </c>
      <c r="G86" s="470">
        <v>482995</v>
      </c>
      <c r="H86" s="320">
        <f t="shared" si="2"/>
        <v>100</v>
      </c>
      <c r="I86" s="149" t="str">
        <f t="shared" si="3"/>
        <v>010480200Ч0010</v>
      </c>
    </row>
    <row r="87" spans="1:9" ht="25.5">
      <c r="A87" s="53" t="s">
        <v>1165</v>
      </c>
      <c r="B87" s="137" t="s">
        <v>5</v>
      </c>
      <c r="C87" s="137" t="s">
        <v>450</v>
      </c>
      <c r="D87" s="137" t="s">
        <v>859</v>
      </c>
      <c r="E87" s="137" t="s">
        <v>440</v>
      </c>
      <c r="F87" s="472">
        <v>370965</v>
      </c>
      <c r="G87" s="470">
        <v>370965</v>
      </c>
      <c r="H87" s="320">
        <f t="shared" si="2"/>
        <v>100</v>
      </c>
      <c r="I87" s="149" t="str">
        <f t="shared" si="3"/>
        <v>010480200Ч0010121</v>
      </c>
    </row>
    <row r="88" spans="1:9" ht="51">
      <c r="A88" s="53" t="s">
        <v>1288</v>
      </c>
      <c r="B88" s="137" t="s">
        <v>5</v>
      </c>
      <c r="C88" s="137" t="s">
        <v>450</v>
      </c>
      <c r="D88" s="137" t="s">
        <v>859</v>
      </c>
      <c r="E88" s="137" t="s">
        <v>1289</v>
      </c>
      <c r="F88" s="472">
        <v>112030</v>
      </c>
      <c r="G88" s="470">
        <v>112030</v>
      </c>
      <c r="H88" s="320">
        <f t="shared" si="2"/>
        <v>100</v>
      </c>
      <c r="I88" s="149" t="str">
        <f t="shared" si="3"/>
        <v>010480200Ч0010129</v>
      </c>
    </row>
    <row r="89" spans="1:9">
      <c r="A89" s="53" t="s">
        <v>265</v>
      </c>
      <c r="B89" s="137" t="s">
        <v>5</v>
      </c>
      <c r="C89" s="137" t="s">
        <v>454</v>
      </c>
      <c r="D89" s="137"/>
      <c r="E89" s="137"/>
      <c r="F89" s="472">
        <v>264600</v>
      </c>
      <c r="G89" s="470">
        <v>264418.73</v>
      </c>
      <c r="H89" s="320">
        <f t="shared" si="2"/>
        <v>99.931492819349955</v>
      </c>
      <c r="I89" s="149" t="str">
        <f t="shared" si="3"/>
        <v>0113</v>
      </c>
    </row>
    <row r="90" spans="1:9" ht="114.75">
      <c r="A90" s="53" t="s">
        <v>1807</v>
      </c>
      <c r="B90" s="137" t="s">
        <v>5</v>
      </c>
      <c r="C90" s="137" t="s">
        <v>454</v>
      </c>
      <c r="D90" s="137" t="s">
        <v>1730</v>
      </c>
      <c r="E90" s="137"/>
      <c r="F90" s="472">
        <v>20000</v>
      </c>
      <c r="G90" s="470">
        <v>19818.73</v>
      </c>
      <c r="H90" s="320">
        <f t="shared" si="2"/>
        <v>99.093649999999997</v>
      </c>
      <c r="I90" s="149" t="str">
        <f t="shared" si="3"/>
        <v>01130430080000</v>
      </c>
    </row>
    <row r="91" spans="1:9" ht="38.25">
      <c r="A91" s="53" t="s">
        <v>445</v>
      </c>
      <c r="B91" s="137" t="s">
        <v>5</v>
      </c>
      <c r="C91" s="137" t="s">
        <v>454</v>
      </c>
      <c r="D91" s="137" t="s">
        <v>1730</v>
      </c>
      <c r="E91" s="137" t="s">
        <v>446</v>
      </c>
      <c r="F91" s="472">
        <v>20000</v>
      </c>
      <c r="G91" s="470">
        <v>19818.73</v>
      </c>
      <c r="H91" s="320">
        <f t="shared" si="2"/>
        <v>99.093649999999997</v>
      </c>
      <c r="I91" s="149" t="str">
        <f t="shared" si="3"/>
        <v>01130430080000244</v>
      </c>
    </row>
    <row r="92" spans="1:9" ht="76.5">
      <c r="A92" s="53" t="s">
        <v>671</v>
      </c>
      <c r="B92" s="137" t="s">
        <v>5</v>
      </c>
      <c r="C92" s="137" t="s">
        <v>454</v>
      </c>
      <c r="D92" s="137" t="s">
        <v>862</v>
      </c>
      <c r="E92" s="137"/>
      <c r="F92" s="472">
        <v>55000</v>
      </c>
      <c r="G92" s="470">
        <v>55000</v>
      </c>
      <c r="H92" s="320">
        <f t="shared" si="2"/>
        <v>100</v>
      </c>
      <c r="I92" s="149" t="str">
        <f t="shared" si="3"/>
        <v>01138020074290</v>
      </c>
    </row>
    <row r="93" spans="1:9" ht="25.5">
      <c r="A93" s="53" t="s">
        <v>1165</v>
      </c>
      <c r="B93" s="137" t="s">
        <v>5</v>
      </c>
      <c r="C93" s="137" t="s">
        <v>454</v>
      </c>
      <c r="D93" s="137" t="s">
        <v>862</v>
      </c>
      <c r="E93" s="137" t="s">
        <v>440</v>
      </c>
      <c r="F93" s="472">
        <v>40169</v>
      </c>
      <c r="G93" s="470">
        <v>40169</v>
      </c>
      <c r="H93" s="320">
        <f t="shared" si="2"/>
        <v>100</v>
      </c>
      <c r="I93" s="149" t="str">
        <f t="shared" si="3"/>
        <v>01138020074290121</v>
      </c>
    </row>
    <row r="94" spans="1:9" ht="51">
      <c r="A94" s="53" t="s">
        <v>1288</v>
      </c>
      <c r="B94" s="137" t="s">
        <v>5</v>
      </c>
      <c r="C94" s="137" t="s">
        <v>454</v>
      </c>
      <c r="D94" s="137" t="s">
        <v>862</v>
      </c>
      <c r="E94" s="137" t="s">
        <v>1289</v>
      </c>
      <c r="F94" s="472">
        <v>12131</v>
      </c>
      <c r="G94" s="470">
        <v>12131</v>
      </c>
      <c r="H94" s="320">
        <f t="shared" si="2"/>
        <v>100</v>
      </c>
      <c r="I94" s="149" t="str">
        <f t="shared" si="3"/>
        <v>01138020074290129</v>
      </c>
    </row>
    <row r="95" spans="1:9" ht="38.25">
      <c r="A95" s="53" t="s">
        <v>445</v>
      </c>
      <c r="B95" s="137" t="s">
        <v>5</v>
      </c>
      <c r="C95" s="137" t="s">
        <v>454</v>
      </c>
      <c r="D95" s="137" t="s">
        <v>862</v>
      </c>
      <c r="E95" s="137" t="s">
        <v>446</v>
      </c>
      <c r="F95" s="472">
        <v>2700</v>
      </c>
      <c r="G95" s="470">
        <v>2700</v>
      </c>
      <c r="H95" s="320">
        <f t="shared" si="2"/>
        <v>100</v>
      </c>
      <c r="I95" s="149" t="str">
        <f t="shared" si="3"/>
        <v>01138020074290244</v>
      </c>
    </row>
    <row r="96" spans="1:9" ht="51">
      <c r="A96" s="53" t="s">
        <v>455</v>
      </c>
      <c r="B96" s="137" t="s">
        <v>5</v>
      </c>
      <c r="C96" s="137" t="s">
        <v>454</v>
      </c>
      <c r="D96" s="137" t="s">
        <v>863</v>
      </c>
      <c r="E96" s="137"/>
      <c r="F96" s="472">
        <v>69600</v>
      </c>
      <c r="G96" s="470">
        <v>69600</v>
      </c>
      <c r="H96" s="320">
        <f t="shared" si="2"/>
        <v>100</v>
      </c>
      <c r="I96" s="149" t="str">
        <f t="shared" si="3"/>
        <v>01138020075190</v>
      </c>
    </row>
    <row r="97" spans="1:9" ht="25.5">
      <c r="A97" s="53" t="s">
        <v>1165</v>
      </c>
      <c r="B97" s="137" t="s">
        <v>5</v>
      </c>
      <c r="C97" s="137" t="s">
        <v>454</v>
      </c>
      <c r="D97" s="137" t="s">
        <v>863</v>
      </c>
      <c r="E97" s="137" t="s">
        <v>440</v>
      </c>
      <c r="F97" s="472">
        <v>44218</v>
      </c>
      <c r="G97" s="470">
        <v>44218</v>
      </c>
      <c r="H97" s="320">
        <f t="shared" si="2"/>
        <v>100</v>
      </c>
      <c r="I97" s="149" t="str">
        <f t="shared" si="3"/>
        <v>01138020075190121</v>
      </c>
    </row>
    <row r="98" spans="1:9" ht="51">
      <c r="A98" s="53" t="s">
        <v>1288</v>
      </c>
      <c r="B98" s="137" t="s">
        <v>5</v>
      </c>
      <c r="C98" s="137" t="s">
        <v>454</v>
      </c>
      <c r="D98" s="137" t="s">
        <v>863</v>
      </c>
      <c r="E98" s="137" t="s">
        <v>1289</v>
      </c>
      <c r="F98" s="472">
        <v>13354</v>
      </c>
      <c r="G98" s="470">
        <v>13354</v>
      </c>
      <c r="H98" s="320">
        <f t="shared" si="2"/>
        <v>100</v>
      </c>
      <c r="I98" s="149" t="str">
        <f t="shared" si="3"/>
        <v>01138020075190129</v>
      </c>
    </row>
    <row r="99" spans="1:9" ht="38.25">
      <c r="A99" s="53" t="s">
        <v>445</v>
      </c>
      <c r="B99" s="137" t="s">
        <v>5</v>
      </c>
      <c r="C99" s="137" t="s">
        <v>454</v>
      </c>
      <c r="D99" s="137" t="s">
        <v>863</v>
      </c>
      <c r="E99" s="137" t="s">
        <v>446</v>
      </c>
      <c r="F99" s="472">
        <v>12028</v>
      </c>
      <c r="G99" s="470">
        <v>12028</v>
      </c>
      <c r="H99" s="320">
        <f t="shared" si="2"/>
        <v>100</v>
      </c>
      <c r="I99" s="149" t="str">
        <f t="shared" si="3"/>
        <v>01138020075190244</v>
      </c>
    </row>
    <row r="100" spans="1:9" ht="63.75">
      <c r="A100" s="53" t="s">
        <v>629</v>
      </c>
      <c r="B100" s="137" t="s">
        <v>5</v>
      </c>
      <c r="C100" s="137" t="s">
        <v>454</v>
      </c>
      <c r="D100" s="137" t="s">
        <v>864</v>
      </c>
      <c r="E100" s="137"/>
      <c r="F100" s="472">
        <v>120000</v>
      </c>
      <c r="G100" s="470">
        <v>120000</v>
      </c>
      <c r="H100" s="320">
        <f t="shared" si="2"/>
        <v>100</v>
      </c>
      <c r="I100" s="149" t="str">
        <f t="shared" si="3"/>
        <v>01139060080000</v>
      </c>
    </row>
    <row r="101" spans="1:9" ht="25.5">
      <c r="A101" s="53" t="s">
        <v>456</v>
      </c>
      <c r="B101" s="137" t="s">
        <v>5</v>
      </c>
      <c r="C101" s="137" t="s">
        <v>454</v>
      </c>
      <c r="D101" s="137" t="s">
        <v>864</v>
      </c>
      <c r="E101" s="137" t="s">
        <v>457</v>
      </c>
      <c r="F101" s="472">
        <v>120000</v>
      </c>
      <c r="G101" s="470">
        <v>120000</v>
      </c>
      <c r="H101" s="320">
        <f t="shared" si="2"/>
        <v>100</v>
      </c>
      <c r="I101" s="149" t="str">
        <f t="shared" si="3"/>
        <v>01139060080000330</v>
      </c>
    </row>
    <row r="102" spans="1:9" ht="25.5">
      <c r="A102" s="53" t="s">
        <v>286</v>
      </c>
      <c r="B102" s="137" t="s">
        <v>5</v>
      </c>
      <c r="C102" s="137" t="s">
        <v>1602</v>
      </c>
      <c r="D102" s="137"/>
      <c r="E102" s="137"/>
      <c r="F102" s="472">
        <v>3146165.49</v>
      </c>
      <c r="G102" s="470">
        <v>2346329.79</v>
      </c>
      <c r="H102" s="320">
        <f t="shared" si="2"/>
        <v>74.57744347707532</v>
      </c>
      <c r="I102" s="149" t="str">
        <f t="shared" si="3"/>
        <v>0300</v>
      </c>
    </row>
    <row r="103" spans="1:9" ht="38.25">
      <c r="A103" s="53" t="s">
        <v>311</v>
      </c>
      <c r="B103" s="137" t="s">
        <v>5</v>
      </c>
      <c r="C103" s="137" t="s">
        <v>458</v>
      </c>
      <c r="D103" s="137"/>
      <c r="E103" s="137"/>
      <c r="F103" s="472">
        <v>3031115.04</v>
      </c>
      <c r="G103" s="470">
        <v>2259804.34</v>
      </c>
      <c r="H103" s="320">
        <f t="shared" si="2"/>
        <v>74.553565607988276</v>
      </c>
      <c r="I103" s="149" t="str">
        <f t="shared" si="3"/>
        <v>0309</v>
      </c>
    </row>
    <row r="104" spans="1:9" ht="140.25">
      <c r="A104" s="53" t="s">
        <v>459</v>
      </c>
      <c r="B104" s="137" t="s">
        <v>5</v>
      </c>
      <c r="C104" s="137" t="s">
        <v>458</v>
      </c>
      <c r="D104" s="137" t="s">
        <v>865</v>
      </c>
      <c r="E104" s="137"/>
      <c r="F104" s="472">
        <v>2506297.04</v>
      </c>
      <c r="G104" s="470">
        <v>1958988.19</v>
      </c>
      <c r="H104" s="320">
        <f t="shared" si="2"/>
        <v>78.162650265907828</v>
      </c>
      <c r="I104" s="149" t="str">
        <f t="shared" si="3"/>
        <v>03090410040010</v>
      </c>
    </row>
    <row r="105" spans="1:9">
      <c r="A105" s="53" t="s">
        <v>1603</v>
      </c>
      <c r="B105" s="137" t="s">
        <v>5</v>
      </c>
      <c r="C105" s="137" t="s">
        <v>458</v>
      </c>
      <c r="D105" s="137" t="s">
        <v>865</v>
      </c>
      <c r="E105" s="137" t="s">
        <v>460</v>
      </c>
      <c r="F105" s="472">
        <v>1863680.4</v>
      </c>
      <c r="G105" s="470">
        <v>1437666.11</v>
      </c>
      <c r="H105" s="320">
        <f t="shared" si="2"/>
        <v>77.141236769995544</v>
      </c>
      <c r="I105" s="149" t="str">
        <f t="shared" si="3"/>
        <v>03090410040010111</v>
      </c>
    </row>
    <row r="106" spans="1:9" ht="51">
      <c r="A106" s="53" t="s">
        <v>1604</v>
      </c>
      <c r="B106" s="137" t="s">
        <v>5</v>
      </c>
      <c r="C106" s="137" t="s">
        <v>458</v>
      </c>
      <c r="D106" s="137" t="s">
        <v>865</v>
      </c>
      <c r="E106" s="137" t="s">
        <v>1290</v>
      </c>
      <c r="F106" s="472">
        <v>562799.6</v>
      </c>
      <c r="G106" s="470">
        <v>442356.08</v>
      </c>
      <c r="H106" s="320">
        <f t="shared" si="2"/>
        <v>78.599217199159355</v>
      </c>
      <c r="I106" s="149" t="str">
        <f t="shared" si="3"/>
        <v>03090410040010119</v>
      </c>
    </row>
    <row r="107" spans="1:9" ht="38.25">
      <c r="A107" s="53" t="s">
        <v>445</v>
      </c>
      <c r="B107" s="137" t="s">
        <v>5</v>
      </c>
      <c r="C107" s="137" t="s">
        <v>458</v>
      </c>
      <c r="D107" s="137" t="s">
        <v>865</v>
      </c>
      <c r="E107" s="137" t="s">
        <v>446</v>
      </c>
      <c r="F107" s="472">
        <v>79817.039999999994</v>
      </c>
      <c r="G107" s="470">
        <v>78966</v>
      </c>
      <c r="H107" s="320">
        <f t="shared" si="2"/>
        <v>98.933761512579281</v>
      </c>
      <c r="I107" s="149" t="str">
        <f t="shared" si="3"/>
        <v>03090410040010244</v>
      </c>
    </row>
    <row r="108" spans="1:9" ht="178.5">
      <c r="A108" s="53" t="s">
        <v>797</v>
      </c>
      <c r="B108" s="137" t="s">
        <v>5</v>
      </c>
      <c r="C108" s="137" t="s">
        <v>458</v>
      </c>
      <c r="D108" s="137" t="s">
        <v>866</v>
      </c>
      <c r="E108" s="137"/>
      <c r="F108" s="472">
        <v>181048</v>
      </c>
      <c r="G108" s="470">
        <v>181048</v>
      </c>
      <c r="H108" s="320">
        <f t="shared" si="2"/>
        <v>100</v>
      </c>
      <c r="I108" s="149" t="str">
        <f t="shared" si="3"/>
        <v>03090410041010</v>
      </c>
    </row>
    <row r="109" spans="1:9">
      <c r="A109" s="53" t="s">
        <v>1603</v>
      </c>
      <c r="B109" s="137" t="s">
        <v>5</v>
      </c>
      <c r="C109" s="137" t="s">
        <v>458</v>
      </c>
      <c r="D109" s="137" t="s">
        <v>866</v>
      </c>
      <c r="E109" s="137" t="s">
        <v>460</v>
      </c>
      <c r="F109" s="472">
        <v>139053.6</v>
      </c>
      <c r="G109" s="470">
        <v>139053.6</v>
      </c>
      <c r="H109" s="320">
        <f t="shared" si="2"/>
        <v>100</v>
      </c>
      <c r="I109" s="149" t="str">
        <f t="shared" si="3"/>
        <v>03090410041010111</v>
      </c>
    </row>
    <row r="110" spans="1:9" ht="51">
      <c r="A110" s="53" t="s">
        <v>1604</v>
      </c>
      <c r="B110" s="137" t="s">
        <v>5</v>
      </c>
      <c r="C110" s="137" t="s">
        <v>458</v>
      </c>
      <c r="D110" s="137" t="s">
        <v>866</v>
      </c>
      <c r="E110" s="137" t="s">
        <v>1290</v>
      </c>
      <c r="F110" s="472">
        <v>41994.400000000001</v>
      </c>
      <c r="G110" s="470">
        <v>41994.400000000001</v>
      </c>
      <c r="H110" s="320">
        <f t="shared" si="2"/>
        <v>100</v>
      </c>
      <c r="I110" s="149" t="str">
        <f t="shared" si="3"/>
        <v>03090410041010119</v>
      </c>
    </row>
    <row r="111" spans="1:9" ht="165.75">
      <c r="A111" s="53" t="s">
        <v>1731</v>
      </c>
      <c r="B111" s="137" t="s">
        <v>5</v>
      </c>
      <c r="C111" s="137" t="s">
        <v>458</v>
      </c>
      <c r="D111" s="137" t="s">
        <v>1732</v>
      </c>
      <c r="E111" s="137"/>
      <c r="F111" s="472">
        <v>343400</v>
      </c>
      <c r="G111" s="470">
        <v>119398.15</v>
      </c>
      <c r="H111" s="320">
        <f t="shared" si="2"/>
        <v>34.769408852649967</v>
      </c>
      <c r="I111" s="149" t="str">
        <f t="shared" si="3"/>
        <v>03090410074130</v>
      </c>
    </row>
    <row r="112" spans="1:9">
      <c r="A112" s="53" t="s">
        <v>1603</v>
      </c>
      <c r="B112" s="137" t="s">
        <v>5</v>
      </c>
      <c r="C112" s="137" t="s">
        <v>458</v>
      </c>
      <c r="D112" s="137" t="s">
        <v>1732</v>
      </c>
      <c r="E112" s="137" t="s">
        <v>460</v>
      </c>
      <c r="F112" s="472">
        <v>171582.58</v>
      </c>
      <c r="G112" s="470">
        <v>0</v>
      </c>
      <c r="H112" s="320">
        <f t="shared" si="2"/>
        <v>0</v>
      </c>
      <c r="I112" s="149" t="str">
        <f t="shared" si="3"/>
        <v>03090410074130111</v>
      </c>
    </row>
    <row r="113" spans="1:9" ht="51">
      <c r="A113" s="53" t="s">
        <v>1604</v>
      </c>
      <c r="B113" s="137" t="s">
        <v>5</v>
      </c>
      <c r="C113" s="137" t="s">
        <v>458</v>
      </c>
      <c r="D113" s="137" t="s">
        <v>1732</v>
      </c>
      <c r="E113" s="137" t="s">
        <v>1290</v>
      </c>
      <c r="F113" s="472">
        <v>51817.42</v>
      </c>
      <c r="G113" s="470">
        <v>0</v>
      </c>
      <c r="H113" s="320">
        <f t="shared" si="2"/>
        <v>0</v>
      </c>
      <c r="I113" s="149" t="str">
        <f t="shared" si="3"/>
        <v>03090410074130119</v>
      </c>
    </row>
    <row r="114" spans="1:9" ht="38.25">
      <c r="A114" s="53" t="s">
        <v>445</v>
      </c>
      <c r="B114" s="137" t="s">
        <v>5</v>
      </c>
      <c r="C114" s="137" t="s">
        <v>458</v>
      </c>
      <c r="D114" s="137" t="s">
        <v>1732</v>
      </c>
      <c r="E114" s="137" t="s">
        <v>446</v>
      </c>
      <c r="F114" s="472">
        <v>120000</v>
      </c>
      <c r="G114" s="470">
        <v>119398.15</v>
      </c>
      <c r="H114" s="320">
        <f t="shared" si="2"/>
        <v>99.498458333333332</v>
      </c>
      <c r="I114" s="149" t="str">
        <f t="shared" si="3"/>
        <v>03090410074130244</v>
      </c>
    </row>
    <row r="115" spans="1:9" ht="153">
      <c r="A115" s="53" t="s">
        <v>1733</v>
      </c>
      <c r="B115" s="137" t="s">
        <v>5</v>
      </c>
      <c r="C115" s="137" t="s">
        <v>458</v>
      </c>
      <c r="D115" s="137" t="s">
        <v>1734</v>
      </c>
      <c r="E115" s="137"/>
      <c r="F115" s="472">
        <v>370</v>
      </c>
      <c r="G115" s="470">
        <v>370</v>
      </c>
      <c r="H115" s="320">
        <f t="shared" si="2"/>
        <v>100</v>
      </c>
      <c r="I115" s="149" t="str">
        <f t="shared" si="3"/>
        <v>030904100S4130</v>
      </c>
    </row>
    <row r="116" spans="1:9" ht="38.25">
      <c r="A116" s="53" t="s">
        <v>445</v>
      </c>
      <c r="B116" s="137" t="s">
        <v>5</v>
      </c>
      <c r="C116" s="137" t="s">
        <v>458</v>
      </c>
      <c r="D116" s="137" t="s">
        <v>1734</v>
      </c>
      <c r="E116" s="137" t="s">
        <v>446</v>
      </c>
      <c r="F116" s="472">
        <v>370</v>
      </c>
      <c r="G116" s="470">
        <v>370</v>
      </c>
      <c r="H116" s="320">
        <f t="shared" si="2"/>
        <v>100</v>
      </c>
      <c r="I116" s="149" t="str">
        <f t="shared" si="3"/>
        <v>030904100S4130244</v>
      </c>
    </row>
    <row r="117" spans="1:9">
      <c r="A117" s="53" t="s">
        <v>133</v>
      </c>
      <c r="B117" s="137" t="s">
        <v>5</v>
      </c>
      <c r="C117" s="137" t="s">
        <v>463</v>
      </c>
      <c r="D117" s="137"/>
      <c r="E117" s="137"/>
      <c r="F117" s="472">
        <v>115050.45</v>
      </c>
      <c r="G117" s="470">
        <v>86525.45</v>
      </c>
      <c r="H117" s="320">
        <f t="shared" si="2"/>
        <v>75.206528961859775</v>
      </c>
      <c r="I117" s="149" t="str">
        <f t="shared" si="3"/>
        <v>0310</v>
      </c>
    </row>
    <row r="118" spans="1:9" ht="102">
      <c r="A118" s="53" t="s">
        <v>1735</v>
      </c>
      <c r="B118" s="137" t="s">
        <v>5</v>
      </c>
      <c r="C118" s="137" t="s">
        <v>463</v>
      </c>
      <c r="D118" s="137" t="s">
        <v>1736</v>
      </c>
      <c r="E118" s="137"/>
      <c r="F118" s="472">
        <v>2429</v>
      </c>
      <c r="G118" s="470">
        <v>2429</v>
      </c>
      <c r="H118" s="320">
        <f t="shared" si="2"/>
        <v>100</v>
      </c>
      <c r="I118" s="149" t="str">
        <f t="shared" si="3"/>
        <v>03100420074120</v>
      </c>
    </row>
    <row r="119" spans="1:9" ht="38.25">
      <c r="A119" s="53" t="s">
        <v>445</v>
      </c>
      <c r="B119" s="137" t="s">
        <v>5</v>
      </c>
      <c r="C119" s="137" t="s">
        <v>463</v>
      </c>
      <c r="D119" s="137" t="s">
        <v>1736</v>
      </c>
      <c r="E119" s="137" t="s">
        <v>446</v>
      </c>
      <c r="F119" s="472">
        <v>2429</v>
      </c>
      <c r="G119" s="470">
        <v>2429</v>
      </c>
      <c r="H119" s="320">
        <f t="shared" si="2"/>
        <v>100</v>
      </c>
      <c r="I119" s="149" t="str">
        <f t="shared" si="3"/>
        <v>03100420074120244</v>
      </c>
    </row>
    <row r="120" spans="1:9" ht="102">
      <c r="A120" s="53" t="s">
        <v>467</v>
      </c>
      <c r="B120" s="137" t="s">
        <v>5</v>
      </c>
      <c r="C120" s="137" t="s">
        <v>463</v>
      </c>
      <c r="D120" s="137" t="s">
        <v>870</v>
      </c>
      <c r="E120" s="137"/>
      <c r="F120" s="472">
        <v>100000</v>
      </c>
      <c r="G120" s="470">
        <v>71475</v>
      </c>
      <c r="H120" s="320">
        <f t="shared" si="2"/>
        <v>71.474999999999994</v>
      </c>
      <c r="I120" s="149" t="str">
        <f t="shared" si="3"/>
        <v>03100420080020</v>
      </c>
    </row>
    <row r="121" spans="1:9" ht="38.25">
      <c r="A121" s="53" t="s">
        <v>445</v>
      </c>
      <c r="B121" s="137" t="s">
        <v>5</v>
      </c>
      <c r="C121" s="137" t="s">
        <v>463</v>
      </c>
      <c r="D121" s="137" t="s">
        <v>870</v>
      </c>
      <c r="E121" s="137" t="s">
        <v>446</v>
      </c>
      <c r="F121" s="472">
        <v>100000</v>
      </c>
      <c r="G121" s="470">
        <v>71475</v>
      </c>
      <c r="H121" s="320">
        <f t="shared" si="2"/>
        <v>71.474999999999994</v>
      </c>
      <c r="I121" s="149" t="str">
        <f t="shared" si="3"/>
        <v>03100420080020244</v>
      </c>
    </row>
    <row r="122" spans="1:9" ht="114.75">
      <c r="A122" s="53" t="s">
        <v>468</v>
      </c>
      <c r="B122" s="137" t="s">
        <v>5</v>
      </c>
      <c r="C122" s="137" t="s">
        <v>463</v>
      </c>
      <c r="D122" s="137" t="s">
        <v>871</v>
      </c>
      <c r="E122" s="137"/>
      <c r="F122" s="472">
        <v>12500</v>
      </c>
      <c r="G122" s="470">
        <v>12500</v>
      </c>
      <c r="H122" s="320">
        <f t="shared" si="2"/>
        <v>100</v>
      </c>
      <c r="I122" s="149" t="str">
        <f t="shared" si="3"/>
        <v>03100420080030</v>
      </c>
    </row>
    <row r="123" spans="1:9" ht="38.25">
      <c r="A123" s="53" t="s">
        <v>445</v>
      </c>
      <c r="B123" s="137" t="s">
        <v>5</v>
      </c>
      <c r="C123" s="137" t="s">
        <v>463</v>
      </c>
      <c r="D123" s="137" t="s">
        <v>871</v>
      </c>
      <c r="E123" s="137" t="s">
        <v>446</v>
      </c>
      <c r="F123" s="472">
        <v>12500</v>
      </c>
      <c r="G123" s="470">
        <v>12500</v>
      </c>
      <c r="H123" s="320">
        <f t="shared" si="2"/>
        <v>100</v>
      </c>
      <c r="I123" s="149" t="str">
        <f t="shared" si="3"/>
        <v>03100420080030244</v>
      </c>
    </row>
    <row r="124" spans="1:9" ht="114.75">
      <c r="A124" s="53" t="s">
        <v>1737</v>
      </c>
      <c r="B124" s="137" t="s">
        <v>5</v>
      </c>
      <c r="C124" s="137" t="s">
        <v>463</v>
      </c>
      <c r="D124" s="137" t="s">
        <v>1738</v>
      </c>
      <c r="E124" s="137"/>
      <c r="F124" s="472">
        <v>121.45</v>
      </c>
      <c r="G124" s="470">
        <v>121.45</v>
      </c>
      <c r="H124" s="320">
        <f t="shared" si="2"/>
        <v>100</v>
      </c>
      <c r="I124" s="149" t="str">
        <f t="shared" si="3"/>
        <v>031004200S4120</v>
      </c>
    </row>
    <row r="125" spans="1:9" ht="38.25">
      <c r="A125" s="53" t="s">
        <v>445</v>
      </c>
      <c r="B125" s="137" t="s">
        <v>5</v>
      </c>
      <c r="C125" s="137" t="s">
        <v>463</v>
      </c>
      <c r="D125" s="137" t="s">
        <v>1738</v>
      </c>
      <c r="E125" s="137" t="s">
        <v>446</v>
      </c>
      <c r="F125" s="472">
        <v>121.45</v>
      </c>
      <c r="G125" s="470">
        <v>121.45</v>
      </c>
      <c r="H125" s="320">
        <f t="shared" si="2"/>
        <v>100</v>
      </c>
      <c r="I125" s="149" t="str">
        <f t="shared" si="3"/>
        <v>031004200S4120244</v>
      </c>
    </row>
    <row r="126" spans="1:9">
      <c r="A126" s="53" t="s">
        <v>222</v>
      </c>
      <c r="B126" s="137" t="s">
        <v>5</v>
      </c>
      <c r="C126" s="137" t="s">
        <v>1605</v>
      </c>
      <c r="D126" s="137"/>
      <c r="E126" s="137"/>
      <c r="F126" s="472">
        <v>28960125.98</v>
      </c>
      <c r="G126" s="470">
        <v>28539716.109999999</v>
      </c>
      <c r="H126" s="320">
        <f t="shared" si="2"/>
        <v>98.548314774975992</v>
      </c>
      <c r="I126" s="149" t="str">
        <f t="shared" si="3"/>
        <v>0400</v>
      </c>
    </row>
    <row r="127" spans="1:9">
      <c r="A127" s="53" t="s">
        <v>223</v>
      </c>
      <c r="B127" s="137" t="s">
        <v>5</v>
      </c>
      <c r="C127" s="137" t="s">
        <v>470</v>
      </c>
      <c r="D127" s="137"/>
      <c r="E127" s="137"/>
      <c r="F127" s="472">
        <v>1182812.98</v>
      </c>
      <c r="G127" s="470">
        <v>1133020.27</v>
      </c>
      <c r="H127" s="320">
        <f t="shared" si="2"/>
        <v>95.790314205040261</v>
      </c>
      <c r="I127" s="149" t="str">
        <f t="shared" si="3"/>
        <v>0405</v>
      </c>
    </row>
    <row r="128" spans="1:9" ht="89.25">
      <c r="A128" s="53" t="s">
        <v>1291</v>
      </c>
      <c r="B128" s="137" t="s">
        <v>5</v>
      </c>
      <c r="C128" s="137" t="s">
        <v>470</v>
      </c>
      <c r="D128" s="137" t="s">
        <v>1739</v>
      </c>
      <c r="E128" s="137"/>
      <c r="F128" s="472">
        <v>22012.98</v>
      </c>
      <c r="G128" s="470">
        <v>21856.21</v>
      </c>
      <c r="H128" s="320">
        <f t="shared" si="2"/>
        <v>99.287829271638813</v>
      </c>
      <c r="I128" s="149" t="str">
        <f t="shared" si="3"/>
        <v>040512100R543Б</v>
      </c>
    </row>
    <row r="129" spans="1:9" ht="63.75">
      <c r="A129" s="53" t="s">
        <v>1740</v>
      </c>
      <c r="B129" s="137" t="s">
        <v>5</v>
      </c>
      <c r="C129" s="137" t="s">
        <v>470</v>
      </c>
      <c r="D129" s="137" t="s">
        <v>1739</v>
      </c>
      <c r="E129" s="137" t="s">
        <v>1741</v>
      </c>
      <c r="F129" s="472">
        <v>22012.98</v>
      </c>
      <c r="G129" s="470">
        <v>21856.21</v>
      </c>
      <c r="H129" s="320">
        <f t="shared" si="2"/>
        <v>99.287829271638813</v>
      </c>
      <c r="I129" s="149" t="str">
        <f t="shared" si="3"/>
        <v>040512100R543Б814</v>
      </c>
    </row>
    <row r="130" spans="1:9" ht="102">
      <c r="A130" s="53" t="s">
        <v>473</v>
      </c>
      <c r="B130" s="137" t="s">
        <v>5</v>
      </c>
      <c r="C130" s="137" t="s">
        <v>470</v>
      </c>
      <c r="D130" s="137" t="s">
        <v>878</v>
      </c>
      <c r="E130" s="137"/>
      <c r="F130" s="472">
        <v>1160800</v>
      </c>
      <c r="G130" s="470">
        <v>1111164.06</v>
      </c>
      <c r="H130" s="320">
        <f t="shared" si="2"/>
        <v>95.723988628532055</v>
      </c>
      <c r="I130" s="149" t="str">
        <f t="shared" ref="I130:I191" si="4">CONCATENATE(C130,D130,E130)</f>
        <v>04051230075170</v>
      </c>
    </row>
    <row r="131" spans="1:9" ht="25.5">
      <c r="A131" s="53" t="s">
        <v>1165</v>
      </c>
      <c r="B131" s="137" t="s">
        <v>5</v>
      </c>
      <c r="C131" s="137" t="s">
        <v>470</v>
      </c>
      <c r="D131" s="137" t="s">
        <v>878</v>
      </c>
      <c r="E131" s="137" t="s">
        <v>440</v>
      </c>
      <c r="F131" s="472">
        <v>741928</v>
      </c>
      <c r="G131" s="470">
        <v>731697.7</v>
      </c>
      <c r="H131" s="320">
        <f t="shared" si="2"/>
        <v>98.621119569553912</v>
      </c>
      <c r="I131" s="149" t="str">
        <f t="shared" si="4"/>
        <v>04051230075170121</v>
      </c>
    </row>
    <row r="132" spans="1:9" ht="38.25">
      <c r="A132" s="53" t="s">
        <v>441</v>
      </c>
      <c r="B132" s="137" t="s">
        <v>5</v>
      </c>
      <c r="C132" s="137" t="s">
        <v>470</v>
      </c>
      <c r="D132" s="137" t="s">
        <v>878</v>
      </c>
      <c r="E132" s="137" t="s">
        <v>442</v>
      </c>
      <c r="F132" s="472">
        <v>14710</v>
      </c>
      <c r="G132" s="470">
        <v>7500</v>
      </c>
      <c r="H132" s="320">
        <f t="shared" si="2"/>
        <v>50.985723997280765</v>
      </c>
      <c r="I132" s="149" t="str">
        <f t="shared" si="4"/>
        <v>04051230075170122</v>
      </c>
    </row>
    <row r="133" spans="1:9" ht="51">
      <c r="A133" s="53" t="s">
        <v>1288</v>
      </c>
      <c r="B133" s="137" t="s">
        <v>5</v>
      </c>
      <c r="C133" s="137" t="s">
        <v>470</v>
      </c>
      <c r="D133" s="137" t="s">
        <v>878</v>
      </c>
      <c r="E133" s="137" t="s">
        <v>1289</v>
      </c>
      <c r="F133" s="472">
        <v>224062</v>
      </c>
      <c r="G133" s="470">
        <v>219493.36</v>
      </c>
      <c r="H133" s="320">
        <f t="shared" si="2"/>
        <v>97.960992939454243</v>
      </c>
      <c r="I133" s="149" t="str">
        <f t="shared" si="4"/>
        <v>04051230075170129</v>
      </c>
    </row>
    <row r="134" spans="1:9" ht="38.25">
      <c r="A134" s="53" t="s">
        <v>445</v>
      </c>
      <c r="B134" s="137" t="s">
        <v>5</v>
      </c>
      <c r="C134" s="137" t="s">
        <v>470</v>
      </c>
      <c r="D134" s="137" t="s">
        <v>878</v>
      </c>
      <c r="E134" s="137" t="s">
        <v>446</v>
      </c>
      <c r="F134" s="472">
        <v>180100</v>
      </c>
      <c r="G134" s="470">
        <v>152473</v>
      </c>
      <c r="H134" s="320">
        <f t="shared" si="2"/>
        <v>84.660188784008881</v>
      </c>
      <c r="I134" s="149" t="str">
        <f t="shared" si="4"/>
        <v>04051230075170244</v>
      </c>
    </row>
    <row r="135" spans="1:9">
      <c r="A135" s="53" t="s">
        <v>224</v>
      </c>
      <c r="B135" s="137" t="s">
        <v>5</v>
      </c>
      <c r="C135" s="137" t="s">
        <v>474</v>
      </c>
      <c r="D135" s="137"/>
      <c r="E135" s="137"/>
      <c r="F135" s="472">
        <v>24557000</v>
      </c>
      <c r="G135" s="470">
        <v>24235970.030000001</v>
      </c>
      <c r="H135" s="320">
        <f t="shared" ref="H135:H198" si="5">G135/F135*100</f>
        <v>98.692715030337581</v>
      </c>
      <c r="I135" s="149" t="str">
        <f t="shared" si="4"/>
        <v>0408</v>
      </c>
    </row>
    <row r="136" spans="1:9" ht="63.75">
      <c r="A136" s="53" t="s">
        <v>1036</v>
      </c>
      <c r="B136" s="137" t="s">
        <v>5</v>
      </c>
      <c r="C136" s="137" t="s">
        <v>474</v>
      </c>
      <c r="D136" s="137" t="s">
        <v>1162</v>
      </c>
      <c r="E136" s="137"/>
      <c r="F136" s="472">
        <v>304800</v>
      </c>
      <c r="G136" s="470">
        <v>0</v>
      </c>
      <c r="H136" s="320">
        <f t="shared" si="5"/>
        <v>0</v>
      </c>
      <c r="I136" s="149" t="str">
        <f t="shared" si="4"/>
        <v>040809200Л0000</v>
      </c>
    </row>
    <row r="137" spans="1:9" ht="63.75">
      <c r="A137" s="53" t="s">
        <v>1740</v>
      </c>
      <c r="B137" s="137" t="s">
        <v>5</v>
      </c>
      <c r="C137" s="137" t="s">
        <v>474</v>
      </c>
      <c r="D137" s="137" t="s">
        <v>1162</v>
      </c>
      <c r="E137" s="137" t="s">
        <v>1741</v>
      </c>
      <c r="F137" s="472">
        <v>304800</v>
      </c>
      <c r="G137" s="470">
        <v>0</v>
      </c>
      <c r="H137" s="320">
        <f t="shared" si="5"/>
        <v>0</v>
      </c>
      <c r="I137" s="149" t="str">
        <f t="shared" si="4"/>
        <v>040809200Л0000814</v>
      </c>
    </row>
    <row r="138" spans="1:9" ht="76.5">
      <c r="A138" s="53" t="s">
        <v>475</v>
      </c>
      <c r="B138" s="137" t="s">
        <v>5</v>
      </c>
      <c r="C138" s="137" t="s">
        <v>474</v>
      </c>
      <c r="D138" s="137" t="s">
        <v>879</v>
      </c>
      <c r="E138" s="137"/>
      <c r="F138" s="472">
        <v>24252200</v>
      </c>
      <c r="G138" s="470">
        <v>24235970.030000001</v>
      </c>
      <c r="H138" s="320">
        <f t="shared" si="5"/>
        <v>99.933078359901373</v>
      </c>
      <c r="I138" s="149" t="str">
        <f t="shared" si="4"/>
        <v>040809200П0000</v>
      </c>
    </row>
    <row r="139" spans="1:9" ht="63.75">
      <c r="A139" s="53" t="s">
        <v>1740</v>
      </c>
      <c r="B139" s="137" t="s">
        <v>5</v>
      </c>
      <c r="C139" s="137" t="s">
        <v>474</v>
      </c>
      <c r="D139" s="137" t="s">
        <v>879</v>
      </c>
      <c r="E139" s="137" t="s">
        <v>1741</v>
      </c>
      <c r="F139" s="472">
        <v>24252200</v>
      </c>
      <c r="G139" s="470">
        <v>24235970.030000001</v>
      </c>
      <c r="H139" s="320">
        <f t="shared" si="5"/>
        <v>99.933078359901373</v>
      </c>
      <c r="I139" s="149" t="str">
        <f t="shared" si="4"/>
        <v>040809200П0000814</v>
      </c>
    </row>
    <row r="140" spans="1:9">
      <c r="A140" s="53" t="s">
        <v>303</v>
      </c>
      <c r="B140" s="137" t="s">
        <v>5</v>
      </c>
      <c r="C140" s="137" t="s">
        <v>476</v>
      </c>
      <c r="D140" s="137"/>
      <c r="E140" s="137"/>
      <c r="F140" s="472">
        <v>32700</v>
      </c>
      <c r="G140" s="470">
        <v>32700</v>
      </c>
      <c r="H140" s="320">
        <f t="shared" si="5"/>
        <v>100</v>
      </c>
      <c r="I140" s="149" t="str">
        <f t="shared" si="4"/>
        <v>0409</v>
      </c>
    </row>
    <row r="141" spans="1:9" ht="51">
      <c r="A141" s="53" t="s">
        <v>477</v>
      </c>
      <c r="B141" s="137" t="s">
        <v>5</v>
      </c>
      <c r="C141" s="137" t="s">
        <v>476</v>
      </c>
      <c r="D141" s="137" t="s">
        <v>880</v>
      </c>
      <c r="E141" s="137"/>
      <c r="F141" s="472">
        <v>32700</v>
      </c>
      <c r="G141" s="470">
        <v>32700</v>
      </c>
      <c r="H141" s="320">
        <f t="shared" si="5"/>
        <v>100</v>
      </c>
      <c r="I141" s="149" t="str">
        <f t="shared" si="4"/>
        <v>04090910080000</v>
      </c>
    </row>
    <row r="142" spans="1:9" ht="38.25">
      <c r="A142" s="53" t="s">
        <v>445</v>
      </c>
      <c r="B142" s="137" t="s">
        <v>5</v>
      </c>
      <c r="C142" s="137" t="s">
        <v>476</v>
      </c>
      <c r="D142" s="137" t="s">
        <v>880</v>
      </c>
      <c r="E142" s="137" t="s">
        <v>446</v>
      </c>
      <c r="F142" s="472">
        <v>32700</v>
      </c>
      <c r="G142" s="470">
        <v>32700</v>
      </c>
      <c r="H142" s="320">
        <f t="shared" si="5"/>
        <v>100</v>
      </c>
      <c r="I142" s="149" t="str">
        <f t="shared" si="4"/>
        <v>04090910080000244</v>
      </c>
    </row>
    <row r="143" spans="1:9">
      <c r="A143" s="53" t="s">
        <v>1889</v>
      </c>
      <c r="B143" s="137" t="s">
        <v>5</v>
      </c>
      <c r="C143" s="137" t="s">
        <v>1890</v>
      </c>
      <c r="D143" s="137"/>
      <c r="E143" s="137"/>
      <c r="F143" s="472">
        <v>112813</v>
      </c>
      <c r="G143" s="470">
        <v>63225.81</v>
      </c>
      <c r="H143" s="320">
        <f t="shared" si="5"/>
        <v>56.044790937214685</v>
      </c>
      <c r="I143" s="149" t="str">
        <f t="shared" si="4"/>
        <v>0410</v>
      </c>
    </row>
    <row r="144" spans="1:9" ht="114.75">
      <c r="A144" s="53" t="s">
        <v>1891</v>
      </c>
      <c r="B144" s="137" t="s">
        <v>5</v>
      </c>
      <c r="C144" s="137" t="s">
        <v>1890</v>
      </c>
      <c r="D144" s="137" t="s">
        <v>1892</v>
      </c>
      <c r="E144" s="137"/>
      <c r="F144" s="472">
        <v>112700</v>
      </c>
      <c r="G144" s="470">
        <v>63112.81</v>
      </c>
      <c r="H144" s="320">
        <f t="shared" si="5"/>
        <v>56.000718722271515</v>
      </c>
      <c r="I144" s="149" t="str">
        <f t="shared" si="4"/>
        <v>04100380076450</v>
      </c>
    </row>
    <row r="145" spans="1:9" ht="38.25">
      <c r="A145" s="53" t="s">
        <v>445</v>
      </c>
      <c r="B145" s="137" t="s">
        <v>5</v>
      </c>
      <c r="C145" s="137" t="s">
        <v>1890</v>
      </c>
      <c r="D145" s="137" t="s">
        <v>1892</v>
      </c>
      <c r="E145" s="137" t="s">
        <v>446</v>
      </c>
      <c r="F145" s="472">
        <v>112700</v>
      </c>
      <c r="G145" s="470">
        <v>63112.81</v>
      </c>
      <c r="H145" s="320">
        <f t="shared" si="5"/>
        <v>56.000718722271515</v>
      </c>
      <c r="I145" s="149" t="str">
        <f t="shared" si="4"/>
        <v>04100380076450244</v>
      </c>
    </row>
    <row r="146" spans="1:9" ht="127.5">
      <c r="A146" s="53" t="s">
        <v>1893</v>
      </c>
      <c r="B146" s="137" t="s">
        <v>5</v>
      </c>
      <c r="C146" s="137" t="s">
        <v>1890</v>
      </c>
      <c r="D146" s="137" t="s">
        <v>1894</v>
      </c>
      <c r="E146" s="137"/>
      <c r="F146" s="472">
        <v>113</v>
      </c>
      <c r="G146" s="470">
        <v>113</v>
      </c>
      <c r="H146" s="320">
        <f t="shared" si="5"/>
        <v>100</v>
      </c>
      <c r="I146" s="149" t="str">
        <f t="shared" si="4"/>
        <v>041003800S6450</v>
      </c>
    </row>
    <row r="147" spans="1:9" ht="38.25">
      <c r="A147" s="53" t="s">
        <v>445</v>
      </c>
      <c r="B147" s="137" t="s">
        <v>5</v>
      </c>
      <c r="C147" s="137" t="s">
        <v>1890</v>
      </c>
      <c r="D147" s="137" t="s">
        <v>1894</v>
      </c>
      <c r="E147" s="137" t="s">
        <v>446</v>
      </c>
      <c r="F147" s="472">
        <v>113</v>
      </c>
      <c r="G147" s="470">
        <v>113</v>
      </c>
      <c r="H147" s="320">
        <f t="shared" si="5"/>
        <v>100</v>
      </c>
      <c r="I147" s="149" t="str">
        <f t="shared" si="4"/>
        <v>041003800S6450244</v>
      </c>
    </row>
    <row r="148" spans="1:9" ht="25.5">
      <c r="A148" s="53" t="s">
        <v>180</v>
      </c>
      <c r="B148" s="137" t="s">
        <v>5</v>
      </c>
      <c r="C148" s="137" t="s">
        <v>478</v>
      </c>
      <c r="D148" s="137"/>
      <c r="E148" s="137"/>
      <c r="F148" s="472">
        <v>3074800</v>
      </c>
      <c r="G148" s="470">
        <v>3074800</v>
      </c>
      <c r="H148" s="320">
        <f t="shared" si="5"/>
        <v>100</v>
      </c>
      <c r="I148" s="149" t="str">
        <f t="shared" si="4"/>
        <v>0412</v>
      </c>
    </row>
    <row r="149" spans="1:9" ht="127.5">
      <c r="A149" s="53" t="s">
        <v>1120</v>
      </c>
      <c r="B149" s="137" t="s">
        <v>5</v>
      </c>
      <c r="C149" s="137" t="s">
        <v>478</v>
      </c>
      <c r="D149" s="137" t="s">
        <v>1119</v>
      </c>
      <c r="E149" s="137"/>
      <c r="F149" s="472">
        <v>1500000</v>
      </c>
      <c r="G149" s="470">
        <v>1500000</v>
      </c>
      <c r="H149" s="320">
        <f t="shared" si="5"/>
        <v>100</v>
      </c>
      <c r="I149" s="149" t="str">
        <f t="shared" si="4"/>
        <v>04120810076070</v>
      </c>
    </row>
    <row r="150" spans="1:9" ht="63.75">
      <c r="A150" s="53" t="s">
        <v>1740</v>
      </c>
      <c r="B150" s="137" t="s">
        <v>5</v>
      </c>
      <c r="C150" s="137" t="s">
        <v>478</v>
      </c>
      <c r="D150" s="137" t="s">
        <v>1119</v>
      </c>
      <c r="E150" s="137" t="s">
        <v>1741</v>
      </c>
      <c r="F150" s="472">
        <v>1500000</v>
      </c>
      <c r="G150" s="470">
        <v>1500000</v>
      </c>
      <c r="H150" s="320">
        <f t="shared" si="5"/>
        <v>100</v>
      </c>
      <c r="I150" s="149" t="str">
        <f t="shared" si="4"/>
        <v>04120810076070814</v>
      </c>
    </row>
    <row r="151" spans="1:9" ht="127.5">
      <c r="A151" s="53" t="s">
        <v>1606</v>
      </c>
      <c r="B151" s="137" t="s">
        <v>5</v>
      </c>
      <c r="C151" s="137" t="s">
        <v>478</v>
      </c>
      <c r="D151" s="137" t="s">
        <v>883</v>
      </c>
      <c r="E151" s="137"/>
      <c r="F151" s="472">
        <v>865052.63</v>
      </c>
      <c r="G151" s="470">
        <v>865052.63</v>
      </c>
      <c r="H151" s="320">
        <f t="shared" si="5"/>
        <v>100</v>
      </c>
      <c r="I151" s="149" t="str">
        <f t="shared" si="4"/>
        <v>04120810080010</v>
      </c>
    </row>
    <row r="152" spans="1:9" ht="63.75">
      <c r="A152" s="53" t="s">
        <v>1740</v>
      </c>
      <c r="B152" s="137" t="s">
        <v>5</v>
      </c>
      <c r="C152" s="137" t="s">
        <v>478</v>
      </c>
      <c r="D152" s="137" t="s">
        <v>883</v>
      </c>
      <c r="E152" s="137" t="s">
        <v>1741</v>
      </c>
      <c r="F152" s="472">
        <v>865052.63</v>
      </c>
      <c r="G152" s="470">
        <v>865052.63</v>
      </c>
      <c r="H152" s="320">
        <f t="shared" si="5"/>
        <v>100</v>
      </c>
      <c r="I152" s="149" t="str">
        <f t="shared" si="4"/>
        <v>04120810080010814</v>
      </c>
    </row>
    <row r="153" spans="1:9" ht="114.75">
      <c r="A153" s="53" t="s">
        <v>479</v>
      </c>
      <c r="B153" s="137" t="s">
        <v>5</v>
      </c>
      <c r="C153" s="137" t="s">
        <v>478</v>
      </c>
      <c r="D153" s="137" t="s">
        <v>881</v>
      </c>
      <c r="E153" s="137"/>
      <c r="F153" s="472">
        <v>10000</v>
      </c>
      <c r="G153" s="470">
        <v>10000</v>
      </c>
      <c r="H153" s="320">
        <f t="shared" si="5"/>
        <v>100</v>
      </c>
      <c r="I153" s="149" t="str">
        <f t="shared" si="4"/>
        <v>04120810080020</v>
      </c>
    </row>
    <row r="154" spans="1:9" ht="38.25">
      <c r="A154" s="53" t="s">
        <v>445</v>
      </c>
      <c r="B154" s="137" t="s">
        <v>5</v>
      </c>
      <c r="C154" s="137" t="s">
        <v>478</v>
      </c>
      <c r="D154" s="137" t="s">
        <v>881</v>
      </c>
      <c r="E154" s="137" t="s">
        <v>446</v>
      </c>
      <c r="F154" s="472">
        <v>10000</v>
      </c>
      <c r="G154" s="470">
        <v>10000</v>
      </c>
      <c r="H154" s="320">
        <f t="shared" si="5"/>
        <v>100</v>
      </c>
      <c r="I154" s="149" t="str">
        <f t="shared" si="4"/>
        <v>04120810080020244</v>
      </c>
    </row>
    <row r="155" spans="1:9" ht="140.25">
      <c r="A155" s="53" t="s">
        <v>1949</v>
      </c>
      <c r="B155" s="137" t="s">
        <v>5</v>
      </c>
      <c r="C155" s="137" t="s">
        <v>478</v>
      </c>
      <c r="D155" s="137" t="s">
        <v>1950</v>
      </c>
      <c r="E155" s="137"/>
      <c r="F155" s="472">
        <v>78947.37</v>
      </c>
      <c r="G155" s="470">
        <v>78947.37</v>
      </c>
      <c r="H155" s="320">
        <f t="shared" si="5"/>
        <v>100</v>
      </c>
      <c r="I155" s="149" t="str">
        <f t="shared" si="4"/>
        <v>041208100S6070</v>
      </c>
    </row>
    <row r="156" spans="1:9" ht="63.75">
      <c r="A156" s="53" t="s">
        <v>1740</v>
      </c>
      <c r="B156" s="137" t="s">
        <v>5</v>
      </c>
      <c r="C156" s="137" t="s">
        <v>478</v>
      </c>
      <c r="D156" s="137" t="s">
        <v>1950</v>
      </c>
      <c r="E156" s="137" t="s">
        <v>1741</v>
      </c>
      <c r="F156" s="472">
        <v>78947.37</v>
      </c>
      <c r="G156" s="470">
        <v>78947.37</v>
      </c>
      <c r="H156" s="320">
        <f t="shared" si="5"/>
        <v>100</v>
      </c>
      <c r="I156" s="149" t="str">
        <f t="shared" si="4"/>
        <v>041208100S6070814</v>
      </c>
    </row>
    <row r="157" spans="1:9" ht="127.5">
      <c r="A157" s="53" t="s">
        <v>630</v>
      </c>
      <c r="B157" s="137" t="s">
        <v>5</v>
      </c>
      <c r="C157" s="137" t="s">
        <v>478</v>
      </c>
      <c r="D157" s="137" t="s">
        <v>884</v>
      </c>
      <c r="E157" s="137"/>
      <c r="F157" s="472">
        <v>3000</v>
      </c>
      <c r="G157" s="470">
        <v>3000</v>
      </c>
      <c r="H157" s="320">
        <f t="shared" si="5"/>
        <v>100</v>
      </c>
      <c r="I157" s="149" t="str">
        <f t="shared" si="4"/>
        <v>04120830080030</v>
      </c>
    </row>
    <row r="158" spans="1:9" ht="38.25">
      <c r="A158" s="53" t="s">
        <v>445</v>
      </c>
      <c r="B158" s="137" t="s">
        <v>5</v>
      </c>
      <c r="C158" s="137" t="s">
        <v>478</v>
      </c>
      <c r="D158" s="137" t="s">
        <v>884</v>
      </c>
      <c r="E158" s="137" t="s">
        <v>446</v>
      </c>
      <c r="F158" s="472">
        <v>3000</v>
      </c>
      <c r="G158" s="470">
        <v>3000</v>
      </c>
      <c r="H158" s="320">
        <f t="shared" si="5"/>
        <v>100</v>
      </c>
      <c r="I158" s="149" t="str">
        <f t="shared" si="4"/>
        <v>04120830080030244</v>
      </c>
    </row>
    <row r="159" spans="1:9" ht="114.75">
      <c r="A159" s="53" t="s">
        <v>480</v>
      </c>
      <c r="B159" s="137" t="s">
        <v>5</v>
      </c>
      <c r="C159" s="137" t="s">
        <v>478</v>
      </c>
      <c r="D159" s="137" t="s">
        <v>885</v>
      </c>
      <c r="E159" s="137"/>
      <c r="F159" s="472">
        <v>617800</v>
      </c>
      <c r="G159" s="470">
        <v>617800</v>
      </c>
      <c r="H159" s="320">
        <f t="shared" si="5"/>
        <v>100</v>
      </c>
      <c r="I159" s="149" t="str">
        <f t="shared" si="4"/>
        <v>04121220075180</v>
      </c>
    </row>
    <row r="160" spans="1:9" ht="38.25">
      <c r="A160" s="53" t="s">
        <v>445</v>
      </c>
      <c r="B160" s="137" t="s">
        <v>5</v>
      </c>
      <c r="C160" s="137" t="s">
        <v>478</v>
      </c>
      <c r="D160" s="137" t="s">
        <v>885</v>
      </c>
      <c r="E160" s="137" t="s">
        <v>446</v>
      </c>
      <c r="F160" s="472">
        <v>617800</v>
      </c>
      <c r="G160" s="470">
        <v>617800</v>
      </c>
      <c r="H160" s="320">
        <f t="shared" si="5"/>
        <v>100</v>
      </c>
      <c r="I160" s="149" t="str">
        <f t="shared" si="4"/>
        <v>04121220075180244</v>
      </c>
    </row>
    <row r="161" spans="1:9">
      <c r="A161" s="53" t="s">
        <v>287</v>
      </c>
      <c r="B161" s="137" t="s">
        <v>5</v>
      </c>
      <c r="C161" s="137" t="s">
        <v>1607</v>
      </c>
      <c r="D161" s="137"/>
      <c r="E161" s="137"/>
      <c r="F161" s="472">
        <v>210794201</v>
      </c>
      <c r="G161" s="470">
        <v>207524622.28</v>
      </c>
      <c r="H161" s="320">
        <f t="shared" si="5"/>
        <v>98.448923782300824</v>
      </c>
      <c r="I161" s="149" t="str">
        <f t="shared" si="4"/>
        <v>0500</v>
      </c>
    </row>
    <row r="162" spans="1:9" ht="14.25" customHeight="1">
      <c r="A162" s="53" t="s">
        <v>181</v>
      </c>
      <c r="B162" s="137" t="s">
        <v>5</v>
      </c>
      <c r="C162" s="137" t="s">
        <v>482</v>
      </c>
      <c r="D162" s="137"/>
      <c r="E162" s="137"/>
      <c r="F162" s="472">
        <v>210194201</v>
      </c>
      <c r="G162" s="470">
        <v>206924622.28</v>
      </c>
      <c r="H162" s="320">
        <f t="shared" si="5"/>
        <v>98.444496230416931</v>
      </c>
      <c r="I162" s="149" t="str">
        <f t="shared" si="4"/>
        <v>0502</v>
      </c>
    </row>
    <row r="163" spans="1:9" ht="191.25">
      <c r="A163" s="53" t="s">
        <v>1977</v>
      </c>
      <c r="B163" s="137" t="s">
        <v>5</v>
      </c>
      <c r="C163" s="137" t="s">
        <v>482</v>
      </c>
      <c r="D163" s="137" t="s">
        <v>1978</v>
      </c>
      <c r="E163" s="137"/>
      <c r="F163" s="472">
        <v>5756900</v>
      </c>
      <c r="G163" s="470">
        <v>5399994.2800000003</v>
      </c>
      <c r="H163" s="320">
        <f t="shared" si="5"/>
        <v>93.800383539752303</v>
      </c>
      <c r="I163" s="149" t="str">
        <f t="shared" si="4"/>
        <v>05020320074640</v>
      </c>
    </row>
    <row r="164" spans="1:9" ht="63.75">
      <c r="A164" s="53" t="s">
        <v>1740</v>
      </c>
      <c r="B164" s="137" t="s">
        <v>5</v>
      </c>
      <c r="C164" s="137" t="s">
        <v>482</v>
      </c>
      <c r="D164" s="137" t="s">
        <v>1978</v>
      </c>
      <c r="E164" s="137" t="s">
        <v>1741</v>
      </c>
      <c r="F164" s="472">
        <v>5756900</v>
      </c>
      <c r="G164" s="470">
        <v>5399994.2800000003</v>
      </c>
      <c r="H164" s="320">
        <f t="shared" si="5"/>
        <v>93.800383539752303</v>
      </c>
      <c r="I164" s="149" t="str">
        <f t="shared" si="4"/>
        <v>05020320074640814</v>
      </c>
    </row>
    <row r="165" spans="1:9" ht="127.5">
      <c r="A165" s="53" t="s">
        <v>1742</v>
      </c>
      <c r="B165" s="137" t="s">
        <v>5</v>
      </c>
      <c r="C165" s="137" t="s">
        <v>482</v>
      </c>
      <c r="D165" s="137" t="s">
        <v>888</v>
      </c>
      <c r="E165" s="137"/>
      <c r="F165" s="472">
        <v>188670001</v>
      </c>
      <c r="G165" s="470">
        <v>185863528</v>
      </c>
      <c r="H165" s="320">
        <f t="shared" si="5"/>
        <v>98.512496430208856</v>
      </c>
      <c r="I165" s="149" t="str">
        <f t="shared" si="4"/>
        <v>05020320075700</v>
      </c>
    </row>
    <row r="166" spans="1:9" ht="63.75">
      <c r="A166" s="53" t="s">
        <v>1740</v>
      </c>
      <c r="B166" s="137" t="s">
        <v>5</v>
      </c>
      <c r="C166" s="137" t="s">
        <v>482</v>
      </c>
      <c r="D166" s="137" t="s">
        <v>888</v>
      </c>
      <c r="E166" s="137" t="s">
        <v>1741</v>
      </c>
      <c r="F166" s="472">
        <v>188670001</v>
      </c>
      <c r="G166" s="470">
        <v>185863528</v>
      </c>
      <c r="H166" s="320">
        <f t="shared" si="5"/>
        <v>98.512496430208856</v>
      </c>
      <c r="I166" s="149" t="str">
        <f t="shared" si="4"/>
        <v>05020320075700814</v>
      </c>
    </row>
    <row r="167" spans="1:9" ht="76.5" customHeight="1">
      <c r="A167" s="53" t="s">
        <v>1743</v>
      </c>
      <c r="B167" s="137" t="s">
        <v>5</v>
      </c>
      <c r="C167" s="137" t="s">
        <v>482</v>
      </c>
      <c r="D167" s="137" t="s">
        <v>887</v>
      </c>
      <c r="E167" s="137"/>
      <c r="F167" s="472">
        <v>15624400</v>
      </c>
      <c r="G167" s="470">
        <v>15556100</v>
      </c>
      <c r="H167" s="320">
        <f t="shared" si="5"/>
        <v>99.562863213947423</v>
      </c>
      <c r="I167" s="149" t="str">
        <f t="shared" si="4"/>
        <v>05020320075770</v>
      </c>
    </row>
    <row r="168" spans="1:9" ht="63.75">
      <c r="A168" s="53" t="s">
        <v>1740</v>
      </c>
      <c r="B168" s="137" t="s">
        <v>5</v>
      </c>
      <c r="C168" s="137" t="s">
        <v>482</v>
      </c>
      <c r="D168" s="137" t="s">
        <v>887</v>
      </c>
      <c r="E168" s="137" t="s">
        <v>1741</v>
      </c>
      <c r="F168" s="472">
        <v>15624400</v>
      </c>
      <c r="G168" s="470">
        <v>15556100</v>
      </c>
      <c r="H168" s="320">
        <f t="shared" si="5"/>
        <v>99.562863213947423</v>
      </c>
      <c r="I168" s="149" t="str">
        <f t="shared" si="4"/>
        <v>05020320075770814</v>
      </c>
    </row>
    <row r="169" spans="1:9" ht="204">
      <c r="A169" s="53" t="s">
        <v>2006</v>
      </c>
      <c r="B169" s="137" t="s">
        <v>5</v>
      </c>
      <c r="C169" s="137" t="s">
        <v>482</v>
      </c>
      <c r="D169" s="137" t="s">
        <v>2007</v>
      </c>
      <c r="E169" s="137"/>
      <c r="F169" s="472">
        <v>6000</v>
      </c>
      <c r="G169" s="470">
        <v>6000</v>
      </c>
      <c r="H169" s="320">
        <f t="shared" si="5"/>
        <v>100</v>
      </c>
      <c r="I169" s="149" t="str">
        <f t="shared" si="4"/>
        <v>050203200S4640</v>
      </c>
    </row>
    <row r="170" spans="1:9" ht="63.75">
      <c r="A170" s="53" t="s">
        <v>1740</v>
      </c>
      <c r="B170" s="137" t="s">
        <v>5</v>
      </c>
      <c r="C170" s="137" t="s">
        <v>482</v>
      </c>
      <c r="D170" s="137" t="s">
        <v>2007</v>
      </c>
      <c r="E170" s="137" t="s">
        <v>1741</v>
      </c>
      <c r="F170" s="472">
        <v>6000</v>
      </c>
      <c r="G170" s="470">
        <v>6000</v>
      </c>
      <c r="H170" s="320">
        <f t="shared" si="5"/>
        <v>100</v>
      </c>
      <c r="I170" s="149" t="str">
        <f t="shared" si="4"/>
        <v>050203200S4640814</v>
      </c>
    </row>
    <row r="171" spans="1:9" ht="102">
      <c r="A171" s="53" t="s">
        <v>505</v>
      </c>
      <c r="B171" s="137" t="s">
        <v>5</v>
      </c>
      <c r="C171" s="137" t="s">
        <v>482</v>
      </c>
      <c r="D171" s="137" t="s">
        <v>902</v>
      </c>
      <c r="E171" s="137"/>
      <c r="F171" s="472">
        <v>99000</v>
      </c>
      <c r="G171" s="470">
        <v>99000</v>
      </c>
      <c r="H171" s="320">
        <f t="shared" si="5"/>
        <v>100</v>
      </c>
      <c r="I171" s="149" t="str">
        <f t="shared" si="4"/>
        <v>05020350080000</v>
      </c>
    </row>
    <row r="172" spans="1:9" ht="38.25">
      <c r="A172" s="53" t="s">
        <v>445</v>
      </c>
      <c r="B172" s="137" t="s">
        <v>5</v>
      </c>
      <c r="C172" s="137" t="s">
        <v>482</v>
      </c>
      <c r="D172" s="137" t="s">
        <v>902</v>
      </c>
      <c r="E172" s="137" t="s">
        <v>446</v>
      </c>
      <c r="F172" s="472">
        <v>99000</v>
      </c>
      <c r="G172" s="470">
        <v>99000</v>
      </c>
      <c r="H172" s="320">
        <f t="shared" si="5"/>
        <v>100</v>
      </c>
      <c r="I172" s="149" t="str">
        <f t="shared" si="4"/>
        <v>05020350080000244</v>
      </c>
    </row>
    <row r="173" spans="1:9" ht="51">
      <c r="A173" s="53" t="s">
        <v>889</v>
      </c>
      <c r="B173" s="137" t="s">
        <v>5</v>
      </c>
      <c r="C173" s="137" t="s">
        <v>482</v>
      </c>
      <c r="D173" s="137" t="s">
        <v>890</v>
      </c>
      <c r="E173" s="137"/>
      <c r="F173" s="472">
        <v>37900</v>
      </c>
      <c r="G173" s="470">
        <v>0</v>
      </c>
      <c r="H173" s="320">
        <f t="shared" si="5"/>
        <v>0</v>
      </c>
      <c r="I173" s="149" t="str">
        <f t="shared" si="4"/>
        <v>050290900Ш0000</v>
      </c>
    </row>
    <row r="174" spans="1:9" ht="38.25">
      <c r="A174" s="53" t="s">
        <v>445</v>
      </c>
      <c r="B174" s="137" t="s">
        <v>5</v>
      </c>
      <c r="C174" s="137" t="s">
        <v>482</v>
      </c>
      <c r="D174" s="137" t="s">
        <v>890</v>
      </c>
      <c r="E174" s="137" t="s">
        <v>446</v>
      </c>
      <c r="F174" s="472">
        <v>37900</v>
      </c>
      <c r="G174" s="470">
        <v>0</v>
      </c>
      <c r="H174" s="320">
        <f t="shared" si="5"/>
        <v>0</v>
      </c>
      <c r="I174" s="149" t="str">
        <f t="shared" si="4"/>
        <v>050290900Ш0000244</v>
      </c>
    </row>
    <row r="175" spans="1:9">
      <c r="A175" s="53" t="s">
        <v>45</v>
      </c>
      <c r="B175" s="137" t="s">
        <v>5</v>
      </c>
      <c r="C175" s="137" t="s">
        <v>506</v>
      </c>
      <c r="D175" s="137"/>
      <c r="E175" s="137"/>
      <c r="F175" s="472">
        <v>600000</v>
      </c>
      <c r="G175" s="470">
        <v>600000</v>
      </c>
      <c r="H175" s="320">
        <f t="shared" si="5"/>
        <v>100</v>
      </c>
      <c r="I175" s="149" t="str">
        <f t="shared" si="4"/>
        <v>0503</v>
      </c>
    </row>
    <row r="176" spans="1:9" ht="89.25">
      <c r="A176" s="53" t="s">
        <v>1158</v>
      </c>
      <c r="B176" s="137" t="s">
        <v>5</v>
      </c>
      <c r="C176" s="137" t="s">
        <v>506</v>
      </c>
      <c r="D176" s="137" t="s">
        <v>1014</v>
      </c>
      <c r="E176" s="137"/>
      <c r="F176" s="472">
        <v>600000</v>
      </c>
      <c r="G176" s="470">
        <v>600000</v>
      </c>
      <c r="H176" s="320">
        <f t="shared" si="5"/>
        <v>100</v>
      </c>
      <c r="I176" s="149" t="str">
        <f t="shared" si="4"/>
        <v>05030360080000</v>
      </c>
    </row>
    <row r="177" spans="1:9" ht="38.25">
      <c r="A177" s="53" t="s">
        <v>445</v>
      </c>
      <c r="B177" s="137" t="s">
        <v>5</v>
      </c>
      <c r="C177" s="137" t="s">
        <v>506</v>
      </c>
      <c r="D177" s="137" t="s">
        <v>1014</v>
      </c>
      <c r="E177" s="137" t="s">
        <v>446</v>
      </c>
      <c r="F177" s="472">
        <v>600000</v>
      </c>
      <c r="G177" s="470">
        <v>600000</v>
      </c>
      <c r="H177" s="320">
        <f t="shared" si="5"/>
        <v>100</v>
      </c>
      <c r="I177" s="149" t="str">
        <f t="shared" si="4"/>
        <v>05030360080000244</v>
      </c>
    </row>
    <row r="178" spans="1:9">
      <c r="A178" s="53" t="s">
        <v>173</v>
      </c>
      <c r="B178" s="137" t="s">
        <v>5</v>
      </c>
      <c r="C178" s="137" t="s">
        <v>1608</v>
      </c>
      <c r="D178" s="137"/>
      <c r="E178" s="137"/>
      <c r="F178" s="472">
        <v>8266963</v>
      </c>
      <c r="G178" s="470">
        <v>8179139.5</v>
      </c>
      <c r="H178" s="320">
        <f t="shared" si="5"/>
        <v>98.937657033181353</v>
      </c>
      <c r="I178" s="149" t="str">
        <f t="shared" si="4"/>
        <v>0700</v>
      </c>
    </row>
    <row r="179" spans="1:9">
      <c r="A179" s="53" t="s">
        <v>1440</v>
      </c>
      <c r="B179" s="137" t="s">
        <v>5</v>
      </c>
      <c r="C179" s="137" t="s">
        <v>483</v>
      </c>
      <c r="D179" s="137"/>
      <c r="E179" s="137"/>
      <c r="F179" s="472">
        <v>8266963</v>
      </c>
      <c r="G179" s="470">
        <v>8179139.5</v>
      </c>
      <c r="H179" s="320">
        <f t="shared" si="5"/>
        <v>98.937657033181353</v>
      </c>
      <c r="I179" s="149" t="str">
        <f t="shared" si="4"/>
        <v>0707</v>
      </c>
    </row>
    <row r="180" spans="1:9" ht="63.75">
      <c r="A180" s="53" t="s">
        <v>1171</v>
      </c>
      <c r="B180" s="137" t="s">
        <v>5</v>
      </c>
      <c r="C180" s="137" t="s">
        <v>483</v>
      </c>
      <c r="D180" s="137" t="s">
        <v>1172</v>
      </c>
      <c r="E180" s="137"/>
      <c r="F180" s="472">
        <v>164160</v>
      </c>
      <c r="G180" s="470">
        <v>160110</v>
      </c>
      <c r="H180" s="320">
        <f t="shared" si="5"/>
        <v>97.532894736842096</v>
      </c>
      <c r="I180" s="149" t="str">
        <f t="shared" si="4"/>
        <v>07070610080000</v>
      </c>
    </row>
    <row r="181" spans="1:9" ht="25.5">
      <c r="A181" s="53" t="s">
        <v>484</v>
      </c>
      <c r="B181" s="137" t="s">
        <v>5</v>
      </c>
      <c r="C181" s="137" t="s">
        <v>483</v>
      </c>
      <c r="D181" s="137" t="s">
        <v>1172</v>
      </c>
      <c r="E181" s="137" t="s">
        <v>485</v>
      </c>
      <c r="F181" s="472">
        <v>164160</v>
      </c>
      <c r="G181" s="470">
        <v>160110</v>
      </c>
      <c r="H181" s="320">
        <f t="shared" si="5"/>
        <v>97.532894736842096</v>
      </c>
      <c r="I181" s="149" t="str">
        <f t="shared" si="4"/>
        <v>07070610080000612</v>
      </c>
    </row>
    <row r="182" spans="1:9" ht="89.25">
      <c r="A182" s="53" t="s">
        <v>486</v>
      </c>
      <c r="B182" s="137" t="s">
        <v>5</v>
      </c>
      <c r="C182" s="137" t="s">
        <v>483</v>
      </c>
      <c r="D182" s="137" t="s">
        <v>891</v>
      </c>
      <c r="E182" s="137"/>
      <c r="F182" s="472">
        <v>300000</v>
      </c>
      <c r="G182" s="470">
        <v>300000</v>
      </c>
      <c r="H182" s="320">
        <f t="shared" si="5"/>
        <v>100</v>
      </c>
      <c r="I182" s="149" t="str">
        <f t="shared" si="4"/>
        <v>070706100S4560</v>
      </c>
    </row>
    <row r="183" spans="1:9" ht="25.5">
      <c r="A183" s="53" t="s">
        <v>484</v>
      </c>
      <c r="B183" s="137" t="s">
        <v>5</v>
      </c>
      <c r="C183" s="137" t="s">
        <v>483</v>
      </c>
      <c r="D183" s="137" t="s">
        <v>891</v>
      </c>
      <c r="E183" s="137" t="s">
        <v>485</v>
      </c>
      <c r="F183" s="472">
        <v>300000</v>
      </c>
      <c r="G183" s="470">
        <v>300000</v>
      </c>
      <c r="H183" s="320">
        <f t="shared" si="5"/>
        <v>100</v>
      </c>
      <c r="I183" s="149" t="str">
        <f t="shared" si="4"/>
        <v>070706100S4560612</v>
      </c>
    </row>
    <row r="184" spans="1:9" ht="89.25">
      <c r="A184" s="53" t="s">
        <v>1885</v>
      </c>
      <c r="B184" s="137" t="s">
        <v>5</v>
      </c>
      <c r="C184" s="137" t="s">
        <v>483</v>
      </c>
      <c r="D184" s="137" t="s">
        <v>1886</v>
      </c>
      <c r="E184" s="137"/>
      <c r="F184" s="472">
        <v>97297</v>
      </c>
      <c r="G184" s="470">
        <v>97297</v>
      </c>
      <c r="H184" s="320">
        <f t="shared" si="5"/>
        <v>100</v>
      </c>
      <c r="I184" s="149" t="str">
        <f t="shared" si="4"/>
        <v>07070620074540</v>
      </c>
    </row>
    <row r="185" spans="1:9" ht="81" customHeight="1">
      <c r="A185" s="229" t="s">
        <v>484</v>
      </c>
      <c r="B185" s="137" t="s">
        <v>5</v>
      </c>
      <c r="C185" s="137" t="s">
        <v>483</v>
      </c>
      <c r="D185" s="137" t="s">
        <v>1886</v>
      </c>
      <c r="E185" s="137" t="s">
        <v>485</v>
      </c>
      <c r="F185" s="472">
        <v>97297</v>
      </c>
      <c r="G185" s="470">
        <v>97297</v>
      </c>
      <c r="H185" s="320">
        <f t="shared" si="5"/>
        <v>100</v>
      </c>
      <c r="I185" s="149" t="str">
        <f t="shared" si="4"/>
        <v>07070620074540612</v>
      </c>
    </row>
    <row r="186" spans="1:9" ht="63.75">
      <c r="A186" s="53" t="s">
        <v>487</v>
      </c>
      <c r="B186" s="137" t="s">
        <v>5</v>
      </c>
      <c r="C186" s="137" t="s">
        <v>483</v>
      </c>
      <c r="D186" s="137" t="s">
        <v>892</v>
      </c>
      <c r="E186" s="137"/>
      <c r="F186" s="472">
        <v>430000</v>
      </c>
      <c r="G186" s="470">
        <v>430000</v>
      </c>
      <c r="H186" s="320">
        <f t="shared" si="5"/>
        <v>100</v>
      </c>
      <c r="I186" s="149" t="str">
        <f t="shared" si="4"/>
        <v>07070620080000</v>
      </c>
    </row>
    <row r="187" spans="1:9" ht="25.5">
      <c r="A187" s="53" t="s">
        <v>484</v>
      </c>
      <c r="B187" s="137" t="s">
        <v>5</v>
      </c>
      <c r="C187" s="137" t="s">
        <v>483</v>
      </c>
      <c r="D187" s="137" t="s">
        <v>892</v>
      </c>
      <c r="E187" s="137" t="s">
        <v>485</v>
      </c>
      <c r="F187" s="472">
        <v>430000</v>
      </c>
      <c r="G187" s="470">
        <v>430000</v>
      </c>
      <c r="H187" s="320">
        <f t="shared" si="5"/>
        <v>100</v>
      </c>
      <c r="I187" s="149" t="str">
        <f t="shared" si="4"/>
        <v>07070620080000612</v>
      </c>
    </row>
    <row r="188" spans="1:9" ht="102">
      <c r="A188" s="53" t="s">
        <v>1887</v>
      </c>
      <c r="B188" s="137" t="s">
        <v>5</v>
      </c>
      <c r="C188" s="137" t="s">
        <v>483</v>
      </c>
      <c r="D188" s="137" t="s">
        <v>1888</v>
      </c>
      <c r="E188" s="137"/>
      <c r="F188" s="472">
        <v>10000</v>
      </c>
      <c r="G188" s="470">
        <v>10000</v>
      </c>
      <c r="H188" s="320">
        <f t="shared" si="5"/>
        <v>100</v>
      </c>
      <c r="I188" s="149" t="str">
        <f t="shared" si="4"/>
        <v>070706200S4540</v>
      </c>
    </row>
    <row r="189" spans="1:9" ht="25.5">
      <c r="A189" s="53" t="s">
        <v>484</v>
      </c>
      <c r="B189" s="137" t="s">
        <v>5</v>
      </c>
      <c r="C189" s="137" t="s">
        <v>483</v>
      </c>
      <c r="D189" s="137" t="s">
        <v>1888</v>
      </c>
      <c r="E189" s="137" t="s">
        <v>485</v>
      </c>
      <c r="F189" s="472">
        <v>10000</v>
      </c>
      <c r="G189" s="470">
        <v>10000</v>
      </c>
      <c r="H189" s="320">
        <f t="shared" si="5"/>
        <v>100</v>
      </c>
      <c r="I189" s="149" t="str">
        <f t="shared" si="4"/>
        <v>070706200S4540612</v>
      </c>
    </row>
    <row r="190" spans="1:9" ht="89.25">
      <c r="A190" s="53" t="s">
        <v>1744</v>
      </c>
      <c r="B190" s="137" t="s">
        <v>5</v>
      </c>
      <c r="C190" s="137" t="s">
        <v>483</v>
      </c>
      <c r="D190" s="137" t="s">
        <v>1745</v>
      </c>
      <c r="E190" s="137"/>
      <c r="F190" s="472">
        <v>675300</v>
      </c>
      <c r="G190" s="470">
        <v>675300</v>
      </c>
      <c r="H190" s="320">
        <f t="shared" si="5"/>
        <v>100</v>
      </c>
      <c r="I190" s="149" t="str">
        <f t="shared" si="4"/>
        <v>07070640010430</v>
      </c>
    </row>
    <row r="191" spans="1:9" ht="63.75">
      <c r="A191" s="53" t="s">
        <v>465</v>
      </c>
      <c r="B191" s="137" t="s">
        <v>5</v>
      </c>
      <c r="C191" s="137" t="s">
        <v>483</v>
      </c>
      <c r="D191" s="137" t="s">
        <v>1745</v>
      </c>
      <c r="E191" s="137" t="s">
        <v>466</v>
      </c>
      <c r="F191" s="472">
        <v>675300</v>
      </c>
      <c r="G191" s="470">
        <v>675300</v>
      </c>
      <c r="H191" s="320">
        <f t="shared" si="5"/>
        <v>100</v>
      </c>
      <c r="I191" s="149" t="str">
        <f t="shared" si="4"/>
        <v>07070640010430611</v>
      </c>
    </row>
    <row r="192" spans="1:9" ht="114.75">
      <c r="A192" s="53" t="s">
        <v>489</v>
      </c>
      <c r="B192" s="137" t="s">
        <v>5</v>
      </c>
      <c r="C192" s="137" t="s">
        <v>483</v>
      </c>
      <c r="D192" s="137" t="s">
        <v>894</v>
      </c>
      <c r="E192" s="137"/>
      <c r="F192" s="472">
        <v>4917400</v>
      </c>
      <c r="G192" s="470">
        <v>4917400</v>
      </c>
      <c r="H192" s="320">
        <f t="shared" si="5"/>
        <v>100</v>
      </c>
      <c r="I192" s="149" t="str">
        <f t="shared" ref="I192:I246" si="6">CONCATENATE(C192,D192,E192)</f>
        <v>07070640040000</v>
      </c>
    </row>
    <row r="193" spans="1:9" ht="63.75">
      <c r="A193" s="53" t="s">
        <v>465</v>
      </c>
      <c r="B193" s="137" t="s">
        <v>5</v>
      </c>
      <c r="C193" s="137" t="s">
        <v>483</v>
      </c>
      <c r="D193" s="137" t="s">
        <v>894</v>
      </c>
      <c r="E193" s="137" t="s">
        <v>466</v>
      </c>
      <c r="F193" s="472">
        <v>4917400</v>
      </c>
      <c r="G193" s="470">
        <v>4917400</v>
      </c>
      <c r="H193" s="320">
        <f t="shared" si="5"/>
        <v>100</v>
      </c>
      <c r="I193" s="149" t="str">
        <f t="shared" si="6"/>
        <v>07070640040000611</v>
      </c>
    </row>
    <row r="194" spans="1:9" ht="153">
      <c r="A194" s="53" t="s">
        <v>490</v>
      </c>
      <c r="B194" s="137" t="s">
        <v>5</v>
      </c>
      <c r="C194" s="137" t="s">
        <v>483</v>
      </c>
      <c r="D194" s="137" t="s">
        <v>895</v>
      </c>
      <c r="E194" s="137"/>
      <c r="F194" s="472">
        <v>828106</v>
      </c>
      <c r="G194" s="470">
        <v>828106</v>
      </c>
      <c r="H194" s="320">
        <f t="shared" si="5"/>
        <v>100</v>
      </c>
      <c r="I194" s="149" t="str">
        <f t="shared" si="6"/>
        <v>07070640041000</v>
      </c>
    </row>
    <row r="195" spans="1:9" ht="63.75">
      <c r="A195" s="53" t="s">
        <v>465</v>
      </c>
      <c r="B195" s="137" t="s">
        <v>5</v>
      </c>
      <c r="C195" s="137" t="s">
        <v>483</v>
      </c>
      <c r="D195" s="137" t="s">
        <v>895</v>
      </c>
      <c r="E195" s="137" t="s">
        <v>466</v>
      </c>
      <c r="F195" s="472">
        <v>828106</v>
      </c>
      <c r="G195" s="470">
        <v>828106</v>
      </c>
      <c r="H195" s="320">
        <f t="shared" si="5"/>
        <v>100</v>
      </c>
      <c r="I195" s="149" t="str">
        <f t="shared" si="6"/>
        <v>07070640041000611</v>
      </c>
    </row>
    <row r="196" spans="1:9" ht="114.75">
      <c r="A196" s="53" t="s">
        <v>1118</v>
      </c>
      <c r="B196" s="137" t="s">
        <v>5</v>
      </c>
      <c r="C196" s="137" t="s">
        <v>483</v>
      </c>
      <c r="D196" s="137" t="s">
        <v>1117</v>
      </c>
      <c r="E196" s="137"/>
      <c r="F196" s="472">
        <v>50000</v>
      </c>
      <c r="G196" s="470">
        <v>7242.7</v>
      </c>
      <c r="H196" s="320">
        <f t="shared" si="5"/>
        <v>14.485399999999998</v>
      </c>
      <c r="I196" s="149" t="str">
        <f t="shared" si="6"/>
        <v>07070640047000</v>
      </c>
    </row>
    <row r="197" spans="1:9" ht="25.5">
      <c r="A197" s="53" t="s">
        <v>484</v>
      </c>
      <c r="B197" s="137" t="s">
        <v>5</v>
      </c>
      <c r="C197" s="137" t="s">
        <v>483</v>
      </c>
      <c r="D197" s="137" t="s">
        <v>1117</v>
      </c>
      <c r="E197" s="137" t="s">
        <v>485</v>
      </c>
      <c r="F197" s="472">
        <v>50000</v>
      </c>
      <c r="G197" s="470">
        <v>7242.7</v>
      </c>
      <c r="H197" s="320">
        <f t="shared" si="5"/>
        <v>14.485399999999998</v>
      </c>
      <c r="I197" s="149" t="str">
        <f t="shared" si="6"/>
        <v>07070640047000612</v>
      </c>
    </row>
    <row r="198" spans="1:9" ht="76.5">
      <c r="A198" s="53" t="s">
        <v>488</v>
      </c>
      <c r="B198" s="137" t="s">
        <v>5</v>
      </c>
      <c r="C198" s="137" t="s">
        <v>483</v>
      </c>
      <c r="D198" s="137" t="s">
        <v>893</v>
      </c>
      <c r="E198" s="137"/>
      <c r="F198" s="472">
        <v>794700</v>
      </c>
      <c r="G198" s="470">
        <v>753683.8</v>
      </c>
      <c r="H198" s="320">
        <f t="shared" si="5"/>
        <v>94.838781930288164</v>
      </c>
      <c r="I198" s="149" t="str">
        <f t="shared" si="6"/>
        <v>07070640074560</v>
      </c>
    </row>
    <row r="199" spans="1:9" ht="25.5">
      <c r="A199" s="53" t="s">
        <v>484</v>
      </c>
      <c r="B199" s="137" t="s">
        <v>5</v>
      </c>
      <c r="C199" s="137" t="s">
        <v>483</v>
      </c>
      <c r="D199" s="137" t="s">
        <v>893</v>
      </c>
      <c r="E199" s="137" t="s">
        <v>485</v>
      </c>
      <c r="F199" s="472">
        <v>794700</v>
      </c>
      <c r="G199" s="470">
        <v>753683.8</v>
      </c>
      <c r="H199" s="320">
        <f t="shared" ref="H199:H262" si="7">G199/F199*100</f>
        <v>94.838781930288164</v>
      </c>
      <c r="I199" s="149" t="str">
        <f t="shared" si="6"/>
        <v>07070640074560612</v>
      </c>
    </row>
    <row r="200" spans="1:9">
      <c r="A200" s="53" t="s">
        <v>174</v>
      </c>
      <c r="B200" s="137" t="s">
        <v>5</v>
      </c>
      <c r="C200" s="137" t="s">
        <v>1609</v>
      </c>
      <c r="D200" s="137"/>
      <c r="E200" s="137"/>
      <c r="F200" s="472">
        <v>1105309.67</v>
      </c>
      <c r="G200" s="470">
        <v>1105309.67</v>
      </c>
      <c r="H200" s="320">
        <f t="shared" si="7"/>
        <v>100</v>
      </c>
      <c r="I200" s="149" t="str">
        <f t="shared" si="6"/>
        <v>1000</v>
      </c>
    </row>
    <row r="201" spans="1:9">
      <c r="A201" s="53" t="s">
        <v>125</v>
      </c>
      <c r="B201" s="137" t="s">
        <v>5</v>
      </c>
      <c r="C201" s="137" t="s">
        <v>493</v>
      </c>
      <c r="D201" s="137"/>
      <c r="E201" s="137"/>
      <c r="F201" s="472">
        <v>1105309.67</v>
      </c>
      <c r="G201" s="470">
        <v>1105309.67</v>
      </c>
      <c r="H201" s="320">
        <f t="shared" si="7"/>
        <v>100</v>
      </c>
      <c r="I201" s="149" t="str">
        <f t="shared" si="6"/>
        <v>1001</v>
      </c>
    </row>
    <row r="202" spans="1:9" ht="114.75">
      <c r="A202" s="53" t="s">
        <v>632</v>
      </c>
      <c r="B202" s="137" t="s">
        <v>5</v>
      </c>
      <c r="C202" s="137" t="s">
        <v>493</v>
      </c>
      <c r="D202" s="137" t="s">
        <v>896</v>
      </c>
      <c r="E202" s="137"/>
      <c r="F202" s="472">
        <v>1105309.67</v>
      </c>
      <c r="G202" s="470">
        <v>1105309.67</v>
      </c>
      <c r="H202" s="320">
        <f t="shared" si="7"/>
        <v>100</v>
      </c>
      <c r="I202" s="149" t="str">
        <f t="shared" si="6"/>
        <v>10010210080010</v>
      </c>
    </row>
    <row r="203" spans="1:9">
      <c r="A203" s="53" t="s">
        <v>494</v>
      </c>
      <c r="B203" s="137" t="s">
        <v>5</v>
      </c>
      <c r="C203" s="137" t="s">
        <v>493</v>
      </c>
      <c r="D203" s="137" t="s">
        <v>896</v>
      </c>
      <c r="E203" s="137" t="s">
        <v>495</v>
      </c>
      <c r="F203" s="472">
        <v>1105309.67</v>
      </c>
      <c r="G203" s="470">
        <v>1105309.67</v>
      </c>
      <c r="H203" s="320">
        <f t="shared" si="7"/>
        <v>100</v>
      </c>
      <c r="I203" s="149" t="str">
        <f t="shared" si="6"/>
        <v>10010210080010312</v>
      </c>
    </row>
    <row r="204" spans="1:9">
      <c r="A204" s="53" t="s">
        <v>297</v>
      </c>
      <c r="B204" s="137" t="s">
        <v>5</v>
      </c>
      <c r="C204" s="137" t="s">
        <v>1610</v>
      </c>
      <c r="D204" s="137"/>
      <c r="E204" s="137"/>
      <c r="F204" s="472">
        <v>200000</v>
      </c>
      <c r="G204" s="470">
        <v>179898.2</v>
      </c>
      <c r="H204" s="320">
        <f t="shared" si="7"/>
        <v>89.949100000000001</v>
      </c>
      <c r="I204" s="149" t="str">
        <f t="shared" si="6"/>
        <v>1100</v>
      </c>
    </row>
    <row r="205" spans="1:9">
      <c r="A205" s="53" t="s">
        <v>258</v>
      </c>
      <c r="B205" s="137" t="s">
        <v>5</v>
      </c>
      <c r="C205" s="137" t="s">
        <v>499</v>
      </c>
      <c r="D205" s="137"/>
      <c r="E205" s="137"/>
      <c r="F205" s="472">
        <v>200000</v>
      </c>
      <c r="G205" s="470">
        <v>179898.2</v>
      </c>
      <c r="H205" s="320">
        <f t="shared" si="7"/>
        <v>89.949100000000001</v>
      </c>
      <c r="I205" s="149" t="str">
        <f t="shared" si="6"/>
        <v>1102</v>
      </c>
    </row>
    <row r="206" spans="1:9" ht="89.25">
      <c r="A206" s="53" t="s">
        <v>633</v>
      </c>
      <c r="B206" s="137" t="s">
        <v>5</v>
      </c>
      <c r="C206" s="137" t="s">
        <v>499</v>
      </c>
      <c r="D206" s="137" t="s">
        <v>899</v>
      </c>
      <c r="E206" s="137"/>
      <c r="F206" s="472">
        <v>16900</v>
      </c>
      <c r="G206" s="470">
        <v>16900</v>
      </c>
      <c r="H206" s="320">
        <f t="shared" si="7"/>
        <v>100</v>
      </c>
      <c r="I206" s="149" t="str">
        <f t="shared" si="6"/>
        <v>11020720080010</v>
      </c>
    </row>
    <row r="207" spans="1:9" ht="25.5">
      <c r="A207" s="53" t="s">
        <v>484</v>
      </c>
      <c r="B207" s="137" t="s">
        <v>5</v>
      </c>
      <c r="C207" s="137" t="s">
        <v>499</v>
      </c>
      <c r="D207" s="137" t="s">
        <v>899</v>
      </c>
      <c r="E207" s="137" t="s">
        <v>485</v>
      </c>
      <c r="F207" s="472">
        <v>16900</v>
      </c>
      <c r="G207" s="470">
        <v>16900</v>
      </c>
      <c r="H207" s="320">
        <f t="shared" si="7"/>
        <v>100</v>
      </c>
      <c r="I207" s="149" t="str">
        <f t="shared" si="6"/>
        <v>11020720080010612</v>
      </c>
    </row>
    <row r="208" spans="1:9" ht="76.5">
      <c r="A208" s="53" t="s">
        <v>502</v>
      </c>
      <c r="B208" s="137" t="s">
        <v>5</v>
      </c>
      <c r="C208" s="137" t="s">
        <v>499</v>
      </c>
      <c r="D208" s="137" t="s">
        <v>900</v>
      </c>
      <c r="E208" s="137"/>
      <c r="F208" s="472">
        <v>176400</v>
      </c>
      <c r="G208" s="470">
        <v>162998.20000000001</v>
      </c>
      <c r="H208" s="320">
        <f t="shared" si="7"/>
        <v>92.402607709750569</v>
      </c>
      <c r="I208" s="149" t="str">
        <f t="shared" si="6"/>
        <v>11020720080020</v>
      </c>
    </row>
    <row r="209" spans="1:9" ht="25.5">
      <c r="A209" s="53" t="s">
        <v>484</v>
      </c>
      <c r="B209" s="137" t="s">
        <v>5</v>
      </c>
      <c r="C209" s="137" t="s">
        <v>499</v>
      </c>
      <c r="D209" s="137" t="s">
        <v>900</v>
      </c>
      <c r="E209" s="137" t="s">
        <v>485</v>
      </c>
      <c r="F209" s="472">
        <v>176400</v>
      </c>
      <c r="G209" s="470">
        <v>162998.20000000001</v>
      </c>
      <c r="H209" s="320">
        <f t="shared" si="7"/>
        <v>92.402607709750569</v>
      </c>
      <c r="I209" s="149" t="str">
        <f t="shared" si="6"/>
        <v>11020720080020612</v>
      </c>
    </row>
    <row r="210" spans="1:9" ht="114.75">
      <c r="A210" s="53" t="s">
        <v>503</v>
      </c>
      <c r="B210" s="137" t="s">
        <v>5</v>
      </c>
      <c r="C210" s="137" t="s">
        <v>499</v>
      </c>
      <c r="D210" s="137" t="s">
        <v>901</v>
      </c>
      <c r="E210" s="137"/>
      <c r="F210" s="472">
        <v>6700</v>
      </c>
      <c r="G210" s="470">
        <v>0</v>
      </c>
      <c r="H210" s="320">
        <f t="shared" si="7"/>
        <v>0</v>
      </c>
      <c r="I210" s="149" t="str">
        <f t="shared" si="6"/>
        <v>11020720080030</v>
      </c>
    </row>
    <row r="211" spans="1:9" ht="25.5">
      <c r="A211" s="53" t="s">
        <v>484</v>
      </c>
      <c r="B211" s="137" t="s">
        <v>5</v>
      </c>
      <c r="C211" s="137" t="s">
        <v>499</v>
      </c>
      <c r="D211" s="137" t="s">
        <v>901</v>
      </c>
      <c r="E211" s="137" t="s">
        <v>485</v>
      </c>
      <c r="F211" s="472">
        <v>6700</v>
      </c>
      <c r="G211" s="470">
        <v>0</v>
      </c>
      <c r="H211" s="320">
        <f t="shared" si="7"/>
        <v>0</v>
      </c>
      <c r="I211" s="149" t="str">
        <f t="shared" si="6"/>
        <v>11020720080030612</v>
      </c>
    </row>
    <row r="212" spans="1:9" ht="25.5">
      <c r="A212" s="53" t="s">
        <v>1315</v>
      </c>
      <c r="B212" s="137" t="s">
        <v>472</v>
      </c>
      <c r="C212" s="137"/>
      <c r="D212" s="137"/>
      <c r="E212" s="137"/>
      <c r="F212" s="472">
        <v>4087024</v>
      </c>
      <c r="G212" s="470">
        <v>4002815.16</v>
      </c>
      <c r="H212" s="320">
        <f t="shared" si="7"/>
        <v>97.93960495460756</v>
      </c>
      <c r="I212" s="149" t="str">
        <f t="shared" si="6"/>
        <v/>
      </c>
    </row>
    <row r="213" spans="1:9">
      <c r="A213" s="53" t="s">
        <v>282</v>
      </c>
      <c r="B213" s="137" t="s">
        <v>472</v>
      </c>
      <c r="C213" s="137" t="s">
        <v>1598</v>
      </c>
      <c r="D213" s="137"/>
      <c r="E213" s="137"/>
      <c r="F213" s="472">
        <v>4087024</v>
      </c>
      <c r="G213" s="470">
        <v>4002815.16</v>
      </c>
      <c r="H213" s="320">
        <f t="shared" si="7"/>
        <v>97.93960495460756</v>
      </c>
      <c r="I213" s="149" t="str">
        <f t="shared" si="6"/>
        <v>0100</v>
      </c>
    </row>
    <row r="214" spans="1:9">
      <c r="A214" s="53" t="s">
        <v>265</v>
      </c>
      <c r="B214" s="137" t="s">
        <v>472</v>
      </c>
      <c r="C214" s="137" t="s">
        <v>454</v>
      </c>
      <c r="D214" s="137"/>
      <c r="E214" s="137"/>
      <c r="F214" s="472">
        <v>4087024</v>
      </c>
      <c r="G214" s="470">
        <v>4002815.16</v>
      </c>
      <c r="H214" s="320">
        <f t="shared" si="7"/>
        <v>97.93960495460756</v>
      </c>
      <c r="I214" s="149" t="str">
        <f t="shared" si="6"/>
        <v>0113</v>
      </c>
    </row>
    <row r="215" spans="1:9" ht="38.25">
      <c r="A215" s="53" t="s">
        <v>1316</v>
      </c>
      <c r="B215" s="137" t="s">
        <v>472</v>
      </c>
      <c r="C215" s="137" t="s">
        <v>454</v>
      </c>
      <c r="D215" s="137" t="s">
        <v>1441</v>
      </c>
      <c r="E215" s="137"/>
      <c r="F215" s="472">
        <v>239785</v>
      </c>
      <c r="G215" s="470">
        <v>215060</v>
      </c>
      <c r="H215" s="320">
        <f t="shared" si="7"/>
        <v>89.688679442000137</v>
      </c>
      <c r="I215" s="149" t="str">
        <f t="shared" si="6"/>
        <v>01139070040000</v>
      </c>
    </row>
    <row r="216" spans="1:9" ht="38.25">
      <c r="A216" s="53" t="s">
        <v>441</v>
      </c>
      <c r="B216" s="137" t="s">
        <v>472</v>
      </c>
      <c r="C216" s="137" t="s">
        <v>454</v>
      </c>
      <c r="D216" s="137" t="s">
        <v>1441</v>
      </c>
      <c r="E216" s="137" t="s">
        <v>442</v>
      </c>
      <c r="F216" s="472">
        <v>8000</v>
      </c>
      <c r="G216" s="470">
        <v>7600</v>
      </c>
      <c r="H216" s="320">
        <f t="shared" si="7"/>
        <v>95</v>
      </c>
      <c r="I216" s="149" t="str">
        <f t="shared" si="6"/>
        <v>01139070040000122</v>
      </c>
    </row>
    <row r="217" spans="1:9" ht="38.25">
      <c r="A217" s="53" t="s">
        <v>445</v>
      </c>
      <c r="B217" s="137" t="s">
        <v>472</v>
      </c>
      <c r="C217" s="137" t="s">
        <v>454</v>
      </c>
      <c r="D217" s="137" t="s">
        <v>1441</v>
      </c>
      <c r="E217" s="137" t="s">
        <v>446</v>
      </c>
      <c r="F217" s="472">
        <v>231785</v>
      </c>
      <c r="G217" s="470">
        <v>207460</v>
      </c>
      <c r="H217" s="320">
        <f t="shared" si="7"/>
        <v>89.505360571219015</v>
      </c>
      <c r="I217" s="149" t="str">
        <f t="shared" si="6"/>
        <v>01139070040000244</v>
      </c>
    </row>
    <row r="218" spans="1:9" ht="51">
      <c r="A218" s="53" t="s">
        <v>1611</v>
      </c>
      <c r="B218" s="137" t="s">
        <v>472</v>
      </c>
      <c r="C218" s="137" t="s">
        <v>454</v>
      </c>
      <c r="D218" s="137" t="s">
        <v>1612</v>
      </c>
      <c r="E218" s="137"/>
      <c r="F218" s="472">
        <v>72445.8</v>
      </c>
      <c r="G218" s="470">
        <v>37445.800000000003</v>
      </c>
      <c r="H218" s="320">
        <f t="shared" si="7"/>
        <v>51.688020561578455</v>
      </c>
      <c r="I218" s="149" t="str">
        <f t="shared" si="6"/>
        <v>01139070047000</v>
      </c>
    </row>
    <row r="219" spans="1:9" ht="38.25">
      <c r="A219" s="53" t="s">
        <v>441</v>
      </c>
      <c r="B219" s="137" t="s">
        <v>472</v>
      </c>
      <c r="C219" s="137" t="s">
        <v>454</v>
      </c>
      <c r="D219" s="137" t="s">
        <v>1612</v>
      </c>
      <c r="E219" s="137" t="s">
        <v>442</v>
      </c>
      <c r="F219" s="472">
        <v>72445.8</v>
      </c>
      <c r="G219" s="470">
        <v>37445.800000000003</v>
      </c>
      <c r="H219" s="320">
        <f t="shared" si="7"/>
        <v>51.688020561578455</v>
      </c>
      <c r="I219" s="149" t="str">
        <f t="shared" si="6"/>
        <v>01139070047000122</v>
      </c>
    </row>
    <row r="220" spans="1:9" ht="51">
      <c r="A220" s="53" t="s">
        <v>1613</v>
      </c>
      <c r="B220" s="137" t="s">
        <v>472</v>
      </c>
      <c r="C220" s="137" t="s">
        <v>454</v>
      </c>
      <c r="D220" s="137" t="s">
        <v>1614</v>
      </c>
      <c r="E220" s="137"/>
      <c r="F220" s="472">
        <v>3627042</v>
      </c>
      <c r="G220" s="470">
        <v>3624453.36</v>
      </c>
      <c r="H220" s="320">
        <f t="shared" si="7"/>
        <v>99.928629445151174</v>
      </c>
      <c r="I220" s="149" t="str">
        <f t="shared" si="6"/>
        <v>0113907004Б000</v>
      </c>
    </row>
    <row r="221" spans="1:9" ht="25.5">
      <c r="A221" s="53" t="s">
        <v>1165</v>
      </c>
      <c r="B221" s="137" t="s">
        <v>472</v>
      </c>
      <c r="C221" s="137" t="s">
        <v>454</v>
      </c>
      <c r="D221" s="137" t="s">
        <v>1614</v>
      </c>
      <c r="E221" s="137" t="s">
        <v>440</v>
      </c>
      <c r="F221" s="472">
        <v>2785747</v>
      </c>
      <c r="G221" s="470">
        <v>2785747</v>
      </c>
      <c r="H221" s="320">
        <f t="shared" si="7"/>
        <v>100</v>
      </c>
      <c r="I221" s="149" t="str">
        <f t="shared" si="6"/>
        <v>0113907004Б000121</v>
      </c>
    </row>
    <row r="222" spans="1:9" ht="51">
      <c r="A222" s="53" t="s">
        <v>1288</v>
      </c>
      <c r="B222" s="137" t="s">
        <v>472</v>
      </c>
      <c r="C222" s="137" t="s">
        <v>454</v>
      </c>
      <c r="D222" s="137" t="s">
        <v>1614</v>
      </c>
      <c r="E222" s="137" t="s">
        <v>1289</v>
      </c>
      <c r="F222" s="472">
        <v>841295</v>
      </c>
      <c r="G222" s="470">
        <v>838706.36</v>
      </c>
      <c r="H222" s="320">
        <f t="shared" si="7"/>
        <v>99.692302937732904</v>
      </c>
      <c r="I222" s="149" t="str">
        <f t="shared" si="6"/>
        <v>0113907004Б000129</v>
      </c>
    </row>
    <row r="223" spans="1:9" ht="38.25">
      <c r="A223" s="53" t="s">
        <v>1615</v>
      </c>
      <c r="B223" s="137" t="s">
        <v>472</v>
      </c>
      <c r="C223" s="137" t="s">
        <v>454</v>
      </c>
      <c r="D223" s="137" t="s">
        <v>1616</v>
      </c>
      <c r="E223" s="137"/>
      <c r="F223" s="472">
        <v>147751.20000000001</v>
      </c>
      <c r="G223" s="470">
        <v>125856</v>
      </c>
      <c r="H223" s="320">
        <f t="shared" si="7"/>
        <v>85.181034062667507</v>
      </c>
      <c r="I223" s="149" t="str">
        <f t="shared" si="6"/>
        <v>0113907004Ф000</v>
      </c>
    </row>
    <row r="224" spans="1:9" ht="38.25">
      <c r="A224" s="53" t="s">
        <v>445</v>
      </c>
      <c r="B224" s="137" t="s">
        <v>472</v>
      </c>
      <c r="C224" s="137" t="s">
        <v>454</v>
      </c>
      <c r="D224" s="137" t="s">
        <v>1616</v>
      </c>
      <c r="E224" s="137" t="s">
        <v>446</v>
      </c>
      <c r="F224" s="472">
        <v>147751.20000000001</v>
      </c>
      <c r="G224" s="470">
        <v>125856</v>
      </c>
      <c r="H224" s="320">
        <f t="shared" si="7"/>
        <v>85.181034062667507</v>
      </c>
      <c r="I224" s="149" t="str">
        <f t="shared" si="6"/>
        <v>0113907004Ф000244</v>
      </c>
    </row>
    <row r="225" spans="1:9" ht="25.5">
      <c r="A225" s="53" t="s">
        <v>304</v>
      </c>
      <c r="B225" s="137" t="s">
        <v>246</v>
      </c>
      <c r="C225" s="137"/>
      <c r="D225" s="137"/>
      <c r="E225" s="137"/>
      <c r="F225" s="472">
        <v>169651017.61000001</v>
      </c>
      <c r="G225" s="470">
        <v>152001785.81999999</v>
      </c>
      <c r="H225" s="320">
        <f t="shared" si="7"/>
        <v>89.596742749534968</v>
      </c>
      <c r="I225" s="149" t="str">
        <f t="shared" si="6"/>
        <v/>
      </c>
    </row>
    <row r="226" spans="1:9">
      <c r="A226" s="53" t="s">
        <v>287</v>
      </c>
      <c r="B226" s="137" t="s">
        <v>246</v>
      </c>
      <c r="C226" s="137" t="s">
        <v>1607</v>
      </c>
      <c r="D226" s="137"/>
      <c r="E226" s="137"/>
      <c r="F226" s="472">
        <v>53369005.18</v>
      </c>
      <c r="G226" s="470">
        <v>36712947.670000002</v>
      </c>
      <c r="H226" s="320">
        <f t="shared" si="7"/>
        <v>68.790766374933582</v>
      </c>
      <c r="I226" s="149" t="str">
        <f t="shared" si="6"/>
        <v>0500</v>
      </c>
    </row>
    <row r="227" spans="1:9">
      <c r="A227" s="53" t="s">
        <v>181</v>
      </c>
      <c r="B227" s="137" t="s">
        <v>246</v>
      </c>
      <c r="C227" s="137" t="s">
        <v>482</v>
      </c>
      <c r="D227" s="137"/>
      <c r="E227" s="137"/>
      <c r="F227" s="472">
        <v>49722917.979999997</v>
      </c>
      <c r="G227" s="470">
        <v>33076330.469999999</v>
      </c>
      <c r="H227" s="320">
        <f t="shared" si="7"/>
        <v>66.521298052749557</v>
      </c>
      <c r="I227" s="149" t="str">
        <f t="shared" si="6"/>
        <v>0502</v>
      </c>
    </row>
    <row r="228" spans="1:9" ht="242.25">
      <c r="A228" s="53" t="s">
        <v>1746</v>
      </c>
      <c r="B228" s="137" t="s">
        <v>246</v>
      </c>
      <c r="C228" s="137" t="s">
        <v>482</v>
      </c>
      <c r="D228" s="137" t="s">
        <v>1747</v>
      </c>
      <c r="E228" s="137"/>
      <c r="F228" s="472">
        <v>22520470.420000002</v>
      </c>
      <c r="G228" s="470">
        <v>20826764.73</v>
      </c>
      <c r="H228" s="320">
        <f t="shared" si="7"/>
        <v>92.479261496705448</v>
      </c>
      <c r="I228" s="149" t="str">
        <f t="shared" si="6"/>
        <v>05020350075710</v>
      </c>
    </row>
    <row r="229" spans="1:9" ht="38.25">
      <c r="A229" s="53" t="s">
        <v>461</v>
      </c>
      <c r="B229" s="137" t="s">
        <v>246</v>
      </c>
      <c r="C229" s="137" t="s">
        <v>482</v>
      </c>
      <c r="D229" s="137" t="s">
        <v>1747</v>
      </c>
      <c r="E229" s="137" t="s">
        <v>462</v>
      </c>
      <c r="F229" s="472">
        <v>22520470.420000002</v>
      </c>
      <c r="G229" s="470">
        <v>20826764.73</v>
      </c>
      <c r="H229" s="320">
        <f t="shared" si="7"/>
        <v>92.479261496705448</v>
      </c>
      <c r="I229" s="149" t="str">
        <f t="shared" si="6"/>
        <v>05020350075710243</v>
      </c>
    </row>
    <row r="230" spans="1:9" ht="102">
      <c r="A230" s="53" t="s">
        <v>505</v>
      </c>
      <c r="B230" s="137" t="s">
        <v>246</v>
      </c>
      <c r="C230" s="137" t="s">
        <v>482</v>
      </c>
      <c r="D230" s="137" t="s">
        <v>902</v>
      </c>
      <c r="E230" s="137"/>
      <c r="F230" s="472">
        <v>26649837.309999999</v>
      </c>
      <c r="G230" s="470">
        <v>11728322.68</v>
      </c>
      <c r="H230" s="320">
        <f t="shared" si="7"/>
        <v>44.008984158410236</v>
      </c>
      <c r="I230" s="149" t="str">
        <f t="shared" si="6"/>
        <v>05020350080000</v>
      </c>
    </row>
    <row r="231" spans="1:9" ht="38.25">
      <c r="A231" s="53" t="s">
        <v>461</v>
      </c>
      <c r="B231" s="137" t="s">
        <v>246</v>
      </c>
      <c r="C231" s="137" t="s">
        <v>482</v>
      </c>
      <c r="D231" s="137" t="s">
        <v>902</v>
      </c>
      <c r="E231" s="137" t="s">
        <v>462</v>
      </c>
      <c r="F231" s="472">
        <v>12032817.9</v>
      </c>
      <c r="G231" s="470">
        <v>11728322.68</v>
      </c>
      <c r="H231" s="320">
        <f t="shared" si="7"/>
        <v>97.469460416250456</v>
      </c>
      <c r="I231" s="149" t="str">
        <f t="shared" si="6"/>
        <v>05020350080000243</v>
      </c>
    </row>
    <row r="232" spans="1:9" ht="38.25">
      <c r="A232" s="53" t="s">
        <v>1748</v>
      </c>
      <c r="B232" s="137" t="s">
        <v>246</v>
      </c>
      <c r="C232" s="137" t="s">
        <v>482</v>
      </c>
      <c r="D232" s="137" t="s">
        <v>902</v>
      </c>
      <c r="E232" s="137" t="s">
        <v>1749</v>
      </c>
      <c r="F232" s="472">
        <v>14617019.41</v>
      </c>
      <c r="G232" s="470">
        <v>0</v>
      </c>
      <c r="H232" s="320">
        <f t="shared" si="7"/>
        <v>0</v>
      </c>
      <c r="I232" s="149" t="str">
        <f t="shared" si="6"/>
        <v>05020350080000414</v>
      </c>
    </row>
    <row r="233" spans="1:9" ht="127.5">
      <c r="A233" s="53" t="s">
        <v>1750</v>
      </c>
      <c r="B233" s="137" t="s">
        <v>246</v>
      </c>
      <c r="C233" s="137" t="s">
        <v>482</v>
      </c>
      <c r="D233" s="137" t="s">
        <v>1751</v>
      </c>
      <c r="E233" s="137"/>
      <c r="F233" s="472">
        <v>109080.25</v>
      </c>
      <c r="G233" s="470">
        <v>88273.06</v>
      </c>
      <c r="H233" s="320">
        <f t="shared" si="7"/>
        <v>80.924878701689806</v>
      </c>
      <c r="I233" s="149" t="str">
        <f t="shared" si="6"/>
        <v>05020350080010</v>
      </c>
    </row>
    <row r="234" spans="1:9" ht="38.25">
      <c r="A234" s="53" t="s">
        <v>445</v>
      </c>
      <c r="B234" s="137" t="s">
        <v>246</v>
      </c>
      <c r="C234" s="137" t="s">
        <v>482</v>
      </c>
      <c r="D234" s="137" t="s">
        <v>1751</v>
      </c>
      <c r="E234" s="137" t="s">
        <v>446</v>
      </c>
      <c r="F234" s="472">
        <v>109080.25</v>
      </c>
      <c r="G234" s="470">
        <v>88273.06</v>
      </c>
      <c r="H234" s="320">
        <f t="shared" si="7"/>
        <v>80.924878701689806</v>
      </c>
      <c r="I234" s="149" t="str">
        <f t="shared" si="6"/>
        <v>05020350080010244</v>
      </c>
    </row>
    <row r="235" spans="1:9" ht="242.25">
      <c r="A235" s="53" t="s">
        <v>1895</v>
      </c>
      <c r="B235" s="137" t="s">
        <v>246</v>
      </c>
      <c r="C235" s="137" t="s">
        <v>482</v>
      </c>
      <c r="D235" s="137" t="s">
        <v>1753</v>
      </c>
      <c r="E235" s="137"/>
      <c r="F235" s="472">
        <v>443530</v>
      </c>
      <c r="G235" s="470">
        <v>432970</v>
      </c>
      <c r="H235" s="320">
        <f t="shared" si="7"/>
        <v>97.619101300926658</v>
      </c>
      <c r="I235" s="149" t="str">
        <f t="shared" si="6"/>
        <v>050203500S5710</v>
      </c>
    </row>
    <row r="236" spans="1:9" ht="38.25">
      <c r="A236" s="53" t="s">
        <v>461</v>
      </c>
      <c r="B236" s="137" t="s">
        <v>246</v>
      </c>
      <c r="C236" s="137" t="s">
        <v>482</v>
      </c>
      <c r="D236" s="137" t="s">
        <v>1753</v>
      </c>
      <c r="E236" s="137" t="s">
        <v>462</v>
      </c>
      <c r="F236" s="472">
        <v>443530</v>
      </c>
      <c r="G236" s="470">
        <v>432970</v>
      </c>
      <c r="H236" s="320">
        <f t="shared" si="7"/>
        <v>97.619101300926658</v>
      </c>
      <c r="I236" s="149" t="str">
        <f t="shared" si="6"/>
        <v>050203500S5710243</v>
      </c>
    </row>
    <row r="237" spans="1:9" ht="25.5">
      <c r="A237" s="53" t="s">
        <v>186</v>
      </c>
      <c r="B237" s="137" t="s">
        <v>246</v>
      </c>
      <c r="C237" s="137" t="s">
        <v>507</v>
      </c>
      <c r="D237" s="137"/>
      <c r="E237" s="137"/>
      <c r="F237" s="472">
        <v>3646087.2</v>
      </c>
      <c r="G237" s="470">
        <v>3636617.2</v>
      </c>
      <c r="H237" s="320">
        <f t="shared" si="7"/>
        <v>99.74026951412462</v>
      </c>
      <c r="I237" s="149" t="str">
        <f t="shared" si="6"/>
        <v>0505</v>
      </c>
    </row>
    <row r="238" spans="1:9" ht="38.25">
      <c r="A238" s="53" t="s">
        <v>508</v>
      </c>
      <c r="B238" s="137" t="s">
        <v>246</v>
      </c>
      <c r="C238" s="137" t="s">
        <v>507</v>
      </c>
      <c r="D238" s="137" t="s">
        <v>903</v>
      </c>
      <c r="E238" s="137"/>
      <c r="F238" s="472">
        <v>3449350</v>
      </c>
      <c r="G238" s="470">
        <v>3439880</v>
      </c>
      <c r="H238" s="320">
        <f t="shared" si="7"/>
        <v>99.725455520605337</v>
      </c>
      <c r="I238" s="149" t="str">
        <f t="shared" si="6"/>
        <v>05059050040000</v>
      </c>
    </row>
    <row r="239" spans="1:9">
      <c r="A239" s="53" t="s">
        <v>1603</v>
      </c>
      <c r="B239" s="137" t="s">
        <v>246</v>
      </c>
      <c r="C239" s="137" t="s">
        <v>507</v>
      </c>
      <c r="D239" s="137" t="s">
        <v>903</v>
      </c>
      <c r="E239" s="137" t="s">
        <v>460</v>
      </c>
      <c r="F239" s="472">
        <v>2496697</v>
      </c>
      <c r="G239" s="470">
        <v>2490352.08</v>
      </c>
      <c r="H239" s="320">
        <f t="shared" si="7"/>
        <v>99.745867440061815</v>
      </c>
      <c r="I239" s="149" t="str">
        <f t="shared" si="6"/>
        <v>05059050040000111</v>
      </c>
    </row>
    <row r="240" spans="1:9" ht="25.5">
      <c r="A240" s="53" t="s">
        <v>1617</v>
      </c>
      <c r="B240" s="137" t="s">
        <v>246</v>
      </c>
      <c r="C240" s="137" t="s">
        <v>507</v>
      </c>
      <c r="D240" s="137" t="s">
        <v>903</v>
      </c>
      <c r="E240" s="137" t="s">
        <v>509</v>
      </c>
      <c r="F240" s="472">
        <v>109739.9</v>
      </c>
      <c r="G240" s="470">
        <v>109016.54</v>
      </c>
      <c r="H240" s="320">
        <f t="shared" si="7"/>
        <v>99.340841389503737</v>
      </c>
      <c r="I240" s="149" t="str">
        <f t="shared" si="6"/>
        <v>05059050040000112</v>
      </c>
    </row>
    <row r="241" spans="1:9" ht="51">
      <c r="A241" s="53" t="s">
        <v>1604</v>
      </c>
      <c r="B241" s="137" t="s">
        <v>246</v>
      </c>
      <c r="C241" s="137" t="s">
        <v>507</v>
      </c>
      <c r="D241" s="137" t="s">
        <v>903</v>
      </c>
      <c r="E241" s="137" t="s">
        <v>1290</v>
      </c>
      <c r="F241" s="472">
        <v>754003</v>
      </c>
      <c r="G241" s="470">
        <v>751601.28</v>
      </c>
      <c r="H241" s="320">
        <f t="shared" si="7"/>
        <v>99.681470763378925</v>
      </c>
      <c r="I241" s="149" t="str">
        <f t="shared" si="6"/>
        <v>05059050040000119</v>
      </c>
    </row>
    <row r="242" spans="1:9" ht="38.25">
      <c r="A242" s="53" t="s">
        <v>445</v>
      </c>
      <c r="B242" s="137" t="s">
        <v>246</v>
      </c>
      <c r="C242" s="137" t="s">
        <v>507</v>
      </c>
      <c r="D242" s="137" t="s">
        <v>903</v>
      </c>
      <c r="E242" s="137" t="s">
        <v>446</v>
      </c>
      <c r="F242" s="472">
        <v>87900</v>
      </c>
      <c r="G242" s="470">
        <v>87900</v>
      </c>
      <c r="H242" s="320">
        <f t="shared" si="7"/>
        <v>100</v>
      </c>
      <c r="I242" s="149" t="str">
        <f t="shared" si="6"/>
        <v>05059050040000244</v>
      </c>
    </row>
    <row r="243" spans="1:9">
      <c r="A243" s="53" t="s">
        <v>1293</v>
      </c>
      <c r="B243" s="137" t="s">
        <v>246</v>
      </c>
      <c r="C243" s="137" t="s">
        <v>507</v>
      </c>
      <c r="D243" s="137" t="s">
        <v>903</v>
      </c>
      <c r="E243" s="137" t="s">
        <v>1294</v>
      </c>
      <c r="F243" s="472">
        <v>1010.1</v>
      </c>
      <c r="G243" s="470">
        <v>1010.1</v>
      </c>
      <c r="H243" s="320">
        <f t="shared" si="7"/>
        <v>100</v>
      </c>
      <c r="I243" s="149" t="str">
        <f t="shared" si="6"/>
        <v>05059050040000853</v>
      </c>
    </row>
    <row r="244" spans="1:9" ht="63.75">
      <c r="A244" s="53" t="s">
        <v>728</v>
      </c>
      <c r="B244" s="137" t="s">
        <v>246</v>
      </c>
      <c r="C244" s="137" t="s">
        <v>507</v>
      </c>
      <c r="D244" s="137" t="s">
        <v>904</v>
      </c>
      <c r="E244" s="137"/>
      <c r="F244" s="472">
        <v>196737.2</v>
      </c>
      <c r="G244" s="470">
        <v>196737.2</v>
      </c>
      <c r="H244" s="320">
        <f t="shared" si="7"/>
        <v>100</v>
      </c>
      <c r="I244" s="149" t="str">
        <f t="shared" si="6"/>
        <v>05059050047000</v>
      </c>
    </row>
    <row r="245" spans="1:9" ht="25.5">
      <c r="A245" s="53" t="s">
        <v>1617</v>
      </c>
      <c r="B245" s="137" t="s">
        <v>246</v>
      </c>
      <c r="C245" s="137" t="s">
        <v>507</v>
      </c>
      <c r="D245" s="137" t="s">
        <v>904</v>
      </c>
      <c r="E245" s="137" t="s">
        <v>509</v>
      </c>
      <c r="F245" s="472">
        <v>196737.2</v>
      </c>
      <c r="G245" s="470">
        <v>196737.2</v>
      </c>
      <c r="H245" s="320">
        <f t="shared" si="7"/>
        <v>100</v>
      </c>
      <c r="I245" s="149" t="str">
        <f t="shared" si="6"/>
        <v>05059050047000112</v>
      </c>
    </row>
    <row r="246" spans="1:9">
      <c r="A246" s="53" t="s">
        <v>173</v>
      </c>
      <c r="B246" s="137" t="s">
        <v>246</v>
      </c>
      <c r="C246" s="137" t="s">
        <v>1608</v>
      </c>
      <c r="D246" s="137"/>
      <c r="E246" s="137"/>
      <c r="F246" s="472">
        <v>115980060.43000001</v>
      </c>
      <c r="G246" s="470">
        <v>114986886.15000001</v>
      </c>
      <c r="H246" s="320">
        <f t="shared" si="7"/>
        <v>99.14366807853196</v>
      </c>
      <c r="I246" s="149" t="str">
        <f t="shared" si="6"/>
        <v>0700</v>
      </c>
    </row>
    <row r="247" spans="1:9">
      <c r="A247" s="53" t="s">
        <v>187</v>
      </c>
      <c r="B247" s="137" t="s">
        <v>246</v>
      </c>
      <c r="C247" s="137" t="s">
        <v>528</v>
      </c>
      <c r="D247" s="137"/>
      <c r="E247" s="137"/>
      <c r="F247" s="472">
        <v>71732861.319999993</v>
      </c>
      <c r="G247" s="470">
        <v>71732861.319999993</v>
      </c>
      <c r="H247" s="320">
        <f t="shared" si="7"/>
        <v>100</v>
      </c>
      <c r="I247" s="149" t="str">
        <f t="shared" ref="I247:I310" si="8">CONCATENATE(C247,D247,E247)</f>
        <v>0701</v>
      </c>
    </row>
    <row r="248" spans="1:9" ht="63.75">
      <c r="A248" s="53" t="s">
        <v>1754</v>
      </c>
      <c r="B248" s="137" t="s">
        <v>246</v>
      </c>
      <c r="C248" s="137" t="s">
        <v>528</v>
      </c>
      <c r="D248" s="137" t="s">
        <v>1755</v>
      </c>
      <c r="E248" s="137"/>
      <c r="F248" s="472">
        <v>1351046.37</v>
      </c>
      <c r="G248" s="470">
        <v>1351046.37</v>
      </c>
      <c r="H248" s="320">
        <f t="shared" si="7"/>
        <v>100</v>
      </c>
      <c r="I248" s="149" t="str">
        <f t="shared" si="8"/>
        <v>07010110077450</v>
      </c>
    </row>
    <row r="249" spans="1:9" ht="38.25">
      <c r="A249" s="53" t="s">
        <v>461</v>
      </c>
      <c r="B249" s="137" t="s">
        <v>246</v>
      </c>
      <c r="C249" s="137" t="s">
        <v>528</v>
      </c>
      <c r="D249" s="137" t="s">
        <v>1755</v>
      </c>
      <c r="E249" s="137" t="s">
        <v>462</v>
      </c>
      <c r="F249" s="472">
        <v>1351046.37</v>
      </c>
      <c r="G249" s="470">
        <v>1351046.37</v>
      </c>
      <c r="H249" s="320">
        <f t="shared" si="7"/>
        <v>100</v>
      </c>
      <c r="I249" s="149" t="str">
        <f t="shared" si="8"/>
        <v>07010110077450243</v>
      </c>
    </row>
    <row r="250" spans="1:9" ht="89.25">
      <c r="A250" s="53" t="s">
        <v>1808</v>
      </c>
      <c r="B250" s="137" t="s">
        <v>246</v>
      </c>
      <c r="C250" s="137" t="s">
        <v>528</v>
      </c>
      <c r="D250" s="137" t="s">
        <v>1809</v>
      </c>
      <c r="E250" s="137"/>
      <c r="F250" s="472">
        <v>68047203.189999998</v>
      </c>
      <c r="G250" s="470">
        <v>68047203.189999998</v>
      </c>
      <c r="H250" s="320">
        <f t="shared" si="7"/>
        <v>100</v>
      </c>
      <c r="I250" s="149" t="str">
        <f t="shared" si="8"/>
        <v>07010110080060</v>
      </c>
    </row>
    <row r="251" spans="1:9" ht="38.25">
      <c r="A251" s="53" t="s">
        <v>445</v>
      </c>
      <c r="B251" s="137" t="s">
        <v>246</v>
      </c>
      <c r="C251" s="137" t="s">
        <v>528</v>
      </c>
      <c r="D251" s="137" t="s">
        <v>1809</v>
      </c>
      <c r="E251" s="137" t="s">
        <v>446</v>
      </c>
      <c r="F251" s="472">
        <v>8226825.9400000004</v>
      </c>
      <c r="G251" s="470">
        <v>8226825.9400000004</v>
      </c>
      <c r="H251" s="320">
        <f t="shared" si="7"/>
        <v>100</v>
      </c>
      <c r="I251" s="149" t="str">
        <f t="shared" si="8"/>
        <v>07010110080060244</v>
      </c>
    </row>
    <row r="252" spans="1:9" ht="38.25">
      <c r="A252" s="53" t="s">
        <v>1748</v>
      </c>
      <c r="B252" s="137" t="s">
        <v>246</v>
      </c>
      <c r="C252" s="137" t="s">
        <v>528</v>
      </c>
      <c r="D252" s="137" t="s">
        <v>1809</v>
      </c>
      <c r="E252" s="137" t="s">
        <v>1749</v>
      </c>
      <c r="F252" s="472">
        <v>59820377.25</v>
      </c>
      <c r="G252" s="470">
        <v>59820377.25</v>
      </c>
      <c r="H252" s="320">
        <f t="shared" si="7"/>
        <v>100</v>
      </c>
      <c r="I252" s="149" t="str">
        <f t="shared" si="8"/>
        <v>07010110080060414</v>
      </c>
    </row>
    <row r="253" spans="1:9" ht="114.75">
      <c r="A253" s="53" t="s">
        <v>635</v>
      </c>
      <c r="B253" s="137" t="s">
        <v>246</v>
      </c>
      <c r="C253" s="137" t="s">
        <v>528</v>
      </c>
      <c r="D253" s="137" t="s">
        <v>905</v>
      </c>
      <c r="E253" s="137"/>
      <c r="F253" s="472">
        <v>2334611.7599999998</v>
      </c>
      <c r="G253" s="470">
        <v>2334611.7599999998</v>
      </c>
      <c r="H253" s="320">
        <f t="shared" si="7"/>
        <v>100</v>
      </c>
      <c r="I253" s="149" t="str">
        <f t="shared" si="8"/>
        <v>07010110083010</v>
      </c>
    </row>
    <row r="254" spans="1:9" ht="38.25">
      <c r="A254" s="53" t="s">
        <v>1748</v>
      </c>
      <c r="B254" s="137" t="s">
        <v>246</v>
      </c>
      <c r="C254" s="137" t="s">
        <v>528</v>
      </c>
      <c r="D254" s="137" t="s">
        <v>905</v>
      </c>
      <c r="E254" s="137" t="s">
        <v>1749</v>
      </c>
      <c r="F254" s="472">
        <v>2334611.7599999998</v>
      </c>
      <c r="G254" s="470">
        <v>2334611.7599999998</v>
      </c>
      <c r="H254" s="320">
        <f t="shared" si="7"/>
        <v>100</v>
      </c>
      <c r="I254" s="149" t="str">
        <f t="shared" si="8"/>
        <v>07010110083010414</v>
      </c>
    </row>
    <row r="255" spans="1:9">
      <c r="A255" s="53" t="s">
        <v>188</v>
      </c>
      <c r="B255" s="137" t="s">
        <v>246</v>
      </c>
      <c r="C255" s="137" t="s">
        <v>515</v>
      </c>
      <c r="D255" s="137"/>
      <c r="E255" s="137"/>
      <c r="F255" s="472">
        <v>43423195.390000001</v>
      </c>
      <c r="G255" s="470">
        <v>42430021.109999999</v>
      </c>
      <c r="H255" s="320">
        <f t="shared" si="7"/>
        <v>97.712802406455964</v>
      </c>
      <c r="I255" s="149" t="str">
        <f t="shared" si="8"/>
        <v>0702</v>
      </c>
    </row>
    <row r="256" spans="1:9" ht="63.75">
      <c r="A256" s="53" t="s">
        <v>1754</v>
      </c>
      <c r="B256" s="137" t="s">
        <v>246</v>
      </c>
      <c r="C256" s="137" t="s">
        <v>515</v>
      </c>
      <c r="D256" s="137" t="s">
        <v>1755</v>
      </c>
      <c r="E256" s="137"/>
      <c r="F256" s="472">
        <v>1333439.28</v>
      </c>
      <c r="G256" s="470">
        <v>340265</v>
      </c>
      <c r="H256" s="320">
        <f t="shared" si="7"/>
        <v>25.517847351849422</v>
      </c>
      <c r="I256" s="149" t="str">
        <f t="shared" si="8"/>
        <v>07020110077450</v>
      </c>
    </row>
    <row r="257" spans="1:9" ht="38.25">
      <c r="A257" s="53" t="s">
        <v>461</v>
      </c>
      <c r="B257" s="137" t="s">
        <v>246</v>
      </c>
      <c r="C257" s="137" t="s">
        <v>515</v>
      </c>
      <c r="D257" s="137" t="s">
        <v>1755</v>
      </c>
      <c r="E257" s="137" t="s">
        <v>462</v>
      </c>
      <c r="F257" s="472">
        <v>1333439.28</v>
      </c>
      <c r="G257" s="470">
        <v>340265</v>
      </c>
      <c r="H257" s="320">
        <f t="shared" si="7"/>
        <v>25.517847351849422</v>
      </c>
      <c r="I257" s="149" t="str">
        <f t="shared" si="8"/>
        <v>07020110077450243</v>
      </c>
    </row>
    <row r="258" spans="1:9" ht="76.5">
      <c r="A258" s="53" t="s">
        <v>1061</v>
      </c>
      <c r="B258" s="137" t="s">
        <v>246</v>
      </c>
      <c r="C258" s="137" t="s">
        <v>515</v>
      </c>
      <c r="D258" s="137" t="s">
        <v>1060</v>
      </c>
      <c r="E258" s="137"/>
      <c r="F258" s="472">
        <v>234480.2</v>
      </c>
      <c r="G258" s="470">
        <v>234480.2</v>
      </c>
      <c r="H258" s="320">
        <f t="shared" si="7"/>
        <v>100</v>
      </c>
      <c r="I258" s="149" t="str">
        <f t="shared" si="8"/>
        <v>07020110080010</v>
      </c>
    </row>
    <row r="259" spans="1:9" ht="38.25">
      <c r="A259" s="53" t="s">
        <v>461</v>
      </c>
      <c r="B259" s="137" t="s">
        <v>246</v>
      </c>
      <c r="C259" s="137" t="s">
        <v>515</v>
      </c>
      <c r="D259" s="137" t="s">
        <v>1060</v>
      </c>
      <c r="E259" s="137" t="s">
        <v>462</v>
      </c>
      <c r="F259" s="472">
        <v>234480.2</v>
      </c>
      <c r="G259" s="470">
        <v>234480.2</v>
      </c>
      <c r="H259" s="320">
        <f t="shared" si="7"/>
        <v>100</v>
      </c>
      <c r="I259" s="149" t="str">
        <f t="shared" si="8"/>
        <v>07020110080010243</v>
      </c>
    </row>
    <row r="260" spans="1:9" ht="89.25">
      <c r="A260" s="53" t="s">
        <v>1808</v>
      </c>
      <c r="B260" s="137" t="s">
        <v>246</v>
      </c>
      <c r="C260" s="137" t="s">
        <v>515</v>
      </c>
      <c r="D260" s="137" t="s">
        <v>1809</v>
      </c>
      <c r="E260" s="137"/>
      <c r="F260" s="472">
        <v>38776460.359999999</v>
      </c>
      <c r="G260" s="470">
        <v>38776460.359999999</v>
      </c>
      <c r="H260" s="320">
        <f t="shared" si="7"/>
        <v>100</v>
      </c>
      <c r="I260" s="149" t="str">
        <f t="shared" si="8"/>
        <v>07020110080060</v>
      </c>
    </row>
    <row r="261" spans="1:9" ht="38.25">
      <c r="A261" s="53" t="s">
        <v>445</v>
      </c>
      <c r="B261" s="137" t="s">
        <v>246</v>
      </c>
      <c r="C261" s="137" t="s">
        <v>515</v>
      </c>
      <c r="D261" s="137" t="s">
        <v>1809</v>
      </c>
      <c r="E261" s="137" t="s">
        <v>446</v>
      </c>
      <c r="F261" s="472">
        <v>871956</v>
      </c>
      <c r="G261" s="470">
        <v>871956</v>
      </c>
      <c r="H261" s="320">
        <f t="shared" si="7"/>
        <v>100</v>
      </c>
      <c r="I261" s="149" t="str">
        <f t="shared" si="8"/>
        <v>07020110080060244</v>
      </c>
    </row>
    <row r="262" spans="1:9" ht="38.25">
      <c r="A262" s="53" t="s">
        <v>1748</v>
      </c>
      <c r="B262" s="137" t="s">
        <v>246</v>
      </c>
      <c r="C262" s="137" t="s">
        <v>515</v>
      </c>
      <c r="D262" s="137" t="s">
        <v>1809</v>
      </c>
      <c r="E262" s="137" t="s">
        <v>1749</v>
      </c>
      <c r="F262" s="472">
        <v>37904504.359999999</v>
      </c>
      <c r="G262" s="470">
        <v>37904504.359999999</v>
      </c>
      <c r="H262" s="320">
        <f t="shared" si="7"/>
        <v>100</v>
      </c>
      <c r="I262" s="149" t="str">
        <f t="shared" si="8"/>
        <v>07020110080060414</v>
      </c>
    </row>
    <row r="263" spans="1:9" ht="114.75">
      <c r="A263" s="53" t="s">
        <v>635</v>
      </c>
      <c r="B263" s="137" t="s">
        <v>246</v>
      </c>
      <c r="C263" s="137" t="s">
        <v>515</v>
      </c>
      <c r="D263" s="137" t="s">
        <v>905</v>
      </c>
      <c r="E263" s="137"/>
      <c r="F263" s="472">
        <v>6819.22</v>
      </c>
      <c r="G263" s="470">
        <v>6819.22</v>
      </c>
      <c r="H263" s="320">
        <f t="shared" ref="H263:H326" si="9">G263/F263*100</f>
        <v>100</v>
      </c>
      <c r="I263" s="149" t="str">
        <f t="shared" si="8"/>
        <v>07020110083010</v>
      </c>
    </row>
    <row r="264" spans="1:9" ht="38.25">
      <c r="A264" s="53" t="s">
        <v>1748</v>
      </c>
      <c r="B264" s="137" t="s">
        <v>246</v>
      </c>
      <c r="C264" s="137" t="s">
        <v>515</v>
      </c>
      <c r="D264" s="137" t="s">
        <v>905</v>
      </c>
      <c r="E264" s="137" t="s">
        <v>1749</v>
      </c>
      <c r="F264" s="472">
        <v>6819.22</v>
      </c>
      <c r="G264" s="470">
        <v>6819.22</v>
      </c>
      <c r="H264" s="320">
        <f t="shared" si="9"/>
        <v>100</v>
      </c>
      <c r="I264" s="149" t="str">
        <f t="shared" si="8"/>
        <v>07020110083010414</v>
      </c>
    </row>
    <row r="265" spans="1:9" ht="114.75">
      <c r="A265" s="53" t="s">
        <v>1863</v>
      </c>
      <c r="B265" s="137" t="s">
        <v>246</v>
      </c>
      <c r="C265" s="137" t="s">
        <v>515</v>
      </c>
      <c r="D265" s="137" t="s">
        <v>1864</v>
      </c>
      <c r="E265" s="137"/>
      <c r="F265" s="472">
        <v>30073</v>
      </c>
      <c r="G265" s="470">
        <v>30073</v>
      </c>
      <c r="H265" s="320">
        <f t="shared" si="9"/>
        <v>100</v>
      </c>
      <c r="I265" s="149" t="str">
        <f t="shared" si="8"/>
        <v>070201100L0970</v>
      </c>
    </row>
    <row r="266" spans="1:9" ht="38.25">
      <c r="A266" s="53" t="s">
        <v>461</v>
      </c>
      <c r="B266" s="137" t="s">
        <v>246</v>
      </c>
      <c r="C266" s="137" t="s">
        <v>515</v>
      </c>
      <c r="D266" s="137" t="s">
        <v>1864</v>
      </c>
      <c r="E266" s="137" t="s">
        <v>462</v>
      </c>
      <c r="F266" s="472">
        <v>30073</v>
      </c>
      <c r="G266" s="470">
        <v>30073</v>
      </c>
      <c r="H266" s="320">
        <f t="shared" si="9"/>
        <v>100</v>
      </c>
      <c r="I266" s="149" t="str">
        <f t="shared" si="8"/>
        <v>070201100L0970243</v>
      </c>
    </row>
    <row r="267" spans="1:9" ht="102">
      <c r="A267" s="53" t="s">
        <v>1857</v>
      </c>
      <c r="B267" s="137" t="s">
        <v>246</v>
      </c>
      <c r="C267" s="137" t="s">
        <v>515</v>
      </c>
      <c r="D267" s="137" t="s">
        <v>1858</v>
      </c>
      <c r="E267" s="137"/>
      <c r="F267" s="472">
        <v>2904242.44</v>
      </c>
      <c r="G267" s="470">
        <v>2904242.44</v>
      </c>
      <c r="H267" s="320">
        <f t="shared" si="9"/>
        <v>100</v>
      </c>
      <c r="I267" s="149" t="str">
        <f t="shared" si="8"/>
        <v>070201100R0970</v>
      </c>
    </row>
    <row r="268" spans="1:9" ht="38.25">
      <c r="A268" s="53" t="s">
        <v>461</v>
      </c>
      <c r="B268" s="137" t="s">
        <v>246</v>
      </c>
      <c r="C268" s="137" t="s">
        <v>515</v>
      </c>
      <c r="D268" s="137" t="s">
        <v>1858</v>
      </c>
      <c r="E268" s="137" t="s">
        <v>462</v>
      </c>
      <c r="F268" s="472">
        <v>2904242.44</v>
      </c>
      <c r="G268" s="470">
        <v>2904242.44</v>
      </c>
      <c r="H268" s="320">
        <f t="shared" si="9"/>
        <v>100</v>
      </c>
      <c r="I268" s="149" t="str">
        <f t="shared" si="8"/>
        <v>070201100R0970243</v>
      </c>
    </row>
    <row r="269" spans="1:9" ht="38.25">
      <c r="A269" s="53" t="s">
        <v>1756</v>
      </c>
      <c r="B269" s="137" t="s">
        <v>246</v>
      </c>
      <c r="C269" s="137" t="s">
        <v>515</v>
      </c>
      <c r="D269" s="137" t="s">
        <v>1757</v>
      </c>
      <c r="E269" s="137"/>
      <c r="F269" s="472">
        <v>137680.89000000001</v>
      </c>
      <c r="G269" s="470">
        <v>137680.89000000001</v>
      </c>
      <c r="H269" s="320">
        <f t="shared" si="9"/>
        <v>100</v>
      </c>
      <c r="I269" s="149" t="str">
        <f t="shared" si="8"/>
        <v>07029090080010</v>
      </c>
    </row>
    <row r="270" spans="1:9" ht="38.25">
      <c r="A270" s="53" t="s">
        <v>1758</v>
      </c>
      <c r="B270" s="137" t="s">
        <v>246</v>
      </c>
      <c r="C270" s="137" t="s">
        <v>515</v>
      </c>
      <c r="D270" s="137" t="s">
        <v>1757</v>
      </c>
      <c r="E270" s="137" t="s">
        <v>552</v>
      </c>
      <c r="F270" s="472">
        <v>137680.89000000001</v>
      </c>
      <c r="G270" s="470">
        <v>137680.89000000001</v>
      </c>
      <c r="H270" s="320">
        <f t="shared" si="9"/>
        <v>100</v>
      </c>
      <c r="I270" s="149" t="str">
        <f t="shared" si="8"/>
        <v>07029090080010831</v>
      </c>
    </row>
    <row r="271" spans="1:9">
      <c r="A271" s="53" t="s">
        <v>1442</v>
      </c>
      <c r="B271" s="137" t="s">
        <v>246</v>
      </c>
      <c r="C271" s="137" t="s">
        <v>1443</v>
      </c>
      <c r="D271" s="137"/>
      <c r="E271" s="137"/>
      <c r="F271" s="472">
        <v>824003.72</v>
      </c>
      <c r="G271" s="470">
        <v>824003.72</v>
      </c>
      <c r="H271" s="320">
        <f t="shared" si="9"/>
        <v>100</v>
      </c>
      <c r="I271" s="149" t="str">
        <f t="shared" si="8"/>
        <v>0703</v>
      </c>
    </row>
    <row r="272" spans="1:9" ht="63.75">
      <c r="A272" s="53" t="s">
        <v>1754</v>
      </c>
      <c r="B272" s="137" t="s">
        <v>246</v>
      </c>
      <c r="C272" s="137" t="s">
        <v>1443</v>
      </c>
      <c r="D272" s="137" t="s">
        <v>1755</v>
      </c>
      <c r="E272" s="137"/>
      <c r="F272" s="472">
        <v>824003.72</v>
      </c>
      <c r="G272" s="470">
        <v>824003.72</v>
      </c>
      <c r="H272" s="320">
        <f t="shared" si="9"/>
        <v>100</v>
      </c>
      <c r="I272" s="149" t="str">
        <f t="shared" si="8"/>
        <v>07030110077450</v>
      </c>
    </row>
    <row r="273" spans="1:9" ht="38.25">
      <c r="A273" s="53" t="s">
        <v>461</v>
      </c>
      <c r="B273" s="137" t="s">
        <v>246</v>
      </c>
      <c r="C273" s="137" t="s">
        <v>1443</v>
      </c>
      <c r="D273" s="137" t="s">
        <v>1755</v>
      </c>
      <c r="E273" s="137" t="s">
        <v>462</v>
      </c>
      <c r="F273" s="472">
        <v>824003.72</v>
      </c>
      <c r="G273" s="470">
        <v>824003.72</v>
      </c>
      <c r="H273" s="320">
        <f t="shared" si="9"/>
        <v>100</v>
      </c>
      <c r="I273" s="149" t="str">
        <f t="shared" si="8"/>
        <v>07030110077450243</v>
      </c>
    </row>
    <row r="274" spans="1:9">
      <c r="A274" s="53" t="s">
        <v>298</v>
      </c>
      <c r="B274" s="137" t="s">
        <v>246</v>
      </c>
      <c r="C274" s="137" t="s">
        <v>1618</v>
      </c>
      <c r="D274" s="137"/>
      <c r="E274" s="137"/>
      <c r="F274" s="472">
        <v>301952</v>
      </c>
      <c r="G274" s="470">
        <v>301952</v>
      </c>
      <c r="H274" s="320">
        <f t="shared" si="9"/>
        <v>100</v>
      </c>
      <c r="I274" s="149" t="str">
        <f t="shared" si="8"/>
        <v>0800</v>
      </c>
    </row>
    <row r="275" spans="1:9">
      <c r="A275" s="53" t="s">
        <v>254</v>
      </c>
      <c r="B275" s="137" t="s">
        <v>246</v>
      </c>
      <c r="C275" s="137" t="s">
        <v>510</v>
      </c>
      <c r="D275" s="137"/>
      <c r="E275" s="137"/>
      <c r="F275" s="472">
        <v>301952</v>
      </c>
      <c r="G275" s="470">
        <v>301952</v>
      </c>
      <c r="H275" s="320">
        <f t="shared" si="9"/>
        <v>100</v>
      </c>
      <c r="I275" s="149" t="str">
        <f t="shared" si="8"/>
        <v>0801</v>
      </c>
    </row>
    <row r="276" spans="1:9" ht="63.75">
      <c r="A276" s="53" t="s">
        <v>1759</v>
      </c>
      <c r="B276" s="137" t="s">
        <v>246</v>
      </c>
      <c r="C276" s="137" t="s">
        <v>510</v>
      </c>
      <c r="D276" s="137" t="s">
        <v>1760</v>
      </c>
      <c r="E276" s="137"/>
      <c r="F276" s="472">
        <v>301952</v>
      </c>
      <c r="G276" s="470">
        <v>301952</v>
      </c>
      <c r="H276" s="320">
        <f t="shared" si="9"/>
        <v>100</v>
      </c>
      <c r="I276" s="149" t="str">
        <f t="shared" si="8"/>
        <v>08010530077450</v>
      </c>
    </row>
    <row r="277" spans="1:9" ht="38.25">
      <c r="A277" s="53" t="s">
        <v>461</v>
      </c>
      <c r="B277" s="137" t="s">
        <v>246</v>
      </c>
      <c r="C277" s="137" t="s">
        <v>510</v>
      </c>
      <c r="D277" s="137" t="s">
        <v>1760</v>
      </c>
      <c r="E277" s="137" t="s">
        <v>462</v>
      </c>
      <c r="F277" s="472">
        <v>301952</v>
      </c>
      <c r="G277" s="470">
        <v>301952</v>
      </c>
      <c r="H277" s="320">
        <f t="shared" si="9"/>
        <v>100</v>
      </c>
      <c r="I277" s="149" t="str">
        <f t="shared" si="8"/>
        <v>08010530077450243</v>
      </c>
    </row>
    <row r="278" spans="1:9" ht="25.5">
      <c r="A278" s="53" t="s">
        <v>511</v>
      </c>
      <c r="B278" s="137" t="s">
        <v>177</v>
      </c>
      <c r="C278" s="137"/>
      <c r="D278" s="137"/>
      <c r="E278" s="137"/>
      <c r="F278" s="472">
        <v>65401154</v>
      </c>
      <c r="G278" s="470">
        <v>65399405.899999999</v>
      </c>
      <c r="H278" s="320">
        <f t="shared" si="9"/>
        <v>99.997327111383996</v>
      </c>
      <c r="I278" s="149" t="str">
        <f t="shared" si="8"/>
        <v/>
      </c>
    </row>
    <row r="279" spans="1:9">
      <c r="A279" s="53" t="s">
        <v>174</v>
      </c>
      <c r="B279" s="137" t="s">
        <v>177</v>
      </c>
      <c r="C279" s="137" t="s">
        <v>1609</v>
      </c>
      <c r="D279" s="137"/>
      <c r="E279" s="137"/>
      <c r="F279" s="472">
        <v>65401154</v>
      </c>
      <c r="G279" s="470">
        <v>65399405.899999999</v>
      </c>
      <c r="H279" s="320">
        <f t="shared" si="9"/>
        <v>99.997327111383996</v>
      </c>
      <c r="I279" s="149" t="str">
        <f t="shared" si="8"/>
        <v>1000</v>
      </c>
    </row>
    <row r="280" spans="1:9">
      <c r="A280" s="53" t="s">
        <v>126</v>
      </c>
      <c r="B280" s="137" t="s">
        <v>177</v>
      </c>
      <c r="C280" s="137" t="s">
        <v>513</v>
      </c>
      <c r="D280" s="137"/>
      <c r="E280" s="137"/>
      <c r="F280" s="472">
        <v>46039251</v>
      </c>
      <c r="G280" s="470">
        <v>46039251</v>
      </c>
      <c r="H280" s="320">
        <f t="shared" si="9"/>
        <v>100</v>
      </c>
      <c r="I280" s="149" t="str">
        <f t="shared" si="8"/>
        <v>1002</v>
      </c>
    </row>
    <row r="281" spans="1:9" ht="102">
      <c r="A281" s="53" t="s">
        <v>636</v>
      </c>
      <c r="B281" s="137" t="s">
        <v>177</v>
      </c>
      <c r="C281" s="137" t="s">
        <v>513</v>
      </c>
      <c r="D281" s="137" t="s">
        <v>908</v>
      </c>
      <c r="E281" s="137"/>
      <c r="F281" s="472">
        <v>46039251</v>
      </c>
      <c r="G281" s="470">
        <v>46039251</v>
      </c>
      <c r="H281" s="320">
        <f t="shared" si="9"/>
        <v>100</v>
      </c>
      <c r="I281" s="149" t="str">
        <f t="shared" si="8"/>
        <v>10020240001510</v>
      </c>
    </row>
    <row r="282" spans="1:9" ht="63.75">
      <c r="A282" s="53" t="s">
        <v>465</v>
      </c>
      <c r="B282" s="137" t="s">
        <v>177</v>
      </c>
      <c r="C282" s="137" t="s">
        <v>513</v>
      </c>
      <c r="D282" s="137" t="s">
        <v>908</v>
      </c>
      <c r="E282" s="137" t="s">
        <v>466</v>
      </c>
      <c r="F282" s="472">
        <v>46039251</v>
      </c>
      <c r="G282" s="470">
        <v>46039251</v>
      </c>
      <c r="H282" s="320">
        <f t="shared" si="9"/>
        <v>100</v>
      </c>
      <c r="I282" s="149" t="str">
        <f t="shared" si="8"/>
        <v>10020240001510611</v>
      </c>
    </row>
    <row r="283" spans="1:9">
      <c r="A283" s="53" t="s">
        <v>127</v>
      </c>
      <c r="B283" s="137" t="s">
        <v>177</v>
      </c>
      <c r="C283" s="137" t="s">
        <v>496</v>
      </c>
      <c r="D283" s="137"/>
      <c r="E283" s="137"/>
      <c r="F283" s="472">
        <v>357854</v>
      </c>
      <c r="G283" s="470">
        <v>356105.9</v>
      </c>
      <c r="H283" s="320">
        <f t="shared" si="9"/>
        <v>99.511504691857581</v>
      </c>
      <c r="I283" s="149" t="str">
        <f t="shared" si="8"/>
        <v>1003</v>
      </c>
    </row>
    <row r="284" spans="1:9" ht="102">
      <c r="A284" s="53" t="s">
        <v>1309</v>
      </c>
      <c r="B284" s="137" t="s">
        <v>177</v>
      </c>
      <c r="C284" s="137" t="s">
        <v>496</v>
      </c>
      <c r="D284" s="137" t="s">
        <v>1310</v>
      </c>
      <c r="E284" s="137"/>
      <c r="F284" s="472">
        <v>337500</v>
      </c>
      <c r="G284" s="470">
        <v>335751.9</v>
      </c>
      <c r="H284" s="320">
        <f t="shared" si="9"/>
        <v>99.482044444444455</v>
      </c>
      <c r="I284" s="149" t="str">
        <f t="shared" si="8"/>
        <v>10030220006400</v>
      </c>
    </row>
    <row r="285" spans="1:9" ht="38.25">
      <c r="A285" s="53" t="s">
        <v>445</v>
      </c>
      <c r="B285" s="137" t="s">
        <v>177</v>
      </c>
      <c r="C285" s="137" t="s">
        <v>496</v>
      </c>
      <c r="D285" s="137" t="s">
        <v>1310</v>
      </c>
      <c r="E285" s="137" t="s">
        <v>446</v>
      </c>
      <c r="F285" s="472">
        <v>337500</v>
      </c>
      <c r="G285" s="470">
        <v>335751.9</v>
      </c>
      <c r="H285" s="320">
        <f t="shared" si="9"/>
        <v>99.482044444444455</v>
      </c>
      <c r="I285" s="149" t="str">
        <f t="shared" si="8"/>
        <v>10030220006400244</v>
      </c>
    </row>
    <row r="286" spans="1:9" ht="38.25">
      <c r="A286" s="53" t="s">
        <v>547</v>
      </c>
      <c r="B286" s="137" t="s">
        <v>177</v>
      </c>
      <c r="C286" s="137" t="s">
        <v>496</v>
      </c>
      <c r="D286" s="137" t="s">
        <v>1002</v>
      </c>
      <c r="E286" s="137"/>
      <c r="F286" s="472">
        <v>20354</v>
      </c>
      <c r="G286" s="470">
        <v>20354</v>
      </c>
      <c r="H286" s="320">
        <f t="shared" si="9"/>
        <v>100</v>
      </c>
      <c r="I286" s="149" t="str">
        <f t="shared" si="8"/>
        <v>10039010080000</v>
      </c>
    </row>
    <row r="287" spans="1:9" ht="38.25">
      <c r="A287" s="53" t="s">
        <v>445</v>
      </c>
      <c r="B287" s="137" t="s">
        <v>177</v>
      </c>
      <c r="C287" s="137" t="s">
        <v>496</v>
      </c>
      <c r="D287" s="137" t="s">
        <v>1002</v>
      </c>
      <c r="E287" s="137" t="s">
        <v>446</v>
      </c>
      <c r="F287" s="472">
        <v>354</v>
      </c>
      <c r="G287" s="470">
        <v>354</v>
      </c>
      <c r="H287" s="320">
        <f t="shared" si="9"/>
        <v>100</v>
      </c>
      <c r="I287" s="149" t="str">
        <f t="shared" si="8"/>
        <v>10039010080000244</v>
      </c>
    </row>
    <row r="288" spans="1:9" ht="38.25">
      <c r="A288" s="53" t="s">
        <v>497</v>
      </c>
      <c r="B288" s="137" t="s">
        <v>177</v>
      </c>
      <c r="C288" s="137" t="s">
        <v>496</v>
      </c>
      <c r="D288" s="137" t="s">
        <v>1002</v>
      </c>
      <c r="E288" s="137" t="s">
        <v>498</v>
      </c>
      <c r="F288" s="472">
        <v>20000</v>
      </c>
      <c r="G288" s="470">
        <v>20000</v>
      </c>
      <c r="H288" s="320">
        <f t="shared" si="9"/>
        <v>100</v>
      </c>
      <c r="I288" s="149" t="str">
        <f t="shared" si="8"/>
        <v>10039010080000321</v>
      </c>
    </row>
    <row r="289" spans="1:9">
      <c r="A289" s="53" t="s">
        <v>81</v>
      </c>
      <c r="B289" s="137" t="s">
        <v>177</v>
      </c>
      <c r="C289" s="137" t="s">
        <v>514</v>
      </c>
      <c r="D289" s="137"/>
      <c r="E289" s="137"/>
      <c r="F289" s="472">
        <v>19004049</v>
      </c>
      <c r="G289" s="470">
        <v>19004049</v>
      </c>
      <c r="H289" s="320">
        <f t="shared" si="9"/>
        <v>100</v>
      </c>
      <c r="I289" s="149" t="str">
        <f t="shared" si="8"/>
        <v>1006</v>
      </c>
    </row>
    <row r="290" spans="1:9" ht="153">
      <c r="A290" s="53" t="s">
        <v>730</v>
      </c>
      <c r="B290" s="137" t="s">
        <v>177</v>
      </c>
      <c r="C290" s="137" t="s">
        <v>514</v>
      </c>
      <c r="D290" s="137" t="s">
        <v>910</v>
      </c>
      <c r="E290" s="137"/>
      <c r="F290" s="472">
        <v>19004049</v>
      </c>
      <c r="G290" s="470">
        <v>19004049</v>
      </c>
      <c r="H290" s="320">
        <f t="shared" si="9"/>
        <v>100</v>
      </c>
      <c r="I290" s="149" t="str">
        <f t="shared" si="8"/>
        <v>10060260075130</v>
      </c>
    </row>
    <row r="291" spans="1:9" ht="25.5">
      <c r="A291" s="53" t="s">
        <v>1165</v>
      </c>
      <c r="B291" s="137" t="s">
        <v>177</v>
      </c>
      <c r="C291" s="137" t="s">
        <v>514</v>
      </c>
      <c r="D291" s="137" t="s">
        <v>910</v>
      </c>
      <c r="E291" s="137" t="s">
        <v>440</v>
      </c>
      <c r="F291" s="472">
        <v>11608100</v>
      </c>
      <c r="G291" s="470">
        <v>11608100</v>
      </c>
      <c r="H291" s="320">
        <f t="shared" si="9"/>
        <v>100</v>
      </c>
      <c r="I291" s="149" t="str">
        <f t="shared" si="8"/>
        <v>10060260075130121</v>
      </c>
    </row>
    <row r="292" spans="1:9" ht="38.25">
      <c r="A292" s="53" t="s">
        <v>441</v>
      </c>
      <c r="B292" s="137" t="s">
        <v>177</v>
      </c>
      <c r="C292" s="137" t="s">
        <v>514</v>
      </c>
      <c r="D292" s="137" t="s">
        <v>910</v>
      </c>
      <c r="E292" s="137" t="s">
        <v>442</v>
      </c>
      <c r="F292" s="472">
        <v>396008.86</v>
      </c>
      <c r="G292" s="470">
        <v>396008.86</v>
      </c>
      <c r="H292" s="320">
        <f t="shared" si="9"/>
        <v>100</v>
      </c>
      <c r="I292" s="149" t="str">
        <f t="shared" si="8"/>
        <v>10060260075130122</v>
      </c>
    </row>
    <row r="293" spans="1:9" ht="51">
      <c r="A293" s="53" t="s">
        <v>1288</v>
      </c>
      <c r="B293" s="137" t="s">
        <v>177</v>
      </c>
      <c r="C293" s="137" t="s">
        <v>514</v>
      </c>
      <c r="D293" s="137" t="s">
        <v>910</v>
      </c>
      <c r="E293" s="137" t="s">
        <v>1289</v>
      </c>
      <c r="F293" s="472">
        <v>3496325.4</v>
      </c>
      <c r="G293" s="470">
        <v>3496325.4</v>
      </c>
      <c r="H293" s="320">
        <f t="shared" si="9"/>
        <v>100</v>
      </c>
      <c r="I293" s="149" t="str">
        <f t="shared" si="8"/>
        <v>10060260075130129</v>
      </c>
    </row>
    <row r="294" spans="1:9" ht="38.25">
      <c r="A294" s="53" t="s">
        <v>445</v>
      </c>
      <c r="B294" s="137" t="s">
        <v>177</v>
      </c>
      <c r="C294" s="137" t="s">
        <v>514</v>
      </c>
      <c r="D294" s="137" t="s">
        <v>910</v>
      </c>
      <c r="E294" s="137" t="s">
        <v>446</v>
      </c>
      <c r="F294" s="472">
        <v>3496236.08</v>
      </c>
      <c r="G294" s="470">
        <v>3496236.08</v>
      </c>
      <c r="H294" s="320">
        <f t="shared" si="9"/>
        <v>100</v>
      </c>
      <c r="I294" s="149" t="str">
        <f t="shared" si="8"/>
        <v>10060260075130244</v>
      </c>
    </row>
    <row r="295" spans="1:9">
      <c r="A295" s="53" t="s">
        <v>1168</v>
      </c>
      <c r="B295" s="137" t="s">
        <v>177</v>
      </c>
      <c r="C295" s="137" t="s">
        <v>514</v>
      </c>
      <c r="D295" s="137" t="s">
        <v>910</v>
      </c>
      <c r="E295" s="137" t="s">
        <v>626</v>
      </c>
      <c r="F295" s="472">
        <v>5450</v>
      </c>
      <c r="G295" s="470">
        <v>5450</v>
      </c>
      <c r="H295" s="320">
        <f t="shared" si="9"/>
        <v>100</v>
      </c>
      <c r="I295" s="149" t="str">
        <f t="shared" si="8"/>
        <v>10060260075130852</v>
      </c>
    </row>
    <row r="296" spans="1:9">
      <c r="A296" s="53" t="s">
        <v>1293</v>
      </c>
      <c r="B296" s="137" t="s">
        <v>177</v>
      </c>
      <c r="C296" s="137" t="s">
        <v>514</v>
      </c>
      <c r="D296" s="137" t="s">
        <v>910</v>
      </c>
      <c r="E296" s="137" t="s">
        <v>1294</v>
      </c>
      <c r="F296" s="472">
        <v>1928.66</v>
      </c>
      <c r="G296" s="470">
        <v>1928.66</v>
      </c>
      <c r="H296" s="320">
        <f t="shared" si="9"/>
        <v>100</v>
      </c>
      <c r="I296" s="149" t="str">
        <f t="shared" si="8"/>
        <v>10060260075130853</v>
      </c>
    </row>
    <row r="297" spans="1:9" ht="25.5">
      <c r="A297" s="53" t="s">
        <v>305</v>
      </c>
      <c r="B297" s="137" t="s">
        <v>278</v>
      </c>
      <c r="C297" s="137"/>
      <c r="D297" s="137"/>
      <c r="E297" s="137"/>
      <c r="F297" s="472">
        <v>218775551.5</v>
      </c>
      <c r="G297" s="470">
        <v>205862557.63</v>
      </c>
      <c r="H297" s="320">
        <f t="shared" si="9"/>
        <v>94.097606528031079</v>
      </c>
      <c r="I297" s="149" t="str">
        <f t="shared" si="8"/>
        <v/>
      </c>
    </row>
    <row r="298" spans="1:9">
      <c r="A298" s="53" t="s">
        <v>173</v>
      </c>
      <c r="B298" s="137" t="s">
        <v>278</v>
      </c>
      <c r="C298" s="137" t="s">
        <v>1608</v>
      </c>
      <c r="D298" s="137"/>
      <c r="E298" s="137"/>
      <c r="F298" s="472">
        <v>44000094.880000003</v>
      </c>
      <c r="G298" s="470">
        <v>42084092.030000001</v>
      </c>
      <c r="H298" s="320">
        <f t="shared" si="9"/>
        <v>95.645457458159001</v>
      </c>
      <c r="I298" s="149" t="str">
        <f t="shared" si="8"/>
        <v>0700</v>
      </c>
    </row>
    <row r="299" spans="1:9">
      <c r="A299" s="53" t="s">
        <v>1442</v>
      </c>
      <c r="B299" s="137" t="s">
        <v>278</v>
      </c>
      <c r="C299" s="137" t="s">
        <v>1443</v>
      </c>
      <c r="D299" s="137"/>
      <c r="E299" s="137"/>
      <c r="F299" s="472">
        <v>44000094.880000003</v>
      </c>
      <c r="G299" s="470">
        <v>42084092.030000001</v>
      </c>
      <c r="H299" s="320">
        <f t="shared" si="9"/>
        <v>95.645457458159001</v>
      </c>
      <c r="I299" s="149" t="str">
        <f t="shared" si="8"/>
        <v>0703</v>
      </c>
    </row>
    <row r="300" spans="1:9" ht="63.75">
      <c r="A300" s="53" t="s">
        <v>637</v>
      </c>
      <c r="B300" s="137" t="s">
        <v>278</v>
      </c>
      <c r="C300" s="137" t="s">
        <v>1443</v>
      </c>
      <c r="D300" s="137" t="s">
        <v>911</v>
      </c>
      <c r="E300" s="137"/>
      <c r="F300" s="472">
        <v>158550</v>
      </c>
      <c r="G300" s="470">
        <v>158550</v>
      </c>
      <c r="H300" s="320">
        <f t="shared" si="9"/>
        <v>100</v>
      </c>
      <c r="I300" s="149" t="str">
        <f t="shared" si="8"/>
        <v>07030520080520</v>
      </c>
    </row>
    <row r="301" spans="1:9" ht="25.5">
      <c r="A301" s="53" t="s">
        <v>484</v>
      </c>
      <c r="B301" s="137" t="s">
        <v>278</v>
      </c>
      <c r="C301" s="137" t="s">
        <v>1443</v>
      </c>
      <c r="D301" s="137" t="s">
        <v>911</v>
      </c>
      <c r="E301" s="137" t="s">
        <v>485</v>
      </c>
      <c r="F301" s="472">
        <v>158550</v>
      </c>
      <c r="G301" s="470">
        <v>158550</v>
      </c>
      <c r="H301" s="320">
        <f t="shared" si="9"/>
        <v>100</v>
      </c>
      <c r="I301" s="149" t="str">
        <f t="shared" si="8"/>
        <v>07030520080520612</v>
      </c>
    </row>
    <row r="302" spans="1:9" ht="114.75">
      <c r="A302" s="53" t="s">
        <v>1896</v>
      </c>
      <c r="B302" s="137" t="s">
        <v>278</v>
      </c>
      <c r="C302" s="137" t="s">
        <v>1443</v>
      </c>
      <c r="D302" s="137" t="s">
        <v>1897</v>
      </c>
      <c r="E302" s="137"/>
      <c r="F302" s="472">
        <v>1017100</v>
      </c>
      <c r="G302" s="470">
        <v>1011794.88</v>
      </c>
      <c r="H302" s="320">
        <f t="shared" si="9"/>
        <v>99.478407236259955</v>
      </c>
      <c r="I302" s="149" t="str">
        <f t="shared" si="8"/>
        <v>07030530010420</v>
      </c>
    </row>
    <row r="303" spans="1:9" ht="63.75">
      <c r="A303" s="53" t="s">
        <v>465</v>
      </c>
      <c r="B303" s="137" t="s">
        <v>278</v>
      </c>
      <c r="C303" s="137" t="s">
        <v>1443</v>
      </c>
      <c r="D303" s="137" t="s">
        <v>1897</v>
      </c>
      <c r="E303" s="137" t="s">
        <v>466</v>
      </c>
      <c r="F303" s="472">
        <v>1017100</v>
      </c>
      <c r="G303" s="470">
        <v>1011794.88</v>
      </c>
      <c r="H303" s="320">
        <f t="shared" si="9"/>
        <v>99.478407236259955</v>
      </c>
      <c r="I303" s="149" t="str">
        <f t="shared" si="8"/>
        <v>07030530010420611</v>
      </c>
    </row>
    <row r="304" spans="1:9" ht="114.75">
      <c r="A304" s="53" t="s">
        <v>638</v>
      </c>
      <c r="B304" s="137" t="s">
        <v>278</v>
      </c>
      <c r="C304" s="137" t="s">
        <v>1443</v>
      </c>
      <c r="D304" s="137" t="s">
        <v>912</v>
      </c>
      <c r="E304" s="137"/>
      <c r="F304" s="472">
        <v>31081009.050000001</v>
      </c>
      <c r="G304" s="470">
        <v>30479717.530000001</v>
      </c>
      <c r="H304" s="320">
        <f t="shared" si="9"/>
        <v>98.065405408708898</v>
      </c>
      <c r="I304" s="149" t="str">
        <f t="shared" si="8"/>
        <v>07030530040000</v>
      </c>
    </row>
    <row r="305" spans="1:9" ht="63.75">
      <c r="A305" s="53" t="s">
        <v>465</v>
      </c>
      <c r="B305" s="137" t="s">
        <v>278</v>
      </c>
      <c r="C305" s="137" t="s">
        <v>1443</v>
      </c>
      <c r="D305" s="137" t="s">
        <v>912</v>
      </c>
      <c r="E305" s="137" t="s">
        <v>466</v>
      </c>
      <c r="F305" s="472">
        <v>31081009.050000001</v>
      </c>
      <c r="G305" s="470">
        <v>30479717.530000001</v>
      </c>
      <c r="H305" s="320">
        <f t="shared" si="9"/>
        <v>98.065405408708898</v>
      </c>
      <c r="I305" s="149" t="str">
        <f t="shared" si="8"/>
        <v>07030530040000611</v>
      </c>
    </row>
    <row r="306" spans="1:9" ht="153">
      <c r="A306" s="53" t="s">
        <v>639</v>
      </c>
      <c r="B306" s="137" t="s">
        <v>278</v>
      </c>
      <c r="C306" s="137" t="s">
        <v>1443</v>
      </c>
      <c r="D306" s="137" t="s">
        <v>913</v>
      </c>
      <c r="E306" s="137"/>
      <c r="F306" s="472">
        <v>7227500</v>
      </c>
      <c r="G306" s="470">
        <v>6575884.75</v>
      </c>
      <c r="H306" s="320">
        <f t="shared" si="9"/>
        <v>90.984223452092706</v>
      </c>
      <c r="I306" s="149" t="str">
        <f t="shared" si="8"/>
        <v>07030530041000</v>
      </c>
    </row>
    <row r="307" spans="1:9" ht="63.75">
      <c r="A307" s="53" t="s">
        <v>465</v>
      </c>
      <c r="B307" s="137" t="s">
        <v>278</v>
      </c>
      <c r="C307" s="137" t="s">
        <v>1443</v>
      </c>
      <c r="D307" s="137" t="s">
        <v>913</v>
      </c>
      <c r="E307" s="137" t="s">
        <v>466</v>
      </c>
      <c r="F307" s="472">
        <v>7227500</v>
      </c>
      <c r="G307" s="470">
        <v>6575884.75</v>
      </c>
      <c r="H307" s="320">
        <f t="shared" si="9"/>
        <v>90.984223452092706</v>
      </c>
      <c r="I307" s="149" t="str">
        <f t="shared" si="8"/>
        <v>07030530041000611</v>
      </c>
    </row>
    <row r="308" spans="1:9" ht="127.5">
      <c r="A308" s="53" t="s">
        <v>731</v>
      </c>
      <c r="B308" s="137" t="s">
        <v>278</v>
      </c>
      <c r="C308" s="137" t="s">
        <v>1443</v>
      </c>
      <c r="D308" s="137" t="s">
        <v>914</v>
      </c>
      <c r="E308" s="137"/>
      <c r="F308" s="472">
        <v>276930.27</v>
      </c>
      <c r="G308" s="470">
        <v>169570.01</v>
      </c>
      <c r="H308" s="320">
        <f t="shared" si="9"/>
        <v>61.2320242203931</v>
      </c>
      <c r="I308" s="149" t="str">
        <f t="shared" si="8"/>
        <v>07030530045000</v>
      </c>
    </row>
    <row r="309" spans="1:9" ht="63.75">
      <c r="A309" s="53" t="s">
        <v>465</v>
      </c>
      <c r="B309" s="137" t="s">
        <v>278</v>
      </c>
      <c r="C309" s="137" t="s">
        <v>1443</v>
      </c>
      <c r="D309" s="137" t="s">
        <v>914</v>
      </c>
      <c r="E309" s="137" t="s">
        <v>466</v>
      </c>
      <c r="F309" s="472">
        <v>276930.27</v>
      </c>
      <c r="G309" s="470">
        <v>169570.01</v>
      </c>
      <c r="H309" s="320">
        <f t="shared" si="9"/>
        <v>61.2320242203931</v>
      </c>
      <c r="I309" s="149" t="str">
        <f t="shared" si="8"/>
        <v>07030530045000611</v>
      </c>
    </row>
    <row r="310" spans="1:9" ht="114.75">
      <c r="A310" s="53" t="s">
        <v>640</v>
      </c>
      <c r="B310" s="137" t="s">
        <v>278</v>
      </c>
      <c r="C310" s="137" t="s">
        <v>1443</v>
      </c>
      <c r="D310" s="137" t="s">
        <v>915</v>
      </c>
      <c r="E310" s="137"/>
      <c r="F310" s="472">
        <v>542925.39</v>
      </c>
      <c r="G310" s="470">
        <v>542925.39</v>
      </c>
      <c r="H310" s="320">
        <f t="shared" si="9"/>
        <v>100</v>
      </c>
      <c r="I310" s="149" t="str">
        <f t="shared" si="8"/>
        <v>07030530047000</v>
      </c>
    </row>
    <row r="311" spans="1:9" ht="25.5">
      <c r="A311" s="53" t="s">
        <v>484</v>
      </c>
      <c r="B311" s="137" t="s">
        <v>278</v>
      </c>
      <c r="C311" s="137" t="s">
        <v>1443</v>
      </c>
      <c r="D311" s="137" t="s">
        <v>915</v>
      </c>
      <c r="E311" s="137" t="s">
        <v>485</v>
      </c>
      <c r="F311" s="472">
        <v>542925.39</v>
      </c>
      <c r="G311" s="470">
        <v>542925.39</v>
      </c>
      <c r="H311" s="320">
        <f t="shared" si="9"/>
        <v>100</v>
      </c>
      <c r="I311" s="149" t="str">
        <f t="shared" ref="I311:I369" si="10">CONCATENATE(C311,D311,E311)</f>
        <v>07030530047000612</v>
      </c>
    </row>
    <row r="312" spans="1:9" ht="127.5">
      <c r="A312" s="53" t="s">
        <v>732</v>
      </c>
      <c r="B312" s="137" t="s">
        <v>278</v>
      </c>
      <c r="C312" s="137" t="s">
        <v>1443</v>
      </c>
      <c r="D312" s="137" t="s">
        <v>916</v>
      </c>
      <c r="E312" s="137"/>
      <c r="F312" s="472">
        <v>2460125.5699999998</v>
      </c>
      <c r="G312" s="470">
        <v>1962439.94</v>
      </c>
      <c r="H312" s="320">
        <f t="shared" si="9"/>
        <v>79.76990946848295</v>
      </c>
      <c r="I312" s="149" t="str">
        <f t="shared" si="10"/>
        <v>0703053004Г000</v>
      </c>
    </row>
    <row r="313" spans="1:9" ht="63.75">
      <c r="A313" s="53" t="s">
        <v>465</v>
      </c>
      <c r="B313" s="137" t="s">
        <v>278</v>
      </c>
      <c r="C313" s="137" t="s">
        <v>1443</v>
      </c>
      <c r="D313" s="137" t="s">
        <v>916</v>
      </c>
      <c r="E313" s="137" t="s">
        <v>466</v>
      </c>
      <c r="F313" s="472">
        <v>2460125.5699999998</v>
      </c>
      <c r="G313" s="470">
        <v>1962439.94</v>
      </c>
      <c r="H313" s="320">
        <f t="shared" si="9"/>
        <v>79.76990946848295</v>
      </c>
      <c r="I313" s="149" t="str">
        <f t="shared" si="10"/>
        <v>0703053004Г000611</v>
      </c>
    </row>
    <row r="314" spans="1:9" ht="102">
      <c r="A314" s="53" t="s">
        <v>1173</v>
      </c>
      <c r="B314" s="137" t="s">
        <v>278</v>
      </c>
      <c r="C314" s="137" t="s">
        <v>1443</v>
      </c>
      <c r="D314" s="137" t="s">
        <v>1174</v>
      </c>
      <c r="E314" s="137"/>
      <c r="F314" s="472">
        <v>280880</v>
      </c>
      <c r="G314" s="470">
        <v>228139.93</v>
      </c>
      <c r="H314" s="320">
        <f t="shared" si="9"/>
        <v>81.223273283964687</v>
      </c>
      <c r="I314" s="149" t="str">
        <f t="shared" si="10"/>
        <v>0703053004Э000</v>
      </c>
    </row>
    <row r="315" spans="1:9" ht="63.75">
      <c r="A315" s="53" t="s">
        <v>465</v>
      </c>
      <c r="B315" s="137" t="s">
        <v>278</v>
      </c>
      <c r="C315" s="137" t="s">
        <v>1443</v>
      </c>
      <c r="D315" s="137" t="s">
        <v>1174</v>
      </c>
      <c r="E315" s="137" t="s">
        <v>466</v>
      </c>
      <c r="F315" s="472">
        <v>280880</v>
      </c>
      <c r="G315" s="470">
        <v>228139.93</v>
      </c>
      <c r="H315" s="320">
        <f t="shared" si="9"/>
        <v>81.223273283964687</v>
      </c>
      <c r="I315" s="149" t="str">
        <f t="shared" si="10"/>
        <v>0703053004Э000611</v>
      </c>
    </row>
    <row r="316" spans="1:9" ht="114.75">
      <c r="A316" s="53" t="s">
        <v>2008</v>
      </c>
      <c r="B316" s="137" t="s">
        <v>278</v>
      </c>
      <c r="C316" s="137" t="s">
        <v>1443</v>
      </c>
      <c r="D316" s="137" t="s">
        <v>2009</v>
      </c>
      <c r="E316" s="137"/>
      <c r="F316" s="472">
        <v>47020</v>
      </c>
      <c r="G316" s="470">
        <v>47015</v>
      </c>
      <c r="H316" s="320">
        <f t="shared" si="9"/>
        <v>99.989366227137396</v>
      </c>
      <c r="I316" s="149" t="str">
        <f t="shared" si="10"/>
        <v>07030530077440</v>
      </c>
    </row>
    <row r="317" spans="1:9" ht="25.5">
      <c r="A317" s="53" t="s">
        <v>484</v>
      </c>
      <c r="B317" s="137" t="s">
        <v>278</v>
      </c>
      <c r="C317" s="137" t="s">
        <v>1443</v>
      </c>
      <c r="D317" s="137" t="s">
        <v>2009</v>
      </c>
      <c r="E317" s="137" t="s">
        <v>485</v>
      </c>
      <c r="F317" s="472">
        <v>47020</v>
      </c>
      <c r="G317" s="470">
        <v>47015</v>
      </c>
      <c r="H317" s="320">
        <f t="shared" si="9"/>
        <v>99.989366227137396</v>
      </c>
      <c r="I317" s="149" t="str">
        <f t="shared" si="10"/>
        <v>07030530077440612</v>
      </c>
    </row>
    <row r="318" spans="1:9" ht="63.75">
      <c r="A318" s="53" t="s">
        <v>1759</v>
      </c>
      <c r="B318" s="137" t="s">
        <v>278</v>
      </c>
      <c r="C318" s="137" t="s">
        <v>1443</v>
      </c>
      <c r="D318" s="137" t="s">
        <v>1760</v>
      </c>
      <c r="E318" s="137"/>
      <c r="F318" s="472">
        <v>664257.30000000005</v>
      </c>
      <c r="G318" s="470">
        <v>664257.30000000005</v>
      </c>
      <c r="H318" s="320">
        <f t="shared" si="9"/>
        <v>100</v>
      </c>
      <c r="I318" s="149" t="str">
        <f t="shared" si="10"/>
        <v>07030530077450</v>
      </c>
    </row>
    <row r="319" spans="1:9" ht="25.5">
      <c r="A319" s="53" t="s">
        <v>484</v>
      </c>
      <c r="B319" s="137" t="s">
        <v>278</v>
      </c>
      <c r="C319" s="137" t="s">
        <v>1443</v>
      </c>
      <c r="D319" s="137" t="s">
        <v>1760</v>
      </c>
      <c r="E319" s="137" t="s">
        <v>485</v>
      </c>
      <c r="F319" s="472">
        <v>664257.30000000005</v>
      </c>
      <c r="G319" s="470">
        <v>664257.30000000005</v>
      </c>
      <c r="H319" s="320">
        <f t="shared" si="9"/>
        <v>100</v>
      </c>
      <c r="I319" s="149" t="str">
        <f t="shared" si="10"/>
        <v>07030530077450612</v>
      </c>
    </row>
    <row r="320" spans="1:9" ht="76.5">
      <c r="A320" s="53" t="s">
        <v>641</v>
      </c>
      <c r="B320" s="137" t="s">
        <v>278</v>
      </c>
      <c r="C320" s="137" t="s">
        <v>1443</v>
      </c>
      <c r="D320" s="137" t="s">
        <v>940</v>
      </c>
      <c r="E320" s="137"/>
      <c r="F320" s="472">
        <v>83659</v>
      </c>
      <c r="G320" s="470">
        <v>83659</v>
      </c>
      <c r="H320" s="320">
        <f t="shared" si="9"/>
        <v>100</v>
      </c>
      <c r="I320" s="149" t="str">
        <f t="shared" si="10"/>
        <v>070305300Ф0000</v>
      </c>
    </row>
    <row r="321" spans="1:9" ht="25.5">
      <c r="A321" s="53" t="s">
        <v>484</v>
      </c>
      <c r="B321" s="137" t="s">
        <v>278</v>
      </c>
      <c r="C321" s="137" t="s">
        <v>1443</v>
      </c>
      <c r="D321" s="137" t="s">
        <v>940</v>
      </c>
      <c r="E321" s="137" t="s">
        <v>485</v>
      </c>
      <c r="F321" s="472">
        <v>83659</v>
      </c>
      <c r="G321" s="470">
        <v>83659</v>
      </c>
      <c r="H321" s="320">
        <f t="shared" si="9"/>
        <v>100</v>
      </c>
      <c r="I321" s="149" t="str">
        <f t="shared" si="10"/>
        <v>070305300Ф0000612</v>
      </c>
    </row>
    <row r="322" spans="1:9" ht="114.75">
      <c r="A322" s="53" t="s">
        <v>654</v>
      </c>
      <c r="B322" s="137" t="s">
        <v>278</v>
      </c>
      <c r="C322" s="137" t="s">
        <v>1443</v>
      </c>
      <c r="D322" s="137" t="s">
        <v>941</v>
      </c>
      <c r="E322" s="137"/>
      <c r="F322" s="472">
        <v>160138.29999999999</v>
      </c>
      <c r="G322" s="470">
        <v>160138.29999999999</v>
      </c>
      <c r="H322" s="320">
        <f t="shared" si="9"/>
        <v>100</v>
      </c>
      <c r="I322" s="149" t="str">
        <f t="shared" si="10"/>
        <v>070305300Ц0000</v>
      </c>
    </row>
    <row r="323" spans="1:9" ht="25.5">
      <c r="A323" s="53" t="s">
        <v>484</v>
      </c>
      <c r="B323" s="137" t="s">
        <v>278</v>
      </c>
      <c r="C323" s="137" t="s">
        <v>1443</v>
      </c>
      <c r="D323" s="137" t="s">
        <v>941</v>
      </c>
      <c r="E323" s="137" t="s">
        <v>485</v>
      </c>
      <c r="F323" s="472">
        <v>160138.29999999999</v>
      </c>
      <c r="G323" s="470">
        <v>160138.29999999999</v>
      </c>
      <c r="H323" s="320">
        <f t="shared" si="9"/>
        <v>100</v>
      </c>
      <c r="I323" s="149" t="str">
        <f t="shared" si="10"/>
        <v>070305300Ц0000612</v>
      </c>
    </row>
    <row r="324" spans="1:9">
      <c r="A324" s="53" t="s">
        <v>298</v>
      </c>
      <c r="B324" s="137" t="s">
        <v>278</v>
      </c>
      <c r="C324" s="137" t="s">
        <v>1618</v>
      </c>
      <c r="D324" s="137"/>
      <c r="E324" s="137"/>
      <c r="F324" s="472">
        <v>173029756.62</v>
      </c>
      <c r="G324" s="470">
        <v>162341521.24000001</v>
      </c>
      <c r="H324" s="320">
        <f t="shared" si="9"/>
        <v>93.822891744873104</v>
      </c>
      <c r="I324" s="149" t="str">
        <f t="shared" si="10"/>
        <v>0800</v>
      </c>
    </row>
    <row r="325" spans="1:9">
      <c r="A325" s="53" t="s">
        <v>254</v>
      </c>
      <c r="B325" s="137" t="s">
        <v>278</v>
      </c>
      <c r="C325" s="137" t="s">
        <v>510</v>
      </c>
      <c r="D325" s="137"/>
      <c r="E325" s="137"/>
      <c r="F325" s="472">
        <v>137412086.33000001</v>
      </c>
      <c r="G325" s="470">
        <v>127690795.12</v>
      </c>
      <c r="H325" s="320">
        <f t="shared" si="9"/>
        <v>92.92544675680567</v>
      </c>
      <c r="I325" s="149" t="str">
        <f t="shared" si="10"/>
        <v>0801</v>
      </c>
    </row>
    <row r="326" spans="1:9" ht="89.25">
      <c r="A326" s="53" t="s">
        <v>1761</v>
      </c>
      <c r="B326" s="137" t="s">
        <v>278</v>
      </c>
      <c r="C326" s="137" t="s">
        <v>510</v>
      </c>
      <c r="D326" s="137" t="s">
        <v>1762</v>
      </c>
      <c r="E326" s="137"/>
      <c r="F326" s="472">
        <v>823791</v>
      </c>
      <c r="G326" s="470">
        <v>796786.43</v>
      </c>
      <c r="H326" s="320">
        <f t="shared" si="9"/>
        <v>96.721914903173271</v>
      </c>
      <c r="I326" s="149" t="str">
        <f t="shared" si="10"/>
        <v>08010510010440</v>
      </c>
    </row>
    <row r="327" spans="1:9" ht="63.75">
      <c r="A327" s="53" t="s">
        <v>465</v>
      </c>
      <c r="B327" s="137" t="s">
        <v>278</v>
      </c>
      <c r="C327" s="137" t="s">
        <v>510</v>
      </c>
      <c r="D327" s="137" t="s">
        <v>1762</v>
      </c>
      <c r="E327" s="137" t="s">
        <v>466</v>
      </c>
      <c r="F327" s="472">
        <v>823791</v>
      </c>
      <c r="G327" s="470">
        <v>796786.43</v>
      </c>
      <c r="H327" s="320">
        <f t="shared" ref="H327:H390" si="11">G327/F327*100</f>
        <v>96.721914903173271</v>
      </c>
      <c r="I327" s="149" t="str">
        <f t="shared" si="10"/>
        <v>08010510010440611</v>
      </c>
    </row>
    <row r="328" spans="1:9" ht="114.75">
      <c r="A328" s="53" t="s">
        <v>1898</v>
      </c>
      <c r="B328" s="137" t="s">
        <v>278</v>
      </c>
      <c r="C328" s="137" t="s">
        <v>510</v>
      </c>
      <c r="D328" s="137" t="s">
        <v>1899</v>
      </c>
      <c r="E328" s="137"/>
      <c r="F328" s="472">
        <v>4576480.62</v>
      </c>
      <c r="G328" s="470">
        <v>3856560.39</v>
      </c>
      <c r="H328" s="320">
        <f t="shared" si="11"/>
        <v>84.269129713915405</v>
      </c>
      <c r="I328" s="149" t="str">
        <f t="shared" si="10"/>
        <v>08010510010460</v>
      </c>
    </row>
    <row r="329" spans="1:9" ht="63.75">
      <c r="A329" s="53" t="s">
        <v>465</v>
      </c>
      <c r="B329" s="137" t="s">
        <v>278</v>
      </c>
      <c r="C329" s="137" t="s">
        <v>510</v>
      </c>
      <c r="D329" s="137" t="s">
        <v>1899</v>
      </c>
      <c r="E329" s="137" t="s">
        <v>466</v>
      </c>
      <c r="F329" s="472">
        <v>4576480.62</v>
      </c>
      <c r="G329" s="470">
        <v>3856560.39</v>
      </c>
      <c r="H329" s="320">
        <f t="shared" si="11"/>
        <v>84.269129713915405</v>
      </c>
      <c r="I329" s="149" t="str">
        <f t="shared" si="10"/>
        <v>08010510010460611</v>
      </c>
    </row>
    <row r="330" spans="1:9" ht="102">
      <c r="A330" s="53" t="s">
        <v>517</v>
      </c>
      <c r="B330" s="137" t="s">
        <v>278</v>
      </c>
      <c r="C330" s="137" t="s">
        <v>510</v>
      </c>
      <c r="D330" s="137" t="s">
        <v>917</v>
      </c>
      <c r="E330" s="137"/>
      <c r="F330" s="472">
        <v>25057996.329999998</v>
      </c>
      <c r="G330" s="470">
        <v>23886053.030000001</v>
      </c>
      <c r="H330" s="320">
        <f t="shared" si="11"/>
        <v>95.323076575771864</v>
      </c>
      <c r="I330" s="149" t="str">
        <f t="shared" si="10"/>
        <v>08010510040000</v>
      </c>
    </row>
    <row r="331" spans="1:9" ht="63.75">
      <c r="A331" s="53" t="s">
        <v>465</v>
      </c>
      <c r="B331" s="137" t="s">
        <v>278</v>
      </c>
      <c r="C331" s="137" t="s">
        <v>510</v>
      </c>
      <c r="D331" s="137" t="s">
        <v>917</v>
      </c>
      <c r="E331" s="137" t="s">
        <v>466</v>
      </c>
      <c r="F331" s="472">
        <v>25057996.329999998</v>
      </c>
      <c r="G331" s="470">
        <v>23886053.030000001</v>
      </c>
      <c r="H331" s="320">
        <f t="shared" si="11"/>
        <v>95.323076575771864</v>
      </c>
      <c r="I331" s="149" t="str">
        <f t="shared" si="10"/>
        <v>08010510040000611</v>
      </c>
    </row>
    <row r="332" spans="1:9" ht="140.25">
      <c r="A332" s="53" t="s">
        <v>518</v>
      </c>
      <c r="B332" s="137" t="s">
        <v>278</v>
      </c>
      <c r="C332" s="137" t="s">
        <v>510</v>
      </c>
      <c r="D332" s="137" t="s">
        <v>918</v>
      </c>
      <c r="E332" s="137"/>
      <c r="F332" s="472">
        <v>4120101.67</v>
      </c>
      <c r="G332" s="470">
        <v>4120101.67</v>
      </c>
      <c r="H332" s="320">
        <f t="shared" si="11"/>
        <v>100</v>
      </c>
      <c r="I332" s="149" t="str">
        <f t="shared" si="10"/>
        <v>08010510041000</v>
      </c>
    </row>
    <row r="333" spans="1:9" ht="63.75">
      <c r="A333" s="53" t="s">
        <v>465</v>
      </c>
      <c r="B333" s="137" t="s">
        <v>278</v>
      </c>
      <c r="C333" s="137" t="s">
        <v>510</v>
      </c>
      <c r="D333" s="137" t="s">
        <v>918</v>
      </c>
      <c r="E333" s="137" t="s">
        <v>466</v>
      </c>
      <c r="F333" s="472">
        <v>4120101.67</v>
      </c>
      <c r="G333" s="470">
        <v>4120101.67</v>
      </c>
      <c r="H333" s="320">
        <f t="shared" si="11"/>
        <v>100</v>
      </c>
      <c r="I333" s="149" t="str">
        <f t="shared" si="10"/>
        <v>08010510041000611</v>
      </c>
    </row>
    <row r="334" spans="1:9" ht="114.75">
      <c r="A334" s="53" t="s">
        <v>1303</v>
      </c>
      <c r="B334" s="137" t="s">
        <v>278</v>
      </c>
      <c r="C334" s="137" t="s">
        <v>510</v>
      </c>
      <c r="D334" s="137" t="s">
        <v>1304</v>
      </c>
      <c r="E334" s="137"/>
      <c r="F334" s="472">
        <v>29000</v>
      </c>
      <c r="G334" s="470">
        <v>22195.56</v>
      </c>
      <c r="H334" s="320">
        <f t="shared" si="11"/>
        <v>76.536413793103449</v>
      </c>
      <c r="I334" s="149" t="str">
        <f t="shared" si="10"/>
        <v>08010510045000</v>
      </c>
    </row>
    <row r="335" spans="1:9" ht="63.75">
      <c r="A335" s="53" t="s">
        <v>465</v>
      </c>
      <c r="B335" s="137" t="s">
        <v>278</v>
      </c>
      <c r="C335" s="137" t="s">
        <v>510</v>
      </c>
      <c r="D335" s="137" t="s">
        <v>1304</v>
      </c>
      <c r="E335" s="137" t="s">
        <v>466</v>
      </c>
      <c r="F335" s="472">
        <v>29000</v>
      </c>
      <c r="G335" s="470">
        <v>22195.56</v>
      </c>
      <c r="H335" s="320">
        <f t="shared" si="11"/>
        <v>76.536413793103449</v>
      </c>
      <c r="I335" s="149" t="str">
        <f t="shared" si="10"/>
        <v>08010510045000611</v>
      </c>
    </row>
    <row r="336" spans="1:9" ht="102">
      <c r="A336" s="53" t="s">
        <v>642</v>
      </c>
      <c r="B336" s="137" t="s">
        <v>278</v>
      </c>
      <c r="C336" s="137" t="s">
        <v>510</v>
      </c>
      <c r="D336" s="137" t="s">
        <v>919</v>
      </c>
      <c r="E336" s="137"/>
      <c r="F336" s="472">
        <v>510908</v>
      </c>
      <c r="G336" s="470">
        <v>510908</v>
      </c>
      <c r="H336" s="320">
        <f t="shared" si="11"/>
        <v>100</v>
      </c>
      <c r="I336" s="149" t="str">
        <f t="shared" si="10"/>
        <v>08010510047000</v>
      </c>
    </row>
    <row r="337" spans="1:9" ht="25.5">
      <c r="A337" s="53" t="s">
        <v>484</v>
      </c>
      <c r="B337" s="137" t="s">
        <v>278</v>
      </c>
      <c r="C337" s="137" t="s">
        <v>510</v>
      </c>
      <c r="D337" s="137" t="s">
        <v>919</v>
      </c>
      <c r="E337" s="137" t="s">
        <v>485</v>
      </c>
      <c r="F337" s="472">
        <v>510908</v>
      </c>
      <c r="G337" s="470">
        <v>510908</v>
      </c>
      <c r="H337" s="320">
        <f t="shared" si="11"/>
        <v>100</v>
      </c>
      <c r="I337" s="149" t="str">
        <f t="shared" si="10"/>
        <v>08010510047000612</v>
      </c>
    </row>
    <row r="338" spans="1:9" ht="102">
      <c r="A338" s="53" t="s">
        <v>733</v>
      </c>
      <c r="B338" s="137" t="s">
        <v>278</v>
      </c>
      <c r="C338" s="137" t="s">
        <v>510</v>
      </c>
      <c r="D338" s="137" t="s">
        <v>920</v>
      </c>
      <c r="E338" s="137"/>
      <c r="F338" s="472">
        <v>2987473.78</v>
      </c>
      <c r="G338" s="470">
        <v>2539951.23</v>
      </c>
      <c r="H338" s="320">
        <f t="shared" si="11"/>
        <v>85.020034217672702</v>
      </c>
      <c r="I338" s="149" t="str">
        <f t="shared" si="10"/>
        <v>0801051004Г000</v>
      </c>
    </row>
    <row r="339" spans="1:9" ht="63.75">
      <c r="A339" s="53" t="s">
        <v>465</v>
      </c>
      <c r="B339" s="137" t="s">
        <v>278</v>
      </c>
      <c r="C339" s="137" t="s">
        <v>510</v>
      </c>
      <c r="D339" s="137" t="s">
        <v>920</v>
      </c>
      <c r="E339" s="137" t="s">
        <v>466</v>
      </c>
      <c r="F339" s="472">
        <v>2987473.78</v>
      </c>
      <c r="G339" s="470">
        <v>2539951.23</v>
      </c>
      <c r="H339" s="320">
        <f t="shared" si="11"/>
        <v>85.020034217672702</v>
      </c>
      <c r="I339" s="149" t="str">
        <f t="shared" si="10"/>
        <v>0801051004Г000611</v>
      </c>
    </row>
    <row r="340" spans="1:9" ht="89.25">
      <c r="A340" s="53" t="s">
        <v>1175</v>
      </c>
      <c r="B340" s="137" t="s">
        <v>278</v>
      </c>
      <c r="C340" s="137" t="s">
        <v>510</v>
      </c>
      <c r="D340" s="137" t="s">
        <v>1176</v>
      </c>
      <c r="E340" s="137"/>
      <c r="F340" s="472">
        <v>672000</v>
      </c>
      <c r="G340" s="470">
        <v>627199.13</v>
      </c>
      <c r="H340" s="320">
        <f t="shared" si="11"/>
        <v>93.333203869047622</v>
      </c>
      <c r="I340" s="149" t="str">
        <f t="shared" si="10"/>
        <v>0801051004Э000</v>
      </c>
    </row>
    <row r="341" spans="1:9" ht="63.75">
      <c r="A341" s="53" t="s">
        <v>465</v>
      </c>
      <c r="B341" s="137" t="s">
        <v>278</v>
      </c>
      <c r="C341" s="137" t="s">
        <v>510</v>
      </c>
      <c r="D341" s="137" t="s">
        <v>1176</v>
      </c>
      <c r="E341" s="137" t="s">
        <v>466</v>
      </c>
      <c r="F341" s="472">
        <v>672000</v>
      </c>
      <c r="G341" s="470">
        <v>627199.13</v>
      </c>
      <c r="H341" s="320">
        <f t="shared" si="11"/>
        <v>93.333203869047622</v>
      </c>
      <c r="I341" s="149" t="str">
        <f t="shared" si="10"/>
        <v>0801051004Э000611</v>
      </c>
    </row>
    <row r="342" spans="1:9" ht="63.75">
      <c r="A342" s="53" t="s">
        <v>520</v>
      </c>
      <c r="B342" s="137" t="s">
        <v>278</v>
      </c>
      <c r="C342" s="137" t="s">
        <v>510</v>
      </c>
      <c r="D342" s="137" t="s">
        <v>926</v>
      </c>
      <c r="E342" s="137"/>
      <c r="F342" s="472">
        <v>150901.68</v>
      </c>
      <c r="G342" s="470">
        <v>144626.68</v>
      </c>
      <c r="H342" s="320">
        <f t="shared" si="11"/>
        <v>95.8416632604753</v>
      </c>
      <c r="I342" s="149" t="str">
        <f t="shared" si="10"/>
        <v>08010510080520</v>
      </c>
    </row>
    <row r="343" spans="1:9" ht="25.5">
      <c r="A343" s="53" t="s">
        <v>484</v>
      </c>
      <c r="B343" s="137" t="s">
        <v>278</v>
      </c>
      <c r="C343" s="137" t="s">
        <v>510</v>
      </c>
      <c r="D343" s="137" t="s">
        <v>926</v>
      </c>
      <c r="E343" s="137" t="s">
        <v>485</v>
      </c>
      <c r="F343" s="472">
        <v>150901.68</v>
      </c>
      <c r="G343" s="470">
        <v>144626.68</v>
      </c>
      <c r="H343" s="320">
        <f t="shared" si="11"/>
        <v>95.8416632604753</v>
      </c>
      <c r="I343" s="149" t="str">
        <f t="shared" si="10"/>
        <v>08010510080520612</v>
      </c>
    </row>
    <row r="344" spans="1:9" ht="51">
      <c r="A344" s="53" t="s">
        <v>521</v>
      </c>
      <c r="B344" s="137" t="s">
        <v>278</v>
      </c>
      <c r="C344" s="137" t="s">
        <v>510</v>
      </c>
      <c r="D344" s="137" t="s">
        <v>927</v>
      </c>
      <c r="E344" s="137"/>
      <c r="F344" s="472">
        <v>111097.32</v>
      </c>
      <c r="G344" s="470">
        <v>25000</v>
      </c>
      <c r="H344" s="320">
        <f t="shared" si="11"/>
        <v>22.502793046672949</v>
      </c>
      <c r="I344" s="149" t="str">
        <f t="shared" si="10"/>
        <v>08010510080530</v>
      </c>
    </row>
    <row r="345" spans="1:9" ht="25.5">
      <c r="A345" s="53" t="s">
        <v>484</v>
      </c>
      <c r="B345" s="137" t="s">
        <v>278</v>
      </c>
      <c r="C345" s="137" t="s">
        <v>510</v>
      </c>
      <c r="D345" s="137" t="s">
        <v>927</v>
      </c>
      <c r="E345" s="137" t="s">
        <v>485</v>
      </c>
      <c r="F345" s="472">
        <v>111097.32</v>
      </c>
      <c r="G345" s="470">
        <v>25000</v>
      </c>
      <c r="H345" s="320">
        <f t="shared" si="11"/>
        <v>22.502793046672949</v>
      </c>
      <c r="I345" s="149" t="str">
        <f t="shared" si="10"/>
        <v>08010510080530612</v>
      </c>
    </row>
    <row r="346" spans="1:9" ht="63.75">
      <c r="A346" s="53" t="s">
        <v>1763</v>
      </c>
      <c r="B346" s="137" t="s">
        <v>278</v>
      </c>
      <c r="C346" s="137" t="s">
        <v>510</v>
      </c>
      <c r="D346" s="137" t="s">
        <v>1764</v>
      </c>
      <c r="E346" s="137"/>
      <c r="F346" s="472">
        <v>1945</v>
      </c>
      <c r="G346" s="470">
        <v>1945</v>
      </c>
      <c r="H346" s="320">
        <f t="shared" si="11"/>
        <v>100</v>
      </c>
      <c r="I346" s="149" t="str">
        <f t="shared" si="10"/>
        <v>080105100L5190</v>
      </c>
    </row>
    <row r="347" spans="1:9" ht="25.5">
      <c r="A347" s="53" t="s">
        <v>484</v>
      </c>
      <c r="B347" s="137" t="s">
        <v>278</v>
      </c>
      <c r="C347" s="137" t="s">
        <v>510</v>
      </c>
      <c r="D347" s="137" t="s">
        <v>1764</v>
      </c>
      <c r="E347" s="137" t="s">
        <v>485</v>
      </c>
      <c r="F347" s="472">
        <v>1945</v>
      </c>
      <c r="G347" s="470">
        <v>1945</v>
      </c>
      <c r="H347" s="320">
        <f t="shared" si="11"/>
        <v>100</v>
      </c>
      <c r="I347" s="149" t="str">
        <f t="shared" si="10"/>
        <v>080105100L5190612</v>
      </c>
    </row>
    <row r="348" spans="1:9" ht="51">
      <c r="A348" s="53" t="s">
        <v>1765</v>
      </c>
      <c r="B348" s="137" t="s">
        <v>278</v>
      </c>
      <c r="C348" s="137" t="s">
        <v>510</v>
      </c>
      <c r="D348" s="137" t="s">
        <v>1766</v>
      </c>
      <c r="E348" s="137"/>
      <c r="F348" s="472">
        <v>361700</v>
      </c>
      <c r="G348" s="470">
        <v>361700</v>
      </c>
      <c r="H348" s="320">
        <f t="shared" si="11"/>
        <v>100</v>
      </c>
      <c r="I348" s="149" t="str">
        <f t="shared" si="10"/>
        <v>080105100R5190</v>
      </c>
    </row>
    <row r="349" spans="1:9" ht="25.5">
      <c r="A349" s="53" t="s">
        <v>484</v>
      </c>
      <c r="B349" s="137" t="s">
        <v>278</v>
      </c>
      <c r="C349" s="137" t="s">
        <v>510</v>
      </c>
      <c r="D349" s="137" t="s">
        <v>1766</v>
      </c>
      <c r="E349" s="137" t="s">
        <v>485</v>
      </c>
      <c r="F349" s="472">
        <v>361700</v>
      </c>
      <c r="G349" s="470">
        <v>361700</v>
      </c>
      <c r="H349" s="320">
        <f t="shared" si="11"/>
        <v>100</v>
      </c>
      <c r="I349" s="149" t="str">
        <f t="shared" si="10"/>
        <v>080105100R5190612</v>
      </c>
    </row>
    <row r="350" spans="1:9" ht="76.5">
      <c r="A350" s="53" t="s">
        <v>1810</v>
      </c>
      <c r="B350" s="137" t="s">
        <v>278</v>
      </c>
      <c r="C350" s="137" t="s">
        <v>510</v>
      </c>
      <c r="D350" s="137" t="s">
        <v>1811</v>
      </c>
      <c r="E350" s="137"/>
      <c r="F350" s="472">
        <v>86100</v>
      </c>
      <c r="G350" s="470">
        <v>86100</v>
      </c>
      <c r="H350" s="320">
        <f t="shared" si="11"/>
        <v>100</v>
      </c>
      <c r="I350" s="149" t="str">
        <f t="shared" si="10"/>
        <v>080105100S5190</v>
      </c>
    </row>
    <row r="351" spans="1:9" ht="25.5">
      <c r="A351" s="53" t="s">
        <v>484</v>
      </c>
      <c r="B351" s="137" t="s">
        <v>278</v>
      </c>
      <c r="C351" s="137" t="s">
        <v>510</v>
      </c>
      <c r="D351" s="137" t="s">
        <v>1811</v>
      </c>
      <c r="E351" s="137" t="s">
        <v>485</v>
      </c>
      <c r="F351" s="472">
        <v>86100</v>
      </c>
      <c r="G351" s="470">
        <v>86100</v>
      </c>
      <c r="H351" s="320">
        <f t="shared" si="11"/>
        <v>100</v>
      </c>
      <c r="I351" s="149" t="str">
        <f t="shared" si="10"/>
        <v>080105100S5190612</v>
      </c>
    </row>
    <row r="352" spans="1:9" ht="63.75">
      <c r="A352" s="53" t="s">
        <v>519</v>
      </c>
      <c r="B352" s="137" t="s">
        <v>278</v>
      </c>
      <c r="C352" s="137" t="s">
        <v>510</v>
      </c>
      <c r="D352" s="137" t="s">
        <v>922</v>
      </c>
      <c r="E352" s="137"/>
      <c r="F352" s="472">
        <v>1590411.85</v>
      </c>
      <c r="G352" s="470">
        <v>1438203.18</v>
      </c>
      <c r="H352" s="320">
        <f t="shared" si="11"/>
        <v>90.429606645599364</v>
      </c>
      <c r="I352" s="149" t="str">
        <f t="shared" si="10"/>
        <v>080105100Ч0040</v>
      </c>
    </row>
    <row r="353" spans="1:9" ht="63.75">
      <c r="A353" s="53" t="s">
        <v>465</v>
      </c>
      <c r="B353" s="137" t="s">
        <v>278</v>
      </c>
      <c r="C353" s="137" t="s">
        <v>510</v>
      </c>
      <c r="D353" s="137" t="s">
        <v>922</v>
      </c>
      <c r="E353" s="137" t="s">
        <v>466</v>
      </c>
      <c r="F353" s="472">
        <v>1560411.85</v>
      </c>
      <c r="G353" s="470">
        <v>1408235.18</v>
      </c>
      <c r="H353" s="320">
        <f t="shared" si="11"/>
        <v>90.247659936701965</v>
      </c>
      <c r="I353" s="149" t="str">
        <f t="shared" si="10"/>
        <v>080105100Ч0040611</v>
      </c>
    </row>
    <row r="354" spans="1:9" ht="25.5">
      <c r="A354" s="53" t="s">
        <v>484</v>
      </c>
      <c r="B354" s="137" t="s">
        <v>278</v>
      </c>
      <c r="C354" s="137" t="s">
        <v>510</v>
      </c>
      <c r="D354" s="137" t="s">
        <v>922</v>
      </c>
      <c r="E354" s="137" t="s">
        <v>485</v>
      </c>
      <c r="F354" s="472">
        <v>30000</v>
      </c>
      <c r="G354" s="470">
        <v>29968</v>
      </c>
      <c r="H354" s="320">
        <f t="shared" si="11"/>
        <v>99.893333333333331</v>
      </c>
      <c r="I354" s="149" t="str">
        <f t="shared" si="10"/>
        <v>080105100Ч0040612</v>
      </c>
    </row>
    <row r="355" spans="1:9" ht="114.75">
      <c r="A355" s="53" t="s">
        <v>1884</v>
      </c>
      <c r="B355" s="137" t="s">
        <v>278</v>
      </c>
      <c r="C355" s="137" t="s">
        <v>510</v>
      </c>
      <c r="D355" s="137" t="s">
        <v>1812</v>
      </c>
      <c r="E355" s="137"/>
      <c r="F355" s="472">
        <v>64209</v>
      </c>
      <c r="G355" s="470">
        <v>61911.81</v>
      </c>
      <c r="H355" s="320">
        <f t="shared" si="11"/>
        <v>96.422323973274771</v>
      </c>
      <c r="I355" s="149" t="str">
        <f t="shared" si="10"/>
        <v>080105100Ч0440</v>
      </c>
    </row>
    <row r="356" spans="1:9" ht="63.75">
      <c r="A356" s="53" t="s">
        <v>465</v>
      </c>
      <c r="B356" s="137" t="s">
        <v>278</v>
      </c>
      <c r="C356" s="137" t="s">
        <v>510</v>
      </c>
      <c r="D356" s="137" t="s">
        <v>1812</v>
      </c>
      <c r="E356" s="137" t="s">
        <v>466</v>
      </c>
      <c r="F356" s="472">
        <v>64209</v>
      </c>
      <c r="G356" s="470">
        <v>61911.81</v>
      </c>
      <c r="H356" s="320">
        <f t="shared" si="11"/>
        <v>96.422323973274771</v>
      </c>
      <c r="I356" s="149" t="str">
        <f t="shared" si="10"/>
        <v>080105100Ч0440611</v>
      </c>
    </row>
    <row r="357" spans="1:9" ht="127.5">
      <c r="A357" s="53" t="s">
        <v>798</v>
      </c>
      <c r="B357" s="137" t="s">
        <v>278</v>
      </c>
      <c r="C357" s="137" t="s">
        <v>510</v>
      </c>
      <c r="D357" s="137" t="s">
        <v>923</v>
      </c>
      <c r="E357" s="137"/>
      <c r="F357" s="472">
        <v>49015.15</v>
      </c>
      <c r="G357" s="470">
        <v>49015.15</v>
      </c>
      <c r="H357" s="320">
        <f t="shared" si="11"/>
        <v>100</v>
      </c>
      <c r="I357" s="149" t="str">
        <f t="shared" si="10"/>
        <v>080105100Ч1040</v>
      </c>
    </row>
    <row r="358" spans="1:9" ht="63.75">
      <c r="A358" s="53" t="s">
        <v>465</v>
      </c>
      <c r="B358" s="137" t="s">
        <v>278</v>
      </c>
      <c r="C358" s="137" t="s">
        <v>510</v>
      </c>
      <c r="D358" s="137" t="s">
        <v>923</v>
      </c>
      <c r="E358" s="137" t="s">
        <v>466</v>
      </c>
      <c r="F358" s="472">
        <v>49015.15</v>
      </c>
      <c r="G358" s="470">
        <v>49015.15</v>
      </c>
      <c r="H358" s="320">
        <f t="shared" si="11"/>
        <v>100</v>
      </c>
      <c r="I358" s="149" t="str">
        <f t="shared" si="10"/>
        <v>080105100Ч1040611</v>
      </c>
    </row>
    <row r="359" spans="1:9" ht="102">
      <c r="A359" s="53" t="s">
        <v>644</v>
      </c>
      <c r="B359" s="137" t="s">
        <v>278</v>
      </c>
      <c r="C359" s="137" t="s">
        <v>510</v>
      </c>
      <c r="D359" s="137" t="s">
        <v>924</v>
      </c>
      <c r="E359" s="137"/>
      <c r="F359" s="472">
        <v>100000</v>
      </c>
      <c r="G359" s="470">
        <v>27781.88</v>
      </c>
      <c r="H359" s="320">
        <f t="shared" si="11"/>
        <v>27.781880000000005</v>
      </c>
      <c r="I359" s="149" t="str">
        <f t="shared" si="10"/>
        <v>080105100Ч7040</v>
      </c>
    </row>
    <row r="360" spans="1:9" ht="25.5">
      <c r="A360" s="53" t="s">
        <v>484</v>
      </c>
      <c r="B360" s="137" t="s">
        <v>278</v>
      </c>
      <c r="C360" s="137" t="s">
        <v>510</v>
      </c>
      <c r="D360" s="137" t="s">
        <v>924</v>
      </c>
      <c r="E360" s="137" t="s">
        <v>485</v>
      </c>
      <c r="F360" s="472">
        <v>100000</v>
      </c>
      <c r="G360" s="470">
        <v>27781.88</v>
      </c>
      <c r="H360" s="320">
        <f t="shared" si="11"/>
        <v>27.781880000000005</v>
      </c>
      <c r="I360" s="149" t="str">
        <f t="shared" si="10"/>
        <v>080105100Ч7040612</v>
      </c>
    </row>
    <row r="361" spans="1:9" ht="102">
      <c r="A361" s="53" t="s">
        <v>734</v>
      </c>
      <c r="B361" s="137" t="s">
        <v>278</v>
      </c>
      <c r="C361" s="137" t="s">
        <v>510</v>
      </c>
      <c r="D361" s="137" t="s">
        <v>925</v>
      </c>
      <c r="E361" s="137"/>
      <c r="F361" s="472">
        <v>56634</v>
      </c>
      <c r="G361" s="470">
        <v>47740.01</v>
      </c>
      <c r="H361" s="320">
        <f t="shared" si="11"/>
        <v>84.295670445315537</v>
      </c>
      <c r="I361" s="149" t="str">
        <f t="shared" si="10"/>
        <v>080105100ЧГ040</v>
      </c>
    </row>
    <row r="362" spans="1:9" ht="63.75">
      <c r="A362" s="53" t="s">
        <v>465</v>
      </c>
      <c r="B362" s="137" t="s">
        <v>278</v>
      </c>
      <c r="C362" s="137" t="s">
        <v>510</v>
      </c>
      <c r="D362" s="137" t="s">
        <v>925</v>
      </c>
      <c r="E362" s="137" t="s">
        <v>466</v>
      </c>
      <c r="F362" s="472">
        <v>56634</v>
      </c>
      <c r="G362" s="470">
        <v>47740.01</v>
      </c>
      <c r="H362" s="320">
        <f t="shared" si="11"/>
        <v>84.295670445315537</v>
      </c>
      <c r="I362" s="149" t="str">
        <f t="shared" si="10"/>
        <v>080105100ЧГ040611</v>
      </c>
    </row>
    <row r="363" spans="1:9" ht="89.25">
      <c r="A363" s="53" t="s">
        <v>1177</v>
      </c>
      <c r="B363" s="137" t="s">
        <v>278</v>
      </c>
      <c r="C363" s="137" t="s">
        <v>510</v>
      </c>
      <c r="D363" s="137" t="s">
        <v>1178</v>
      </c>
      <c r="E363" s="137"/>
      <c r="F363" s="472">
        <v>137214</v>
      </c>
      <c r="G363" s="470">
        <v>128239.03999999999</v>
      </c>
      <c r="H363" s="320">
        <f t="shared" si="11"/>
        <v>93.45915139854533</v>
      </c>
      <c r="I363" s="149" t="str">
        <f t="shared" si="10"/>
        <v>080105100ЧЭ040</v>
      </c>
    </row>
    <row r="364" spans="1:9" ht="63.75">
      <c r="A364" s="53" t="s">
        <v>465</v>
      </c>
      <c r="B364" s="137" t="s">
        <v>278</v>
      </c>
      <c r="C364" s="137" t="s">
        <v>510</v>
      </c>
      <c r="D364" s="137" t="s">
        <v>1178</v>
      </c>
      <c r="E364" s="137" t="s">
        <v>466</v>
      </c>
      <c r="F364" s="472">
        <v>137214</v>
      </c>
      <c r="G364" s="470">
        <v>128239.03999999999</v>
      </c>
      <c r="H364" s="320">
        <f t="shared" si="11"/>
        <v>93.45915139854533</v>
      </c>
      <c r="I364" s="149" t="str">
        <f t="shared" si="10"/>
        <v>080105100ЧЭ040611</v>
      </c>
    </row>
    <row r="365" spans="1:9" ht="114.75">
      <c r="A365" s="53" t="s">
        <v>1900</v>
      </c>
      <c r="B365" s="137" t="s">
        <v>278</v>
      </c>
      <c r="C365" s="137" t="s">
        <v>510</v>
      </c>
      <c r="D365" s="137" t="s">
        <v>1901</v>
      </c>
      <c r="E365" s="137"/>
      <c r="F365" s="472">
        <v>7847835.0899999999</v>
      </c>
      <c r="G365" s="470">
        <v>7625233.9500000002</v>
      </c>
      <c r="H365" s="320">
        <f t="shared" si="11"/>
        <v>97.163534434054981</v>
      </c>
      <c r="I365" s="149" t="str">
        <f t="shared" si="10"/>
        <v>08010520010460</v>
      </c>
    </row>
    <row r="366" spans="1:9" ht="63.75">
      <c r="A366" s="53" t="s">
        <v>465</v>
      </c>
      <c r="B366" s="137" t="s">
        <v>278</v>
      </c>
      <c r="C366" s="137" t="s">
        <v>510</v>
      </c>
      <c r="D366" s="137" t="s">
        <v>1901</v>
      </c>
      <c r="E366" s="137" t="s">
        <v>466</v>
      </c>
      <c r="F366" s="472">
        <v>7847835.0899999999</v>
      </c>
      <c r="G366" s="470">
        <v>7625233.9500000002</v>
      </c>
      <c r="H366" s="320">
        <f t="shared" si="11"/>
        <v>97.163534434054981</v>
      </c>
      <c r="I366" s="149" t="str">
        <f t="shared" si="10"/>
        <v>08010520010460611</v>
      </c>
    </row>
    <row r="367" spans="1:9" ht="114.75">
      <c r="A367" s="53" t="s">
        <v>645</v>
      </c>
      <c r="B367" s="137" t="s">
        <v>278</v>
      </c>
      <c r="C367" s="137" t="s">
        <v>510</v>
      </c>
      <c r="D367" s="137" t="s">
        <v>929</v>
      </c>
      <c r="E367" s="137"/>
      <c r="F367" s="472">
        <v>33849156.299999997</v>
      </c>
      <c r="G367" s="470">
        <v>31331728.940000001</v>
      </c>
      <c r="H367" s="320">
        <f t="shared" si="11"/>
        <v>92.562806181375947</v>
      </c>
      <c r="I367" s="149" t="str">
        <f t="shared" si="10"/>
        <v>08010520040000</v>
      </c>
    </row>
    <row r="368" spans="1:9" ht="63.75">
      <c r="A368" s="53" t="s">
        <v>465</v>
      </c>
      <c r="B368" s="137" t="s">
        <v>278</v>
      </c>
      <c r="C368" s="137" t="s">
        <v>510</v>
      </c>
      <c r="D368" s="137" t="s">
        <v>929</v>
      </c>
      <c r="E368" s="137" t="s">
        <v>466</v>
      </c>
      <c r="F368" s="472">
        <v>33849156.299999997</v>
      </c>
      <c r="G368" s="470">
        <v>31331728.940000001</v>
      </c>
      <c r="H368" s="320">
        <f t="shared" si="11"/>
        <v>92.562806181375947</v>
      </c>
      <c r="I368" s="149" t="str">
        <f t="shared" si="10"/>
        <v>08010520040000611</v>
      </c>
    </row>
    <row r="369" spans="1:9" ht="140.25">
      <c r="A369" s="53" t="s">
        <v>646</v>
      </c>
      <c r="B369" s="137" t="s">
        <v>278</v>
      </c>
      <c r="C369" s="137" t="s">
        <v>510</v>
      </c>
      <c r="D369" s="137" t="s">
        <v>930</v>
      </c>
      <c r="E369" s="137"/>
      <c r="F369" s="472">
        <v>7575081.7000000002</v>
      </c>
      <c r="G369" s="470">
        <v>7575081.7000000002</v>
      </c>
      <c r="H369" s="320">
        <f t="shared" si="11"/>
        <v>100</v>
      </c>
      <c r="I369" s="149" t="str">
        <f t="shared" si="10"/>
        <v>08010520041000</v>
      </c>
    </row>
    <row r="370" spans="1:9" ht="63.75">
      <c r="A370" s="53" t="s">
        <v>465</v>
      </c>
      <c r="B370" s="137" t="s">
        <v>278</v>
      </c>
      <c r="C370" s="137" t="s">
        <v>510</v>
      </c>
      <c r="D370" s="137" t="s">
        <v>930</v>
      </c>
      <c r="E370" s="137" t="s">
        <v>466</v>
      </c>
      <c r="F370" s="472">
        <v>7575081.7000000002</v>
      </c>
      <c r="G370" s="470">
        <v>7575081.7000000002</v>
      </c>
      <c r="H370" s="320">
        <f t="shared" si="11"/>
        <v>100</v>
      </c>
      <c r="I370" s="149" t="str">
        <f t="shared" ref="I370:I430" si="12">CONCATENATE(C370,D370,E370)</f>
        <v>08010520041000611</v>
      </c>
    </row>
    <row r="371" spans="1:9" ht="102">
      <c r="A371" s="53" t="s">
        <v>648</v>
      </c>
      <c r="B371" s="137" t="s">
        <v>278</v>
      </c>
      <c r="C371" s="137" t="s">
        <v>510</v>
      </c>
      <c r="D371" s="137" t="s">
        <v>932</v>
      </c>
      <c r="E371" s="137"/>
      <c r="F371" s="472">
        <v>696626.61</v>
      </c>
      <c r="G371" s="470">
        <v>693479.14</v>
      </c>
      <c r="H371" s="320">
        <f t="shared" si="11"/>
        <v>99.548184069511791</v>
      </c>
      <c r="I371" s="149" t="str">
        <f t="shared" si="12"/>
        <v>08010520047000</v>
      </c>
    </row>
    <row r="372" spans="1:9" ht="25.5">
      <c r="A372" s="53" t="s">
        <v>484</v>
      </c>
      <c r="B372" s="137" t="s">
        <v>278</v>
      </c>
      <c r="C372" s="137" t="s">
        <v>510</v>
      </c>
      <c r="D372" s="137" t="s">
        <v>932</v>
      </c>
      <c r="E372" s="137" t="s">
        <v>485</v>
      </c>
      <c r="F372" s="472">
        <v>696626.61</v>
      </c>
      <c r="G372" s="470">
        <v>693479.14</v>
      </c>
      <c r="H372" s="320">
        <f t="shared" si="11"/>
        <v>99.548184069511791</v>
      </c>
      <c r="I372" s="149" t="str">
        <f t="shared" si="12"/>
        <v>08010520047000612</v>
      </c>
    </row>
    <row r="373" spans="1:9" ht="114.75">
      <c r="A373" s="53" t="s">
        <v>735</v>
      </c>
      <c r="B373" s="137" t="s">
        <v>278</v>
      </c>
      <c r="C373" s="137" t="s">
        <v>510</v>
      </c>
      <c r="D373" s="137" t="s">
        <v>933</v>
      </c>
      <c r="E373" s="137"/>
      <c r="F373" s="472">
        <v>13453806.52</v>
      </c>
      <c r="G373" s="470">
        <v>11852973.01</v>
      </c>
      <c r="H373" s="320">
        <f t="shared" si="11"/>
        <v>88.101259612881663</v>
      </c>
      <c r="I373" s="149" t="str">
        <f t="shared" si="12"/>
        <v>0801052004Г000</v>
      </c>
    </row>
    <row r="374" spans="1:9" ht="63.75">
      <c r="A374" s="53" t="s">
        <v>465</v>
      </c>
      <c r="B374" s="137" t="s">
        <v>278</v>
      </c>
      <c r="C374" s="137" t="s">
        <v>510</v>
      </c>
      <c r="D374" s="137" t="s">
        <v>933</v>
      </c>
      <c r="E374" s="137" t="s">
        <v>466</v>
      </c>
      <c r="F374" s="472">
        <v>13453806.52</v>
      </c>
      <c r="G374" s="470">
        <v>11852973.01</v>
      </c>
      <c r="H374" s="320">
        <f t="shared" si="11"/>
        <v>88.101259612881663</v>
      </c>
      <c r="I374" s="149" t="str">
        <f t="shared" si="12"/>
        <v>0801052004Г000611</v>
      </c>
    </row>
    <row r="375" spans="1:9" ht="89.25">
      <c r="A375" s="53" t="s">
        <v>1179</v>
      </c>
      <c r="B375" s="137" t="s">
        <v>278</v>
      </c>
      <c r="C375" s="137" t="s">
        <v>510</v>
      </c>
      <c r="D375" s="137" t="s">
        <v>1180</v>
      </c>
      <c r="E375" s="137"/>
      <c r="F375" s="472">
        <v>1562226</v>
      </c>
      <c r="G375" s="470">
        <v>1524884.2</v>
      </c>
      <c r="H375" s="320">
        <f t="shared" si="11"/>
        <v>97.609705637980667</v>
      </c>
      <c r="I375" s="149" t="str">
        <f t="shared" si="12"/>
        <v>0801052004Э000</v>
      </c>
    </row>
    <row r="376" spans="1:9" ht="63.75">
      <c r="A376" s="53" t="s">
        <v>465</v>
      </c>
      <c r="B376" s="137" t="s">
        <v>278</v>
      </c>
      <c r="C376" s="137" t="s">
        <v>510</v>
      </c>
      <c r="D376" s="137" t="s">
        <v>1180</v>
      </c>
      <c r="E376" s="137" t="s">
        <v>466</v>
      </c>
      <c r="F376" s="472">
        <v>1562226</v>
      </c>
      <c r="G376" s="470">
        <v>1524884.2</v>
      </c>
      <c r="H376" s="320">
        <f t="shared" si="11"/>
        <v>97.609705637980667</v>
      </c>
      <c r="I376" s="149" t="str">
        <f t="shared" si="12"/>
        <v>0801052004Э000611</v>
      </c>
    </row>
    <row r="377" spans="1:9" ht="63.75">
      <c r="A377" s="53" t="s">
        <v>637</v>
      </c>
      <c r="B377" s="137" t="s">
        <v>278</v>
      </c>
      <c r="C377" s="137" t="s">
        <v>510</v>
      </c>
      <c r="D377" s="137" t="s">
        <v>911</v>
      </c>
      <c r="E377" s="137"/>
      <c r="F377" s="472">
        <v>3434000</v>
      </c>
      <c r="G377" s="470">
        <v>3184318</v>
      </c>
      <c r="H377" s="320">
        <f t="shared" si="11"/>
        <v>92.729120559114733</v>
      </c>
      <c r="I377" s="149" t="str">
        <f t="shared" si="12"/>
        <v>08010520080520</v>
      </c>
    </row>
    <row r="378" spans="1:9" ht="25.5">
      <c r="A378" s="53" t="s">
        <v>484</v>
      </c>
      <c r="B378" s="137" t="s">
        <v>278</v>
      </c>
      <c r="C378" s="137" t="s">
        <v>510</v>
      </c>
      <c r="D378" s="137" t="s">
        <v>911</v>
      </c>
      <c r="E378" s="137" t="s">
        <v>485</v>
      </c>
      <c r="F378" s="472">
        <v>3434000</v>
      </c>
      <c r="G378" s="470">
        <v>3184318</v>
      </c>
      <c r="H378" s="320">
        <f t="shared" si="11"/>
        <v>92.729120559114733</v>
      </c>
      <c r="I378" s="149" t="str">
        <f t="shared" si="12"/>
        <v>08010520080520612</v>
      </c>
    </row>
    <row r="379" spans="1:9" ht="89.25">
      <c r="A379" s="53" t="s">
        <v>649</v>
      </c>
      <c r="B379" s="137" t="s">
        <v>278</v>
      </c>
      <c r="C379" s="137" t="s">
        <v>510</v>
      </c>
      <c r="D379" s="137" t="s">
        <v>934</v>
      </c>
      <c r="E379" s="137"/>
      <c r="F379" s="472">
        <v>16078558</v>
      </c>
      <c r="G379" s="470">
        <v>15331382.859999999</v>
      </c>
      <c r="H379" s="320">
        <f t="shared" si="11"/>
        <v>95.352971703059438</v>
      </c>
      <c r="I379" s="149" t="str">
        <f t="shared" si="12"/>
        <v>080105200Ч0030</v>
      </c>
    </row>
    <row r="380" spans="1:9" ht="63.75">
      <c r="A380" s="53" t="s">
        <v>465</v>
      </c>
      <c r="B380" s="137" t="s">
        <v>278</v>
      </c>
      <c r="C380" s="137" t="s">
        <v>510</v>
      </c>
      <c r="D380" s="137" t="s">
        <v>934</v>
      </c>
      <c r="E380" s="137" t="s">
        <v>466</v>
      </c>
      <c r="F380" s="472">
        <v>16078558</v>
      </c>
      <c r="G380" s="470">
        <v>15331382.859999999</v>
      </c>
      <c r="H380" s="320">
        <f t="shared" si="11"/>
        <v>95.352971703059438</v>
      </c>
      <c r="I380" s="149" t="str">
        <f t="shared" si="12"/>
        <v>080105200Ч0030611</v>
      </c>
    </row>
    <row r="381" spans="1:9" ht="140.25">
      <c r="A381" s="53" t="s">
        <v>650</v>
      </c>
      <c r="B381" s="137" t="s">
        <v>278</v>
      </c>
      <c r="C381" s="137" t="s">
        <v>510</v>
      </c>
      <c r="D381" s="137" t="s">
        <v>935</v>
      </c>
      <c r="E381" s="137"/>
      <c r="F381" s="472">
        <v>3256034.11</v>
      </c>
      <c r="G381" s="470">
        <v>2926479.3</v>
      </c>
      <c r="H381" s="320">
        <f t="shared" si="11"/>
        <v>89.87864380818786</v>
      </c>
      <c r="I381" s="149" t="str">
        <f t="shared" si="12"/>
        <v>080105200Ч1030</v>
      </c>
    </row>
    <row r="382" spans="1:9" ht="63.75">
      <c r="A382" s="53" t="s">
        <v>465</v>
      </c>
      <c r="B382" s="137" t="s">
        <v>278</v>
      </c>
      <c r="C382" s="137" t="s">
        <v>510</v>
      </c>
      <c r="D382" s="137" t="s">
        <v>935</v>
      </c>
      <c r="E382" s="137" t="s">
        <v>466</v>
      </c>
      <c r="F382" s="472">
        <v>3256034.11</v>
      </c>
      <c r="G382" s="470">
        <v>2926479.3</v>
      </c>
      <c r="H382" s="320">
        <f t="shared" si="11"/>
        <v>89.87864380818786</v>
      </c>
      <c r="I382" s="149" t="str">
        <f t="shared" si="12"/>
        <v>080105200Ч1030611</v>
      </c>
    </row>
    <row r="383" spans="1:9" ht="102">
      <c r="A383" s="53" t="s">
        <v>652</v>
      </c>
      <c r="B383" s="137" t="s">
        <v>278</v>
      </c>
      <c r="C383" s="137" t="s">
        <v>510</v>
      </c>
      <c r="D383" s="137" t="s">
        <v>937</v>
      </c>
      <c r="E383" s="137"/>
      <c r="F383" s="472">
        <v>721770</v>
      </c>
      <c r="G383" s="470">
        <v>385001.93</v>
      </c>
      <c r="H383" s="320">
        <f t="shared" si="11"/>
        <v>53.341359435831357</v>
      </c>
      <c r="I383" s="149" t="str">
        <f t="shared" si="12"/>
        <v>080105200Ч7030</v>
      </c>
    </row>
    <row r="384" spans="1:9" ht="25.5">
      <c r="A384" s="53" t="s">
        <v>484</v>
      </c>
      <c r="B384" s="137" t="s">
        <v>278</v>
      </c>
      <c r="C384" s="137" t="s">
        <v>510</v>
      </c>
      <c r="D384" s="137" t="s">
        <v>937</v>
      </c>
      <c r="E384" s="137" t="s">
        <v>485</v>
      </c>
      <c r="F384" s="472">
        <v>721770</v>
      </c>
      <c r="G384" s="470">
        <v>385001.93</v>
      </c>
      <c r="H384" s="320">
        <f t="shared" si="11"/>
        <v>53.341359435831357</v>
      </c>
      <c r="I384" s="149" t="str">
        <f t="shared" si="12"/>
        <v>080105200Ч7030612</v>
      </c>
    </row>
    <row r="385" spans="1:9" ht="102">
      <c r="A385" s="53" t="s">
        <v>736</v>
      </c>
      <c r="B385" s="137" t="s">
        <v>278</v>
      </c>
      <c r="C385" s="137" t="s">
        <v>510</v>
      </c>
      <c r="D385" s="137" t="s">
        <v>938</v>
      </c>
      <c r="E385" s="137"/>
      <c r="F385" s="472">
        <v>4310842</v>
      </c>
      <c r="G385" s="470">
        <v>3470721.53</v>
      </c>
      <c r="H385" s="320">
        <f t="shared" si="11"/>
        <v>80.511452982967128</v>
      </c>
      <c r="I385" s="149" t="str">
        <f t="shared" si="12"/>
        <v>080105200ЧГ030</v>
      </c>
    </row>
    <row r="386" spans="1:9" ht="63.75">
      <c r="A386" s="53" t="s">
        <v>465</v>
      </c>
      <c r="B386" s="137" t="s">
        <v>278</v>
      </c>
      <c r="C386" s="137" t="s">
        <v>510</v>
      </c>
      <c r="D386" s="137" t="s">
        <v>938</v>
      </c>
      <c r="E386" s="137" t="s">
        <v>466</v>
      </c>
      <c r="F386" s="472">
        <v>4310842</v>
      </c>
      <c r="G386" s="470">
        <v>3470721.53</v>
      </c>
      <c r="H386" s="320">
        <f t="shared" si="11"/>
        <v>80.511452982967128</v>
      </c>
      <c r="I386" s="149" t="str">
        <f t="shared" si="12"/>
        <v>080105200ЧГ030611</v>
      </c>
    </row>
    <row r="387" spans="1:9" ht="89.25">
      <c r="A387" s="53" t="s">
        <v>1181</v>
      </c>
      <c r="B387" s="137" t="s">
        <v>278</v>
      </c>
      <c r="C387" s="137" t="s">
        <v>510</v>
      </c>
      <c r="D387" s="137" t="s">
        <v>1182</v>
      </c>
      <c r="E387" s="137"/>
      <c r="F387" s="472">
        <v>732774</v>
      </c>
      <c r="G387" s="470">
        <v>711593.5</v>
      </c>
      <c r="H387" s="320">
        <f t="shared" si="11"/>
        <v>97.109545371424204</v>
      </c>
      <c r="I387" s="149" t="str">
        <f t="shared" si="12"/>
        <v>080105200ЧЭ030</v>
      </c>
    </row>
    <row r="388" spans="1:9" ht="63.75">
      <c r="A388" s="53" t="s">
        <v>465</v>
      </c>
      <c r="B388" s="137" t="s">
        <v>278</v>
      </c>
      <c r="C388" s="137" t="s">
        <v>510</v>
      </c>
      <c r="D388" s="137" t="s">
        <v>1182</v>
      </c>
      <c r="E388" s="137" t="s">
        <v>466</v>
      </c>
      <c r="F388" s="472">
        <v>732774</v>
      </c>
      <c r="G388" s="470">
        <v>711593.5</v>
      </c>
      <c r="H388" s="320">
        <f t="shared" si="11"/>
        <v>97.109545371424204</v>
      </c>
      <c r="I388" s="149" t="str">
        <f t="shared" si="12"/>
        <v>080105200ЧЭ030611</v>
      </c>
    </row>
    <row r="389" spans="1:9" ht="114.75">
      <c r="A389" s="53" t="s">
        <v>2008</v>
      </c>
      <c r="B389" s="137" t="s">
        <v>278</v>
      </c>
      <c r="C389" s="137" t="s">
        <v>510</v>
      </c>
      <c r="D389" s="137" t="s">
        <v>2009</v>
      </c>
      <c r="E389" s="137"/>
      <c r="F389" s="472">
        <v>1052990</v>
      </c>
      <c r="G389" s="470">
        <v>1052989.8700000001</v>
      </c>
      <c r="H389" s="320">
        <f t="shared" si="11"/>
        <v>99.999987654203764</v>
      </c>
      <c r="I389" s="149" t="str">
        <f t="shared" si="12"/>
        <v>08010530077440</v>
      </c>
    </row>
    <row r="390" spans="1:9" ht="25.5">
      <c r="A390" s="53" t="s">
        <v>484</v>
      </c>
      <c r="B390" s="137" t="s">
        <v>278</v>
      </c>
      <c r="C390" s="137" t="s">
        <v>510</v>
      </c>
      <c r="D390" s="137" t="s">
        <v>2009</v>
      </c>
      <c r="E390" s="137" t="s">
        <v>485</v>
      </c>
      <c r="F390" s="472">
        <v>1052990</v>
      </c>
      <c r="G390" s="470">
        <v>1052989.8700000001</v>
      </c>
      <c r="H390" s="320">
        <f t="shared" si="11"/>
        <v>99.999987654203764</v>
      </c>
      <c r="I390" s="149" t="str">
        <f t="shared" si="12"/>
        <v>08010530077440612</v>
      </c>
    </row>
    <row r="391" spans="1:9" ht="63.75">
      <c r="A391" s="53" t="s">
        <v>1759</v>
      </c>
      <c r="B391" s="137" t="s">
        <v>278</v>
      </c>
      <c r="C391" s="137" t="s">
        <v>510</v>
      </c>
      <c r="D391" s="137" t="s">
        <v>1760</v>
      </c>
      <c r="E391" s="137"/>
      <c r="F391" s="472">
        <v>407780.63</v>
      </c>
      <c r="G391" s="470">
        <v>407780.63</v>
      </c>
      <c r="H391" s="320">
        <f t="shared" ref="H391:H454" si="13">G391/F391*100</f>
        <v>100</v>
      </c>
      <c r="I391" s="149" t="str">
        <f t="shared" si="12"/>
        <v>08010530077450</v>
      </c>
    </row>
    <row r="392" spans="1:9" ht="25.5">
      <c r="A392" s="53" t="s">
        <v>484</v>
      </c>
      <c r="B392" s="137" t="s">
        <v>278</v>
      </c>
      <c r="C392" s="137" t="s">
        <v>510</v>
      </c>
      <c r="D392" s="137" t="s">
        <v>1760</v>
      </c>
      <c r="E392" s="137" t="s">
        <v>485</v>
      </c>
      <c r="F392" s="472">
        <v>407780.63</v>
      </c>
      <c r="G392" s="470">
        <v>407780.63</v>
      </c>
      <c r="H392" s="320">
        <f t="shared" si="13"/>
        <v>100</v>
      </c>
      <c r="I392" s="149" t="str">
        <f t="shared" si="12"/>
        <v>08010530077450612</v>
      </c>
    </row>
    <row r="393" spans="1:9" ht="76.5">
      <c r="A393" s="53" t="s">
        <v>1109</v>
      </c>
      <c r="B393" s="137" t="s">
        <v>278</v>
      </c>
      <c r="C393" s="137" t="s">
        <v>510</v>
      </c>
      <c r="D393" s="137" t="s">
        <v>1108</v>
      </c>
      <c r="E393" s="137"/>
      <c r="F393" s="472">
        <v>119000</v>
      </c>
      <c r="G393" s="470">
        <v>119000</v>
      </c>
      <c r="H393" s="320">
        <f t="shared" si="13"/>
        <v>100</v>
      </c>
      <c r="I393" s="149" t="str">
        <f t="shared" si="12"/>
        <v>08010530080020</v>
      </c>
    </row>
    <row r="394" spans="1:9" ht="25.5">
      <c r="A394" s="53" t="s">
        <v>484</v>
      </c>
      <c r="B394" s="137" t="s">
        <v>278</v>
      </c>
      <c r="C394" s="137" t="s">
        <v>510</v>
      </c>
      <c r="D394" s="137" t="s">
        <v>1108</v>
      </c>
      <c r="E394" s="137" t="s">
        <v>485</v>
      </c>
      <c r="F394" s="472">
        <v>119000</v>
      </c>
      <c r="G394" s="470">
        <v>119000</v>
      </c>
      <c r="H394" s="320">
        <f t="shared" si="13"/>
        <v>100</v>
      </c>
      <c r="I394" s="149" t="str">
        <f t="shared" si="12"/>
        <v>08010530080020612</v>
      </c>
    </row>
    <row r="395" spans="1:9" ht="127.5">
      <c r="A395" s="53" t="s">
        <v>1832</v>
      </c>
      <c r="B395" s="137" t="s">
        <v>278</v>
      </c>
      <c r="C395" s="137" t="s">
        <v>510</v>
      </c>
      <c r="D395" s="137" t="s">
        <v>1833</v>
      </c>
      <c r="E395" s="137"/>
      <c r="F395" s="472">
        <v>611100</v>
      </c>
      <c r="G395" s="470">
        <v>611100</v>
      </c>
      <c r="H395" s="320">
        <f t="shared" si="13"/>
        <v>100</v>
      </c>
      <c r="I395" s="149" t="str">
        <f t="shared" si="12"/>
        <v>080105300R5580</v>
      </c>
    </row>
    <row r="396" spans="1:9" ht="25.5">
      <c r="A396" s="53" t="s">
        <v>484</v>
      </c>
      <c r="B396" s="137" t="s">
        <v>278</v>
      </c>
      <c r="C396" s="137" t="s">
        <v>510</v>
      </c>
      <c r="D396" s="137" t="s">
        <v>1833</v>
      </c>
      <c r="E396" s="137" t="s">
        <v>485</v>
      </c>
      <c r="F396" s="472">
        <v>611100</v>
      </c>
      <c r="G396" s="470">
        <v>611100</v>
      </c>
      <c r="H396" s="320">
        <f t="shared" si="13"/>
        <v>100</v>
      </c>
      <c r="I396" s="149" t="str">
        <f t="shared" si="12"/>
        <v>080105300R5580612</v>
      </c>
    </row>
    <row r="397" spans="1:9" ht="140.25">
      <c r="A397" s="53" t="s">
        <v>1813</v>
      </c>
      <c r="B397" s="137" t="s">
        <v>278</v>
      </c>
      <c r="C397" s="137" t="s">
        <v>510</v>
      </c>
      <c r="D397" s="137" t="s">
        <v>1814</v>
      </c>
      <c r="E397" s="137"/>
      <c r="F397" s="472">
        <v>6900</v>
      </c>
      <c r="G397" s="470">
        <v>6900</v>
      </c>
      <c r="H397" s="320">
        <f t="shared" si="13"/>
        <v>100</v>
      </c>
      <c r="I397" s="149" t="str">
        <f t="shared" si="12"/>
        <v>080105300S5580</v>
      </c>
    </row>
    <row r="398" spans="1:9" ht="25.5">
      <c r="A398" s="53" t="s">
        <v>484</v>
      </c>
      <c r="B398" s="137" t="s">
        <v>278</v>
      </c>
      <c r="C398" s="137" t="s">
        <v>510</v>
      </c>
      <c r="D398" s="137" t="s">
        <v>1814</v>
      </c>
      <c r="E398" s="137" t="s">
        <v>485</v>
      </c>
      <c r="F398" s="472">
        <v>6900</v>
      </c>
      <c r="G398" s="470">
        <v>6900</v>
      </c>
      <c r="H398" s="320">
        <f t="shared" si="13"/>
        <v>100</v>
      </c>
      <c r="I398" s="149" t="str">
        <f t="shared" si="12"/>
        <v>080105300S5580612</v>
      </c>
    </row>
    <row r="399" spans="1:9" ht="89.25">
      <c r="A399" s="53" t="s">
        <v>1951</v>
      </c>
      <c r="B399" s="137" t="s">
        <v>278</v>
      </c>
      <c r="C399" s="137" t="s">
        <v>510</v>
      </c>
      <c r="D399" s="137" t="s">
        <v>1952</v>
      </c>
      <c r="E399" s="137"/>
      <c r="F399" s="472">
        <v>7032.37</v>
      </c>
      <c r="G399" s="470">
        <v>7032.37</v>
      </c>
      <c r="H399" s="320">
        <f t="shared" si="13"/>
        <v>100</v>
      </c>
      <c r="I399" s="149" t="str">
        <f t="shared" si="12"/>
        <v>080105300S7450</v>
      </c>
    </row>
    <row r="400" spans="1:9" ht="25.5">
      <c r="A400" s="53" t="s">
        <v>484</v>
      </c>
      <c r="B400" s="137" t="s">
        <v>278</v>
      </c>
      <c r="C400" s="137" t="s">
        <v>510</v>
      </c>
      <c r="D400" s="137" t="s">
        <v>1952</v>
      </c>
      <c r="E400" s="137" t="s">
        <v>485</v>
      </c>
      <c r="F400" s="472">
        <v>7032.37</v>
      </c>
      <c r="G400" s="470">
        <v>7032.37</v>
      </c>
      <c r="H400" s="320">
        <f t="shared" si="13"/>
        <v>100</v>
      </c>
      <c r="I400" s="149" t="str">
        <f t="shared" si="12"/>
        <v>080105300S7450612</v>
      </c>
    </row>
    <row r="401" spans="1:9" ht="114.75">
      <c r="A401" s="53" t="s">
        <v>654</v>
      </c>
      <c r="B401" s="137" t="s">
        <v>278</v>
      </c>
      <c r="C401" s="137" t="s">
        <v>510</v>
      </c>
      <c r="D401" s="137" t="s">
        <v>941</v>
      </c>
      <c r="E401" s="137"/>
      <c r="F401" s="472">
        <v>141096</v>
      </c>
      <c r="G401" s="470">
        <v>141096</v>
      </c>
      <c r="H401" s="320">
        <f t="shared" si="13"/>
        <v>100</v>
      </c>
      <c r="I401" s="149" t="str">
        <f t="shared" si="12"/>
        <v>080105300Ц0000</v>
      </c>
    </row>
    <row r="402" spans="1:9" ht="25.5">
      <c r="A402" s="53" t="s">
        <v>484</v>
      </c>
      <c r="B402" s="137" t="s">
        <v>278</v>
      </c>
      <c r="C402" s="137" t="s">
        <v>510</v>
      </c>
      <c r="D402" s="137" t="s">
        <v>941</v>
      </c>
      <c r="E402" s="137" t="s">
        <v>485</v>
      </c>
      <c r="F402" s="472">
        <v>141096</v>
      </c>
      <c r="G402" s="470">
        <v>141096</v>
      </c>
      <c r="H402" s="320">
        <f t="shared" si="13"/>
        <v>100</v>
      </c>
      <c r="I402" s="149" t="str">
        <f t="shared" si="12"/>
        <v>080105300Ц0000612</v>
      </c>
    </row>
    <row r="403" spans="1:9" ht="102">
      <c r="A403" s="53" t="s">
        <v>1865</v>
      </c>
      <c r="B403" s="137" t="s">
        <v>278</v>
      </c>
      <c r="C403" s="137" t="s">
        <v>510</v>
      </c>
      <c r="D403" s="137" t="s">
        <v>1866</v>
      </c>
      <c r="E403" s="137"/>
      <c r="F403" s="472">
        <v>60497.599999999999</v>
      </c>
      <c r="G403" s="470">
        <v>0</v>
      </c>
      <c r="H403" s="320">
        <f t="shared" si="13"/>
        <v>0</v>
      </c>
      <c r="I403" s="149" t="str">
        <f t="shared" si="12"/>
        <v>080105300ЧФ030</v>
      </c>
    </row>
    <row r="404" spans="1:9" ht="25.5">
      <c r="A404" s="53" t="s">
        <v>484</v>
      </c>
      <c r="B404" s="137" t="s">
        <v>278</v>
      </c>
      <c r="C404" s="137" t="s">
        <v>510</v>
      </c>
      <c r="D404" s="137" t="s">
        <v>1866</v>
      </c>
      <c r="E404" s="137" t="s">
        <v>485</v>
      </c>
      <c r="F404" s="472">
        <v>60497.599999999999</v>
      </c>
      <c r="G404" s="470">
        <v>0</v>
      </c>
      <c r="H404" s="320">
        <f t="shared" si="13"/>
        <v>0</v>
      </c>
      <c r="I404" s="149" t="str">
        <f t="shared" si="12"/>
        <v>080105300ЧФ030612</v>
      </c>
    </row>
    <row r="405" spans="1:9" ht="25.5">
      <c r="A405" s="53" t="s">
        <v>0</v>
      </c>
      <c r="B405" s="137" t="s">
        <v>278</v>
      </c>
      <c r="C405" s="137" t="s">
        <v>522</v>
      </c>
      <c r="D405" s="137"/>
      <c r="E405" s="137"/>
      <c r="F405" s="472">
        <v>35617670.289999999</v>
      </c>
      <c r="G405" s="470">
        <v>34650726.119999997</v>
      </c>
      <c r="H405" s="320">
        <f t="shared" si="13"/>
        <v>97.285212193478358</v>
      </c>
      <c r="I405" s="149" t="str">
        <f t="shared" si="12"/>
        <v>0804</v>
      </c>
    </row>
    <row r="406" spans="1:9" ht="114.75">
      <c r="A406" s="53" t="s">
        <v>638</v>
      </c>
      <c r="B406" s="137" t="s">
        <v>278</v>
      </c>
      <c r="C406" s="137" t="s">
        <v>522</v>
      </c>
      <c r="D406" s="137" t="s">
        <v>912</v>
      </c>
      <c r="E406" s="137"/>
      <c r="F406" s="472">
        <v>14126003.24</v>
      </c>
      <c r="G406" s="470">
        <v>13886397.119999999</v>
      </c>
      <c r="H406" s="320">
        <f t="shared" si="13"/>
        <v>98.303793961185576</v>
      </c>
      <c r="I406" s="149" t="str">
        <f t="shared" si="12"/>
        <v>08040530040000</v>
      </c>
    </row>
    <row r="407" spans="1:9">
      <c r="A407" s="53" t="s">
        <v>1603</v>
      </c>
      <c r="B407" s="137" t="s">
        <v>278</v>
      </c>
      <c r="C407" s="137" t="s">
        <v>522</v>
      </c>
      <c r="D407" s="137" t="s">
        <v>912</v>
      </c>
      <c r="E407" s="137" t="s">
        <v>460</v>
      </c>
      <c r="F407" s="472">
        <v>9423030</v>
      </c>
      <c r="G407" s="470">
        <v>9415643.4700000007</v>
      </c>
      <c r="H407" s="320">
        <f t="shared" si="13"/>
        <v>99.921611944353359</v>
      </c>
      <c r="I407" s="149" t="str">
        <f t="shared" si="12"/>
        <v>08040530040000111</v>
      </c>
    </row>
    <row r="408" spans="1:9" ht="25.5">
      <c r="A408" s="53" t="s">
        <v>1617</v>
      </c>
      <c r="B408" s="137" t="s">
        <v>278</v>
      </c>
      <c r="C408" s="137" t="s">
        <v>522</v>
      </c>
      <c r="D408" s="137" t="s">
        <v>912</v>
      </c>
      <c r="E408" s="137" t="s">
        <v>509</v>
      </c>
      <c r="F408" s="472">
        <v>33658.58</v>
      </c>
      <c r="G408" s="470">
        <v>33658.58</v>
      </c>
      <c r="H408" s="320">
        <f t="shared" si="13"/>
        <v>100</v>
      </c>
      <c r="I408" s="149" t="str">
        <f t="shared" si="12"/>
        <v>08040530040000112</v>
      </c>
    </row>
    <row r="409" spans="1:9" ht="51">
      <c r="A409" s="53" t="s">
        <v>1604</v>
      </c>
      <c r="B409" s="137" t="s">
        <v>278</v>
      </c>
      <c r="C409" s="137" t="s">
        <v>522</v>
      </c>
      <c r="D409" s="137" t="s">
        <v>912</v>
      </c>
      <c r="E409" s="137" t="s">
        <v>1290</v>
      </c>
      <c r="F409" s="472">
        <v>2882253</v>
      </c>
      <c r="G409" s="470">
        <v>2879503.76</v>
      </c>
      <c r="H409" s="320">
        <f t="shared" si="13"/>
        <v>99.904614896749166</v>
      </c>
      <c r="I409" s="149" t="str">
        <f t="shared" si="12"/>
        <v>08040530040000119</v>
      </c>
    </row>
    <row r="410" spans="1:9" ht="38.25">
      <c r="A410" s="53" t="s">
        <v>445</v>
      </c>
      <c r="B410" s="137" t="s">
        <v>278</v>
      </c>
      <c r="C410" s="137" t="s">
        <v>522</v>
      </c>
      <c r="D410" s="137" t="s">
        <v>912</v>
      </c>
      <c r="E410" s="137" t="s">
        <v>446</v>
      </c>
      <c r="F410" s="472">
        <v>1786799.64</v>
      </c>
      <c r="G410" s="470">
        <v>1557329.29</v>
      </c>
      <c r="H410" s="320">
        <f t="shared" si="13"/>
        <v>87.157466071573651</v>
      </c>
      <c r="I410" s="149" t="str">
        <f t="shared" si="12"/>
        <v>08040530040000244</v>
      </c>
    </row>
    <row r="411" spans="1:9">
      <c r="A411" s="53" t="s">
        <v>1293</v>
      </c>
      <c r="B411" s="137" t="s">
        <v>278</v>
      </c>
      <c r="C411" s="137" t="s">
        <v>522</v>
      </c>
      <c r="D411" s="137" t="s">
        <v>912</v>
      </c>
      <c r="E411" s="137" t="s">
        <v>1294</v>
      </c>
      <c r="F411" s="472">
        <v>262.02</v>
      </c>
      <c r="G411" s="470">
        <v>262.02</v>
      </c>
      <c r="H411" s="320">
        <f t="shared" si="13"/>
        <v>100</v>
      </c>
      <c r="I411" s="149" t="str">
        <f t="shared" si="12"/>
        <v>08040530040000853</v>
      </c>
    </row>
    <row r="412" spans="1:9" ht="89.25">
      <c r="A412" s="53" t="s">
        <v>1867</v>
      </c>
      <c r="B412" s="137" t="s">
        <v>278</v>
      </c>
      <c r="C412" s="137" t="s">
        <v>522</v>
      </c>
      <c r="D412" s="137" t="s">
        <v>1868</v>
      </c>
      <c r="E412" s="137"/>
      <c r="F412" s="472">
        <v>5945459</v>
      </c>
      <c r="G412" s="470">
        <v>5867357.04</v>
      </c>
      <c r="H412" s="320">
        <f t="shared" si="13"/>
        <v>98.686359455174113</v>
      </c>
      <c r="I412" s="149" t="str">
        <f t="shared" si="12"/>
        <v>0804053004000П</v>
      </c>
    </row>
    <row r="413" spans="1:9">
      <c r="A413" s="53" t="s">
        <v>1603</v>
      </c>
      <c r="B413" s="137" t="s">
        <v>278</v>
      </c>
      <c r="C413" s="137" t="s">
        <v>522</v>
      </c>
      <c r="D413" s="137" t="s">
        <v>1868</v>
      </c>
      <c r="E413" s="137" t="s">
        <v>460</v>
      </c>
      <c r="F413" s="472">
        <v>4472762</v>
      </c>
      <c r="G413" s="470">
        <v>4394660.26</v>
      </c>
      <c r="H413" s="320">
        <f t="shared" si="13"/>
        <v>98.253836443790206</v>
      </c>
      <c r="I413" s="149" t="str">
        <f t="shared" si="12"/>
        <v>0804053004000П111</v>
      </c>
    </row>
    <row r="414" spans="1:9" ht="25.5">
      <c r="A414" s="53" t="s">
        <v>1617</v>
      </c>
      <c r="B414" s="137" t="s">
        <v>278</v>
      </c>
      <c r="C414" s="137" t="s">
        <v>522</v>
      </c>
      <c r="D414" s="137" t="s">
        <v>1868</v>
      </c>
      <c r="E414" s="137" t="s">
        <v>509</v>
      </c>
      <c r="F414" s="472">
        <v>1170</v>
      </c>
      <c r="G414" s="470">
        <v>1170</v>
      </c>
      <c r="H414" s="320">
        <f t="shared" si="13"/>
        <v>100</v>
      </c>
      <c r="I414" s="149" t="str">
        <f t="shared" si="12"/>
        <v>0804053004000П112</v>
      </c>
    </row>
    <row r="415" spans="1:9" ht="51">
      <c r="A415" s="53" t="s">
        <v>1604</v>
      </c>
      <c r="B415" s="137" t="s">
        <v>278</v>
      </c>
      <c r="C415" s="137" t="s">
        <v>522</v>
      </c>
      <c r="D415" s="137" t="s">
        <v>1868</v>
      </c>
      <c r="E415" s="137" t="s">
        <v>1290</v>
      </c>
      <c r="F415" s="472">
        <v>1471527</v>
      </c>
      <c r="G415" s="470">
        <v>1471526.78</v>
      </c>
      <c r="H415" s="320">
        <f t="shared" si="13"/>
        <v>99.999985049543767</v>
      </c>
      <c r="I415" s="149" t="str">
        <f t="shared" si="12"/>
        <v>0804053004000П119</v>
      </c>
    </row>
    <row r="416" spans="1:9" ht="153">
      <c r="A416" s="53" t="s">
        <v>639</v>
      </c>
      <c r="B416" s="137" t="s">
        <v>278</v>
      </c>
      <c r="C416" s="137" t="s">
        <v>522</v>
      </c>
      <c r="D416" s="137" t="s">
        <v>913</v>
      </c>
      <c r="E416" s="137"/>
      <c r="F416" s="472">
        <v>802500</v>
      </c>
      <c r="G416" s="470">
        <v>680986.3</v>
      </c>
      <c r="H416" s="320">
        <f t="shared" si="13"/>
        <v>84.858105919003123</v>
      </c>
      <c r="I416" s="149" t="str">
        <f t="shared" si="12"/>
        <v>08040530041000</v>
      </c>
    </row>
    <row r="417" spans="1:9">
      <c r="A417" s="53" t="s">
        <v>1603</v>
      </c>
      <c r="B417" s="137" t="s">
        <v>278</v>
      </c>
      <c r="C417" s="137" t="s">
        <v>522</v>
      </c>
      <c r="D417" s="137" t="s">
        <v>913</v>
      </c>
      <c r="E417" s="137" t="s">
        <v>460</v>
      </c>
      <c r="F417" s="472">
        <v>604360</v>
      </c>
      <c r="G417" s="470">
        <v>533906.23</v>
      </c>
      <c r="H417" s="320">
        <f t="shared" si="13"/>
        <v>88.342416771460719</v>
      </c>
      <c r="I417" s="149" t="str">
        <f t="shared" si="12"/>
        <v>08040530041000111</v>
      </c>
    </row>
    <row r="418" spans="1:9" ht="51">
      <c r="A418" s="53" t="s">
        <v>1604</v>
      </c>
      <c r="B418" s="137" t="s">
        <v>278</v>
      </c>
      <c r="C418" s="137" t="s">
        <v>522</v>
      </c>
      <c r="D418" s="137" t="s">
        <v>913</v>
      </c>
      <c r="E418" s="137" t="s">
        <v>1290</v>
      </c>
      <c r="F418" s="472">
        <v>198140</v>
      </c>
      <c r="G418" s="470">
        <v>147080.07</v>
      </c>
      <c r="H418" s="320">
        <f t="shared" si="13"/>
        <v>74.230377510850914</v>
      </c>
      <c r="I418" s="149" t="str">
        <f t="shared" si="12"/>
        <v>08040530041000119</v>
      </c>
    </row>
    <row r="419" spans="1:9" ht="114.75">
      <c r="A419" s="53" t="s">
        <v>1869</v>
      </c>
      <c r="B419" s="137" t="s">
        <v>278</v>
      </c>
      <c r="C419" s="137" t="s">
        <v>522</v>
      </c>
      <c r="D419" s="137" t="s">
        <v>1870</v>
      </c>
      <c r="E419" s="137"/>
      <c r="F419" s="472">
        <v>9348494</v>
      </c>
      <c r="G419" s="470">
        <v>8961836.2699999996</v>
      </c>
      <c r="H419" s="320">
        <f t="shared" si="13"/>
        <v>95.863957018103662</v>
      </c>
      <c r="I419" s="149" t="str">
        <f t="shared" si="12"/>
        <v>0804053004100П</v>
      </c>
    </row>
    <row r="420" spans="1:9">
      <c r="A420" s="53" t="s">
        <v>1603</v>
      </c>
      <c r="B420" s="137" t="s">
        <v>278</v>
      </c>
      <c r="C420" s="137" t="s">
        <v>522</v>
      </c>
      <c r="D420" s="137" t="s">
        <v>1870</v>
      </c>
      <c r="E420" s="137" t="s">
        <v>460</v>
      </c>
      <c r="F420" s="472">
        <v>7180101</v>
      </c>
      <c r="G420" s="470">
        <v>7016324.54</v>
      </c>
      <c r="H420" s="320">
        <f t="shared" si="13"/>
        <v>97.719022893967647</v>
      </c>
      <c r="I420" s="149" t="str">
        <f t="shared" si="12"/>
        <v>0804053004100П111</v>
      </c>
    </row>
    <row r="421" spans="1:9" ht="51">
      <c r="A421" s="53" t="s">
        <v>1604</v>
      </c>
      <c r="B421" s="137" t="s">
        <v>278</v>
      </c>
      <c r="C421" s="137" t="s">
        <v>522</v>
      </c>
      <c r="D421" s="137" t="s">
        <v>1870</v>
      </c>
      <c r="E421" s="137" t="s">
        <v>1290</v>
      </c>
      <c r="F421" s="472">
        <v>2168393</v>
      </c>
      <c r="G421" s="470">
        <v>1945511.73</v>
      </c>
      <c r="H421" s="320">
        <f t="shared" si="13"/>
        <v>89.721361856453143</v>
      </c>
      <c r="I421" s="149" t="str">
        <f t="shared" si="12"/>
        <v>0804053004100П119</v>
      </c>
    </row>
    <row r="422" spans="1:9" ht="114.75">
      <c r="A422" s="53" t="s">
        <v>640</v>
      </c>
      <c r="B422" s="137" t="s">
        <v>278</v>
      </c>
      <c r="C422" s="137" t="s">
        <v>522</v>
      </c>
      <c r="D422" s="137" t="s">
        <v>915</v>
      </c>
      <c r="E422" s="137"/>
      <c r="F422" s="472">
        <v>178152</v>
      </c>
      <c r="G422" s="470">
        <v>178152</v>
      </c>
      <c r="H422" s="320">
        <f t="shared" si="13"/>
        <v>100</v>
      </c>
      <c r="I422" s="149" t="str">
        <f t="shared" si="12"/>
        <v>08040530047000</v>
      </c>
    </row>
    <row r="423" spans="1:9" ht="25.5">
      <c r="A423" s="53" t="s">
        <v>1617</v>
      </c>
      <c r="B423" s="137" t="s">
        <v>278</v>
      </c>
      <c r="C423" s="137" t="s">
        <v>522</v>
      </c>
      <c r="D423" s="137" t="s">
        <v>915</v>
      </c>
      <c r="E423" s="137" t="s">
        <v>509</v>
      </c>
      <c r="F423" s="472">
        <v>178152</v>
      </c>
      <c r="G423" s="470">
        <v>178152</v>
      </c>
      <c r="H423" s="320">
        <f t="shared" si="13"/>
        <v>100</v>
      </c>
      <c r="I423" s="149" t="str">
        <f t="shared" si="12"/>
        <v>08040530047000112</v>
      </c>
    </row>
    <row r="424" spans="1:9" ht="127.5">
      <c r="A424" s="53" t="s">
        <v>732</v>
      </c>
      <c r="B424" s="137" t="s">
        <v>278</v>
      </c>
      <c r="C424" s="137" t="s">
        <v>522</v>
      </c>
      <c r="D424" s="137" t="s">
        <v>916</v>
      </c>
      <c r="E424" s="137"/>
      <c r="F424" s="472">
        <v>308531.76</v>
      </c>
      <c r="G424" s="470">
        <v>243199.76</v>
      </c>
      <c r="H424" s="320">
        <f t="shared" si="13"/>
        <v>78.824870412044461</v>
      </c>
      <c r="I424" s="149" t="str">
        <f t="shared" si="12"/>
        <v>0804053004Г000</v>
      </c>
    </row>
    <row r="425" spans="1:9" ht="38.25">
      <c r="A425" s="54" t="s">
        <v>445</v>
      </c>
      <c r="B425" s="215" t="s">
        <v>278</v>
      </c>
      <c r="C425" s="215" t="s">
        <v>522</v>
      </c>
      <c r="D425" s="215" t="s">
        <v>916</v>
      </c>
      <c r="E425" s="53" t="s">
        <v>446</v>
      </c>
      <c r="F425" s="473">
        <v>308531.76</v>
      </c>
      <c r="G425" s="470">
        <v>243199.76</v>
      </c>
      <c r="H425" s="320">
        <f t="shared" si="13"/>
        <v>78.824870412044461</v>
      </c>
      <c r="I425" s="149" t="str">
        <f t="shared" si="12"/>
        <v>0804053004Г000244</v>
      </c>
    </row>
    <row r="426" spans="1:9" ht="76.5">
      <c r="A426" s="54" t="s">
        <v>1183</v>
      </c>
      <c r="B426" s="215" t="s">
        <v>278</v>
      </c>
      <c r="C426" s="215" t="s">
        <v>522</v>
      </c>
      <c r="D426" s="215" t="s">
        <v>1184</v>
      </c>
      <c r="E426" s="53"/>
      <c r="F426" s="473">
        <v>74603</v>
      </c>
      <c r="G426" s="470">
        <v>74603</v>
      </c>
      <c r="H426" s="320">
        <f t="shared" si="13"/>
        <v>100</v>
      </c>
      <c r="I426" s="149" t="str">
        <f t="shared" si="12"/>
        <v>0804053004Ф000</v>
      </c>
    </row>
    <row r="427" spans="1:9" ht="38.25">
      <c r="A427" s="54" t="s">
        <v>445</v>
      </c>
      <c r="B427" s="215" t="s">
        <v>278</v>
      </c>
      <c r="C427" s="215" t="s">
        <v>522</v>
      </c>
      <c r="D427" s="215" t="s">
        <v>1184</v>
      </c>
      <c r="E427" s="53" t="s">
        <v>446</v>
      </c>
      <c r="F427" s="473">
        <v>74603</v>
      </c>
      <c r="G427" s="470">
        <v>74603</v>
      </c>
      <c r="H427" s="320">
        <f t="shared" si="13"/>
        <v>100</v>
      </c>
      <c r="I427" s="149" t="str">
        <f t="shared" si="12"/>
        <v>0804053004Ф000244</v>
      </c>
    </row>
    <row r="428" spans="1:9" ht="102">
      <c r="A428" s="54" t="s">
        <v>1173</v>
      </c>
      <c r="B428" s="215" t="s">
        <v>278</v>
      </c>
      <c r="C428" s="215" t="s">
        <v>522</v>
      </c>
      <c r="D428" s="215" t="s">
        <v>1174</v>
      </c>
      <c r="E428" s="53"/>
      <c r="F428" s="473">
        <v>141000</v>
      </c>
      <c r="G428" s="470">
        <v>141000</v>
      </c>
      <c r="H428" s="320">
        <f t="shared" si="13"/>
        <v>100</v>
      </c>
      <c r="I428" s="149" t="str">
        <f t="shared" si="12"/>
        <v>0804053004Э000</v>
      </c>
    </row>
    <row r="429" spans="1:9" ht="38.25">
      <c r="A429" s="54" t="s">
        <v>445</v>
      </c>
      <c r="B429" s="215" t="s">
        <v>278</v>
      </c>
      <c r="C429" s="215" t="s">
        <v>522</v>
      </c>
      <c r="D429" s="215" t="s">
        <v>1174</v>
      </c>
      <c r="E429" s="53" t="s">
        <v>446</v>
      </c>
      <c r="F429" s="473">
        <v>141000</v>
      </c>
      <c r="G429" s="470">
        <v>141000</v>
      </c>
      <c r="H429" s="320">
        <f t="shared" si="13"/>
        <v>100</v>
      </c>
      <c r="I429" s="149" t="str">
        <f t="shared" si="12"/>
        <v>0804053004Э000244</v>
      </c>
    </row>
    <row r="430" spans="1:9" ht="114.75">
      <c r="A430" s="54" t="s">
        <v>2008</v>
      </c>
      <c r="B430" s="215" t="s">
        <v>278</v>
      </c>
      <c r="C430" s="215" t="s">
        <v>522</v>
      </c>
      <c r="D430" s="215" t="s">
        <v>2009</v>
      </c>
      <c r="E430" s="53"/>
      <c r="F430" s="473">
        <v>13020</v>
      </c>
      <c r="G430" s="470">
        <v>13020</v>
      </c>
      <c r="H430" s="320">
        <f t="shared" si="13"/>
        <v>100</v>
      </c>
      <c r="I430" s="149" t="str">
        <f t="shared" si="12"/>
        <v>08040530077440</v>
      </c>
    </row>
    <row r="431" spans="1:9">
      <c r="A431" s="54" t="s">
        <v>1603</v>
      </c>
      <c r="B431" s="215" t="s">
        <v>278</v>
      </c>
      <c r="C431" s="215" t="s">
        <v>522</v>
      </c>
      <c r="D431" s="215" t="s">
        <v>2009</v>
      </c>
      <c r="E431" s="53" t="s">
        <v>460</v>
      </c>
      <c r="F431" s="473">
        <v>10000</v>
      </c>
      <c r="G431" s="470">
        <v>10000</v>
      </c>
      <c r="H431" s="320">
        <f t="shared" si="13"/>
        <v>100</v>
      </c>
      <c r="I431" s="149" t="str">
        <f t="shared" ref="I431:I494" si="14">CONCATENATE(C431,D431,E431)</f>
        <v>08040530077440111</v>
      </c>
    </row>
    <row r="432" spans="1:9" ht="51">
      <c r="A432" s="54" t="s">
        <v>1604</v>
      </c>
      <c r="B432" s="215" t="s">
        <v>278</v>
      </c>
      <c r="C432" s="215" t="s">
        <v>522</v>
      </c>
      <c r="D432" s="215" t="s">
        <v>2009</v>
      </c>
      <c r="E432" s="53" t="s">
        <v>1290</v>
      </c>
      <c r="F432" s="473">
        <v>3020</v>
      </c>
      <c r="G432" s="470">
        <v>3020</v>
      </c>
      <c r="H432" s="320">
        <f t="shared" si="13"/>
        <v>100</v>
      </c>
      <c r="I432" s="149" t="str">
        <f t="shared" si="14"/>
        <v>08040530077440119</v>
      </c>
    </row>
    <row r="433" spans="1:9" ht="102">
      <c r="A433" s="54" t="s">
        <v>1871</v>
      </c>
      <c r="B433" s="215" t="s">
        <v>278</v>
      </c>
      <c r="C433" s="215" t="s">
        <v>522</v>
      </c>
      <c r="D433" s="215" t="s">
        <v>1872</v>
      </c>
      <c r="E433" s="53"/>
      <c r="F433" s="473">
        <v>1701155</v>
      </c>
      <c r="G433" s="470">
        <v>1698801.83</v>
      </c>
      <c r="H433" s="320">
        <f t="shared" si="13"/>
        <v>99.861672216817396</v>
      </c>
      <c r="I433" s="149" t="str">
        <f t="shared" si="14"/>
        <v>080405300Ч003П</v>
      </c>
    </row>
    <row r="434" spans="1:9">
      <c r="A434" s="54" t="s">
        <v>1603</v>
      </c>
      <c r="B434" s="215" t="s">
        <v>278</v>
      </c>
      <c r="C434" s="215" t="s">
        <v>522</v>
      </c>
      <c r="D434" s="215" t="s">
        <v>1872</v>
      </c>
      <c r="E434" s="53" t="s">
        <v>460</v>
      </c>
      <c r="F434" s="473">
        <v>1296624</v>
      </c>
      <c r="G434" s="470">
        <v>1296623.29</v>
      </c>
      <c r="H434" s="320">
        <f t="shared" si="13"/>
        <v>99.999945242414142</v>
      </c>
      <c r="I434" s="149" t="str">
        <f t="shared" si="14"/>
        <v>080405300Ч003П111</v>
      </c>
    </row>
    <row r="435" spans="1:9" ht="25.5">
      <c r="A435" s="54" t="s">
        <v>1617</v>
      </c>
      <c r="B435" s="215" t="s">
        <v>278</v>
      </c>
      <c r="C435" s="215" t="s">
        <v>522</v>
      </c>
      <c r="D435" s="215" t="s">
        <v>1872</v>
      </c>
      <c r="E435" s="53" t="s">
        <v>509</v>
      </c>
      <c r="F435" s="473">
        <v>780</v>
      </c>
      <c r="G435" s="470">
        <v>144.68</v>
      </c>
      <c r="H435" s="320">
        <f t="shared" si="13"/>
        <v>18.54871794871795</v>
      </c>
      <c r="I435" s="149" t="str">
        <f t="shared" si="14"/>
        <v>080405300Ч003П112</v>
      </c>
    </row>
    <row r="436" spans="1:9" ht="51">
      <c r="A436" s="54" t="s">
        <v>1604</v>
      </c>
      <c r="B436" s="215" t="s">
        <v>278</v>
      </c>
      <c r="C436" s="215" t="s">
        <v>522</v>
      </c>
      <c r="D436" s="215" t="s">
        <v>1872</v>
      </c>
      <c r="E436" s="53" t="s">
        <v>1290</v>
      </c>
      <c r="F436" s="473">
        <v>403751</v>
      </c>
      <c r="G436" s="470">
        <v>402033.86</v>
      </c>
      <c r="H436" s="320">
        <f t="shared" si="13"/>
        <v>99.574703220549296</v>
      </c>
      <c r="I436" s="149" t="str">
        <f t="shared" si="14"/>
        <v>080405300Ч003П119</v>
      </c>
    </row>
    <row r="437" spans="1:9" ht="89.25">
      <c r="A437" s="54" t="s">
        <v>1873</v>
      </c>
      <c r="B437" s="215" t="s">
        <v>278</v>
      </c>
      <c r="C437" s="215" t="s">
        <v>522</v>
      </c>
      <c r="D437" s="215" t="s">
        <v>1874</v>
      </c>
      <c r="E437" s="53"/>
      <c r="F437" s="473">
        <v>35804</v>
      </c>
      <c r="G437" s="470">
        <v>32470.41</v>
      </c>
      <c r="H437" s="320">
        <f t="shared" si="13"/>
        <v>90.689336386995862</v>
      </c>
      <c r="I437" s="149" t="str">
        <f t="shared" si="14"/>
        <v>080405300Ч004П</v>
      </c>
    </row>
    <row r="438" spans="1:9">
      <c r="A438" s="54" t="s">
        <v>1603</v>
      </c>
      <c r="B438" s="215" t="s">
        <v>278</v>
      </c>
      <c r="C438" s="215" t="s">
        <v>522</v>
      </c>
      <c r="D438" s="215" t="s">
        <v>1874</v>
      </c>
      <c r="E438" s="53" t="s">
        <v>460</v>
      </c>
      <c r="F438" s="473">
        <v>27499</v>
      </c>
      <c r="G438" s="470">
        <v>25311.49</v>
      </c>
      <c r="H438" s="320">
        <f t="shared" si="13"/>
        <v>92.045128913778683</v>
      </c>
      <c r="I438" s="149" t="str">
        <f t="shared" si="14"/>
        <v>080405300Ч004П111</v>
      </c>
    </row>
    <row r="439" spans="1:9" ht="51">
      <c r="A439" s="54" t="s">
        <v>1604</v>
      </c>
      <c r="B439" s="215" t="s">
        <v>278</v>
      </c>
      <c r="C439" s="215" t="s">
        <v>522</v>
      </c>
      <c r="D439" s="215" t="s">
        <v>1874</v>
      </c>
      <c r="E439" s="53" t="s">
        <v>1290</v>
      </c>
      <c r="F439" s="473">
        <v>8305</v>
      </c>
      <c r="G439" s="470">
        <v>7158.92</v>
      </c>
      <c r="H439" s="320">
        <f t="shared" si="13"/>
        <v>86.200120409391928</v>
      </c>
      <c r="I439" s="149" t="str">
        <f t="shared" si="14"/>
        <v>080405300Ч004П119</v>
      </c>
    </row>
    <row r="440" spans="1:9" ht="153">
      <c r="A440" s="54" t="s">
        <v>1875</v>
      </c>
      <c r="B440" s="215" t="s">
        <v>278</v>
      </c>
      <c r="C440" s="215" t="s">
        <v>522</v>
      </c>
      <c r="D440" s="215" t="s">
        <v>1876</v>
      </c>
      <c r="E440" s="53"/>
      <c r="F440" s="473">
        <v>2872817.29</v>
      </c>
      <c r="G440" s="470">
        <v>2828412.07</v>
      </c>
      <c r="H440" s="320">
        <f t="shared" si="13"/>
        <v>98.454297105681917</v>
      </c>
      <c r="I440" s="149" t="str">
        <f t="shared" si="14"/>
        <v>080405300Ч103П</v>
      </c>
    </row>
    <row r="441" spans="1:9">
      <c r="A441" s="54" t="s">
        <v>1603</v>
      </c>
      <c r="B441" s="215" t="s">
        <v>278</v>
      </c>
      <c r="C441" s="215" t="s">
        <v>522</v>
      </c>
      <c r="D441" s="215" t="s">
        <v>1876</v>
      </c>
      <c r="E441" s="53" t="s">
        <v>460</v>
      </c>
      <c r="F441" s="473">
        <v>2252648.3199999998</v>
      </c>
      <c r="G441" s="470">
        <v>2215298.96</v>
      </c>
      <c r="H441" s="320">
        <f t="shared" si="13"/>
        <v>98.34197998558426</v>
      </c>
      <c r="I441" s="149" t="str">
        <f t="shared" si="14"/>
        <v>080405300Ч103П111</v>
      </c>
    </row>
    <row r="442" spans="1:9" ht="51">
      <c r="A442" s="54" t="s">
        <v>1604</v>
      </c>
      <c r="B442" s="215" t="s">
        <v>278</v>
      </c>
      <c r="C442" s="215" t="s">
        <v>522</v>
      </c>
      <c r="D442" s="215" t="s">
        <v>1876</v>
      </c>
      <c r="E442" s="53" t="s">
        <v>1290</v>
      </c>
      <c r="F442" s="473">
        <v>620168.97</v>
      </c>
      <c r="G442" s="470">
        <v>613113.11</v>
      </c>
      <c r="H442" s="320">
        <f t="shared" si="13"/>
        <v>98.862268133150877</v>
      </c>
      <c r="I442" s="149" t="str">
        <f t="shared" si="14"/>
        <v>080405300Ч103П119</v>
      </c>
    </row>
    <row r="443" spans="1:9" ht="140.25">
      <c r="A443" s="54" t="s">
        <v>1877</v>
      </c>
      <c r="B443" s="215" t="s">
        <v>278</v>
      </c>
      <c r="C443" s="215" t="s">
        <v>522</v>
      </c>
      <c r="D443" s="215" t="s">
        <v>1878</v>
      </c>
      <c r="E443" s="53"/>
      <c r="F443" s="473">
        <v>70131</v>
      </c>
      <c r="G443" s="470">
        <v>44490.32</v>
      </c>
      <c r="H443" s="320">
        <f t="shared" si="13"/>
        <v>63.43887866991772</v>
      </c>
      <c r="I443" s="149" t="str">
        <f t="shared" si="14"/>
        <v>080405300Ч104П</v>
      </c>
    </row>
    <row r="444" spans="1:9">
      <c r="A444" s="54" t="s">
        <v>1603</v>
      </c>
      <c r="B444" s="215" t="s">
        <v>278</v>
      </c>
      <c r="C444" s="215" t="s">
        <v>522</v>
      </c>
      <c r="D444" s="215" t="s">
        <v>1878</v>
      </c>
      <c r="E444" s="53" t="s">
        <v>460</v>
      </c>
      <c r="F444" s="473">
        <v>53864</v>
      </c>
      <c r="G444" s="470">
        <v>34689.4</v>
      </c>
      <c r="H444" s="320">
        <f t="shared" si="13"/>
        <v>64.401826823110056</v>
      </c>
      <c r="I444" s="149" t="str">
        <f t="shared" si="14"/>
        <v>080405300Ч104П111</v>
      </c>
    </row>
    <row r="445" spans="1:9" ht="51">
      <c r="A445" s="54" t="s">
        <v>1604</v>
      </c>
      <c r="B445" s="215" t="s">
        <v>278</v>
      </c>
      <c r="C445" s="215" t="s">
        <v>522</v>
      </c>
      <c r="D445" s="215" t="s">
        <v>1878</v>
      </c>
      <c r="E445" s="53" t="s">
        <v>1290</v>
      </c>
      <c r="F445" s="473">
        <v>16267</v>
      </c>
      <c r="G445" s="470">
        <v>9800.92</v>
      </c>
      <c r="H445" s="320">
        <f t="shared" si="13"/>
        <v>60.25032273928813</v>
      </c>
      <c r="I445" s="149" t="str">
        <f t="shared" si="14"/>
        <v>080405300Ч104П119</v>
      </c>
    </row>
    <row r="446" spans="1:9">
      <c r="A446" s="54" t="s">
        <v>297</v>
      </c>
      <c r="B446" s="215" t="s">
        <v>278</v>
      </c>
      <c r="C446" s="215" t="s">
        <v>1610</v>
      </c>
      <c r="D446" s="215"/>
      <c r="E446" s="53"/>
      <c r="F446" s="473">
        <v>1745700</v>
      </c>
      <c r="G446" s="470">
        <v>1436944.36</v>
      </c>
      <c r="H446" s="320">
        <f t="shared" si="13"/>
        <v>82.313361975138918</v>
      </c>
      <c r="I446" s="149" t="str">
        <f t="shared" si="14"/>
        <v>1100</v>
      </c>
    </row>
    <row r="447" spans="1:9">
      <c r="A447" s="54" t="s">
        <v>258</v>
      </c>
      <c r="B447" s="215" t="s">
        <v>278</v>
      </c>
      <c r="C447" s="215" t="s">
        <v>499</v>
      </c>
      <c r="D447" s="215"/>
      <c r="E447" s="53"/>
      <c r="F447" s="473">
        <v>1745700</v>
      </c>
      <c r="G447" s="470">
        <v>1436944.36</v>
      </c>
      <c r="H447" s="320">
        <f t="shared" si="13"/>
        <v>82.313361975138918</v>
      </c>
      <c r="I447" s="149" t="str">
        <f t="shared" si="14"/>
        <v>1102</v>
      </c>
    </row>
    <row r="448" spans="1:9" ht="76.5">
      <c r="A448" s="54" t="s">
        <v>500</v>
      </c>
      <c r="B448" s="215" t="s">
        <v>278</v>
      </c>
      <c r="C448" s="215" t="s">
        <v>499</v>
      </c>
      <c r="D448" s="215" t="s">
        <v>897</v>
      </c>
      <c r="E448" s="53"/>
      <c r="F448" s="473">
        <v>632026.26</v>
      </c>
      <c r="G448" s="470">
        <v>468562.93</v>
      </c>
      <c r="H448" s="320">
        <f t="shared" si="13"/>
        <v>74.136623690287806</v>
      </c>
      <c r="I448" s="149" t="str">
        <f t="shared" si="14"/>
        <v>11020710080010</v>
      </c>
    </row>
    <row r="449" spans="1:9" ht="51">
      <c r="A449" s="54" t="s">
        <v>1619</v>
      </c>
      <c r="B449" s="215" t="s">
        <v>278</v>
      </c>
      <c r="C449" s="215" t="s">
        <v>499</v>
      </c>
      <c r="D449" s="215" t="s">
        <v>897</v>
      </c>
      <c r="E449" s="53" t="s">
        <v>1295</v>
      </c>
      <c r="F449" s="473">
        <v>20000</v>
      </c>
      <c r="G449" s="470">
        <v>20000</v>
      </c>
      <c r="H449" s="320">
        <f t="shared" si="13"/>
        <v>100</v>
      </c>
      <c r="I449" s="149" t="str">
        <f t="shared" si="14"/>
        <v>11020710080010113</v>
      </c>
    </row>
    <row r="450" spans="1:9" ht="38.25">
      <c r="A450" s="54" t="s">
        <v>445</v>
      </c>
      <c r="B450" s="215" t="s">
        <v>278</v>
      </c>
      <c r="C450" s="215" t="s">
        <v>499</v>
      </c>
      <c r="D450" s="215" t="s">
        <v>897</v>
      </c>
      <c r="E450" s="53" t="s">
        <v>446</v>
      </c>
      <c r="F450" s="473">
        <v>612026.26</v>
      </c>
      <c r="G450" s="470">
        <v>448562.93</v>
      </c>
      <c r="H450" s="320">
        <f t="shared" si="13"/>
        <v>73.291451579218176</v>
      </c>
      <c r="I450" s="149" t="str">
        <f t="shared" si="14"/>
        <v>11020710080010244</v>
      </c>
    </row>
    <row r="451" spans="1:9" ht="89.25">
      <c r="A451" s="54" t="s">
        <v>501</v>
      </c>
      <c r="B451" s="215" t="s">
        <v>278</v>
      </c>
      <c r="C451" s="215" t="s">
        <v>499</v>
      </c>
      <c r="D451" s="215" t="s">
        <v>898</v>
      </c>
      <c r="E451" s="53"/>
      <c r="F451" s="473">
        <v>858738.74</v>
      </c>
      <c r="G451" s="470">
        <v>713446.43</v>
      </c>
      <c r="H451" s="320">
        <f t="shared" si="13"/>
        <v>83.080731864967461</v>
      </c>
      <c r="I451" s="149" t="str">
        <f t="shared" si="14"/>
        <v>11020710080020</v>
      </c>
    </row>
    <row r="452" spans="1:9" ht="25.5">
      <c r="A452" s="54" t="s">
        <v>1617</v>
      </c>
      <c r="B452" s="215" t="s">
        <v>278</v>
      </c>
      <c r="C452" s="215" t="s">
        <v>499</v>
      </c>
      <c r="D452" s="215" t="s">
        <v>898</v>
      </c>
      <c r="E452" s="53" t="s">
        <v>509</v>
      </c>
      <c r="F452" s="473">
        <v>60000</v>
      </c>
      <c r="G452" s="470">
        <v>53531</v>
      </c>
      <c r="H452" s="320">
        <f t="shared" si="13"/>
        <v>89.218333333333334</v>
      </c>
      <c r="I452" s="149" t="str">
        <f t="shared" si="14"/>
        <v>11020710080020112</v>
      </c>
    </row>
    <row r="453" spans="1:9" ht="51">
      <c r="A453" s="54" t="s">
        <v>1619</v>
      </c>
      <c r="B453" s="215" t="s">
        <v>278</v>
      </c>
      <c r="C453" s="215" t="s">
        <v>499</v>
      </c>
      <c r="D453" s="215" t="s">
        <v>898</v>
      </c>
      <c r="E453" s="53" t="s">
        <v>1295</v>
      </c>
      <c r="F453" s="473">
        <v>486123.61</v>
      </c>
      <c r="G453" s="470">
        <v>462713.2</v>
      </c>
      <c r="H453" s="320">
        <f t="shared" si="13"/>
        <v>95.184268050671321</v>
      </c>
      <c r="I453" s="149" t="str">
        <f t="shared" si="14"/>
        <v>11020710080020113</v>
      </c>
    </row>
    <row r="454" spans="1:9" ht="38.25">
      <c r="A454" s="54" t="s">
        <v>445</v>
      </c>
      <c r="B454" s="215" t="s">
        <v>278</v>
      </c>
      <c r="C454" s="215" t="s">
        <v>499</v>
      </c>
      <c r="D454" s="215" t="s">
        <v>898</v>
      </c>
      <c r="E454" s="53" t="s">
        <v>446</v>
      </c>
      <c r="F454" s="473">
        <v>312615.13</v>
      </c>
      <c r="G454" s="470">
        <v>197202.23</v>
      </c>
      <c r="H454" s="320">
        <f t="shared" si="13"/>
        <v>63.081473375904743</v>
      </c>
      <c r="I454" s="149" t="str">
        <f t="shared" si="14"/>
        <v>11020710080020244</v>
      </c>
    </row>
    <row r="455" spans="1:9" ht="63.75">
      <c r="A455" s="54" t="s">
        <v>1620</v>
      </c>
      <c r="B455" s="215" t="s">
        <v>278</v>
      </c>
      <c r="C455" s="215" t="s">
        <v>499</v>
      </c>
      <c r="D455" s="215" t="s">
        <v>1621</v>
      </c>
      <c r="E455" s="53"/>
      <c r="F455" s="473">
        <v>254935</v>
      </c>
      <c r="G455" s="470">
        <v>254935</v>
      </c>
      <c r="H455" s="320">
        <f t="shared" ref="H455:H518" si="15">G455/F455*100</f>
        <v>100</v>
      </c>
      <c r="I455" s="149" t="str">
        <f t="shared" si="14"/>
        <v>1102071008Ф020</v>
      </c>
    </row>
    <row r="456" spans="1:9" ht="38.25">
      <c r="A456" s="54" t="s">
        <v>445</v>
      </c>
      <c r="B456" s="215" t="s">
        <v>278</v>
      </c>
      <c r="C456" s="215" t="s">
        <v>499</v>
      </c>
      <c r="D456" s="215" t="s">
        <v>1621</v>
      </c>
      <c r="E456" s="53" t="s">
        <v>446</v>
      </c>
      <c r="F456" s="473">
        <v>254935</v>
      </c>
      <c r="G456" s="470">
        <v>254935</v>
      </c>
      <c r="H456" s="320">
        <f t="shared" si="15"/>
        <v>100</v>
      </c>
      <c r="I456" s="149" t="str">
        <f t="shared" si="14"/>
        <v>1102071008Ф020244</v>
      </c>
    </row>
    <row r="457" spans="1:9" ht="25.5">
      <c r="A457" s="54" t="s">
        <v>231</v>
      </c>
      <c r="B457" s="215" t="s">
        <v>88</v>
      </c>
      <c r="C457" s="215"/>
      <c r="D457" s="215"/>
      <c r="E457" s="53"/>
      <c r="F457" s="473">
        <v>18907434.620000001</v>
      </c>
      <c r="G457" s="470">
        <v>15119270.130000001</v>
      </c>
      <c r="H457" s="320">
        <f t="shared" si="15"/>
        <v>79.964682855531677</v>
      </c>
      <c r="I457" s="149" t="str">
        <f t="shared" si="14"/>
        <v/>
      </c>
    </row>
    <row r="458" spans="1:9">
      <c r="A458" s="54" t="s">
        <v>282</v>
      </c>
      <c r="B458" s="215" t="s">
        <v>88</v>
      </c>
      <c r="C458" s="215" t="s">
        <v>1598</v>
      </c>
      <c r="D458" s="215"/>
      <c r="E458" s="53"/>
      <c r="F458" s="473">
        <v>851467.55</v>
      </c>
      <c r="G458" s="470">
        <v>851467.55</v>
      </c>
      <c r="H458" s="320">
        <f t="shared" si="15"/>
        <v>100</v>
      </c>
      <c r="I458" s="149" t="str">
        <f t="shared" si="14"/>
        <v>0100</v>
      </c>
    </row>
    <row r="459" spans="1:9">
      <c r="A459" s="54" t="s">
        <v>265</v>
      </c>
      <c r="B459" s="215" t="s">
        <v>88</v>
      </c>
      <c r="C459" s="215" t="s">
        <v>454</v>
      </c>
      <c r="D459" s="215"/>
      <c r="E459" s="53"/>
      <c r="F459" s="473">
        <v>851467.55</v>
      </c>
      <c r="G459" s="470">
        <v>851467.55</v>
      </c>
      <c r="H459" s="320">
        <f t="shared" si="15"/>
        <v>100</v>
      </c>
      <c r="I459" s="149" t="str">
        <f t="shared" si="14"/>
        <v>0113</v>
      </c>
    </row>
    <row r="460" spans="1:9" ht="51">
      <c r="A460" s="54" t="s">
        <v>656</v>
      </c>
      <c r="B460" s="215" t="s">
        <v>88</v>
      </c>
      <c r="C460" s="215" t="s">
        <v>454</v>
      </c>
      <c r="D460" s="215" t="s">
        <v>943</v>
      </c>
      <c r="E460" s="53"/>
      <c r="F460" s="473">
        <v>851467.55</v>
      </c>
      <c r="G460" s="470">
        <v>851467.55</v>
      </c>
      <c r="H460" s="320">
        <f t="shared" si="15"/>
        <v>100</v>
      </c>
      <c r="I460" s="149" t="str">
        <f t="shared" si="14"/>
        <v>011390900Д0000</v>
      </c>
    </row>
    <row r="461" spans="1:9" ht="38.25">
      <c r="A461" s="54" t="s">
        <v>445</v>
      </c>
      <c r="B461" s="215" t="s">
        <v>88</v>
      </c>
      <c r="C461" s="215" t="s">
        <v>454</v>
      </c>
      <c r="D461" s="215" t="s">
        <v>943</v>
      </c>
      <c r="E461" s="53" t="s">
        <v>446</v>
      </c>
      <c r="F461" s="473">
        <v>851467.55</v>
      </c>
      <c r="G461" s="470">
        <v>851467.55</v>
      </c>
      <c r="H461" s="320">
        <f t="shared" si="15"/>
        <v>100</v>
      </c>
      <c r="I461" s="149" t="str">
        <f t="shared" si="14"/>
        <v>011390900Д0000244</v>
      </c>
    </row>
    <row r="462" spans="1:9">
      <c r="A462" s="54" t="s">
        <v>222</v>
      </c>
      <c r="B462" s="215" t="s">
        <v>88</v>
      </c>
      <c r="C462" s="215" t="s">
        <v>1605</v>
      </c>
      <c r="D462" s="215"/>
      <c r="E462" s="53"/>
      <c r="F462" s="473">
        <v>4002431.15</v>
      </c>
      <c r="G462" s="470">
        <v>1197332.45</v>
      </c>
      <c r="H462" s="320">
        <f t="shared" si="15"/>
        <v>29.915129208406242</v>
      </c>
      <c r="I462" s="149" t="str">
        <f t="shared" si="14"/>
        <v>0400</v>
      </c>
    </row>
    <row r="463" spans="1:9" ht="25.5">
      <c r="A463" s="54" t="s">
        <v>180</v>
      </c>
      <c r="B463" s="215" t="s">
        <v>88</v>
      </c>
      <c r="C463" s="215" t="s">
        <v>478</v>
      </c>
      <c r="D463" s="215"/>
      <c r="E463" s="53"/>
      <c r="F463" s="473">
        <v>4002431.15</v>
      </c>
      <c r="G463" s="470">
        <v>1197332.45</v>
      </c>
      <c r="H463" s="320">
        <f t="shared" si="15"/>
        <v>29.915129208406242</v>
      </c>
      <c r="I463" s="149" t="str">
        <f t="shared" si="14"/>
        <v>0412</v>
      </c>
    </row>
    <row r="464" spans="1:9" ht="114.75">
      <c r="A464" s="54" t="s">
        <v>1953</v>
      </c>
      <c r="B464" s="215" t="s">
        <v>88</v>
      </c>
      <c r="C464" s="215" t="s">
        <v>478</v>
      </c>
      <c r="D464" s="215" t="s">
        <v>1958</v>
      </c>
      <c r="E464" s="53"/>
      <c r="F464" s="473">
        <v>2761000</v>
      </c>
      <c r="G464" s="470">
        <v>0</v>
      </c>
      <c r="H464" s="320">
        <f t="shared" si="15"/>
        <v>0</v>
      </c>
      <c r="I464" s="149" t="str">
        <f t="shared" si="14"/>
        <v>04121040075910</v>
      </c>
    </row>
    <row r="465" spans="1:9" ht="38.25">
      <c r="A465" s="54" t="s">
        <v>445</v>
      </c>
      <c r="B465" s="215" t="s">
        <v>88</v>
      </c>
      <c r="C465" s="215" t="s">
        <v>478</v>
      </c>
      <c r="D465" s="215" t="s">
        <v>1958</v>
      </c>
      <c r="E465" s="53" t="s">
        <v>446</v>
      </c>
      <c r="F465" s="473">
        <v>2761000</v>
      </c>
      <c r="G465" s="470">
        <v>0</v>
      </c>
      <c r="H465" s="320">
        <f t="shared" si="15"/>
        <v>0</v>
      </c>
      <c r="I465" s="149" t="str">
        <f t="shared" si="14"/>
        <v>04121040075910244</v>
      </c>
    </row>
    <row r="466" spans="1:9" ht="140.25">
      <c r="A466" s="54" t="s">
        <v>1954</v>
      </c>
      <c r="B466" s="215" t="s">
        <v>88</v>
      </c>
      <c r="C466" s="215" t="s">
        <v>478</v>
      </c>
      <c r="D466" s="215" t="s">
        <v>1955</v>
      </c>
      <c r="E466" s="53"/>
      <c r="F466" s="473">
        <v>92898.7</v>
      </c>
      <c r="G466" s="470">
        <v>48800</v>
      </c>
      <c r="H466" s="320">
        <f t="shared" si="15"/>
        <v>52.530336807727132</v>
      </c>
      <c r="I466" s="149" t="str">
        <f t="shared" si="14"/>
        <v>041210400S5910</v>
      </c>
    </row>
    <row r="467" spans="1:9" ht="38.25">
      <c r="A467" s="54" t="s">
        <v>445</v>
      </c>
      <c r="B467" s="215" t="s">
        <v>88</v>
      </c>
      <c r="C467" s="215" t="s">
        <v>478</v>
      </c>
      <c r="D467" s="215" t="s">
        <v>1955</v>
      </c>
      <c r="E467" s="53" t="s">
        <v>446</v>
      </c>
      <c r="F467" s="473">
        <v>92898.7</v>
      </c>
      <c r="G467" s="470">
        <v>48800</v>
      </c>
      <c r="H467" s="320">
        <f t="shared" si="15"/>
        <v>52.530336807727132</v>
      </c>
      <c r="I467" s="149" t="str">
        <f t="shared" si="14"/>
        <v>041210400S5910244</v>
      </c>
    </row>
    <row r="468" spans="1:9" ht="51">
      <c r="A468" s="54" t="s">
        <v>523</v>
      </c>
      <c r="B468" s="215" t="s">
        <v>88</v>
      </c>
      <c r="C468" s="215" t="s">
        <v>478</v>
      </c>
      <c r="D468" s="215" t="s">
        <v>944</v>
      </c>
      <c r="E468" s="53"/>
      <c r="F468" s="473">
        <v>1148532.45</v>
      </c>
      <c r="G468" s="470">
        <v>1148532.45</v>
      </c>
      <c r="H468" s="320">
        <f t="shared" si="15"/>
        <v>100</v>
      </c>
      <c r="I468" s="149" t="str">
        <f t="shared" si="14"/>
        <v>041290900Ж0000</v>
      </c>
    </row>
    <row r="469" spans="1:9" ht="38.25">
      <c r="A469" s="54" t="s">
        <v>445</v>
      </c>
      <c r="B469" s="215" t="s">
        <v>88</v>
      </c>
      <c r="C469" s="215" t="s">
        <v>478</v>
      </c>
      <c r="D469" s="215" t="s">
        <v>944</v>
      </c>
      <c r="E469" s="53" t="s">
        <v>446</v>
      </c>
      <c r="F469" s="473">
        <v>1148532.45</v>
      </c>
      <c r="G469" s="470">
        <v>1148532.45</v>
      </c>
      <c r="H469" s="320">
        <f t="shared" si="15"/>
        <v>100</v>
      </c>
      <c r="I469" s="149" t="str">
        <f t="shared" si="14"/>
        <v>041290900Ж0000244</v>
      </c>
    </row>
    <row r="470" spans="1:9">
      <c r="A470" s="54" t="s">
        <v>287</v>
      </c>
      <c r="B470" s="215" t="s">
        <v>88</v>
      </c>
      <c r="C470" s="215" t="s">
        <v>1607</v>
      </c>
      <c r="D470" s="215"/>
      <c r="E470" s="53"/>
      <c r="F470" s="473">
        <v>7342031.9199999999</v>
      </c>
      <c r="G470" s="470">
        <v>6358966.1299999999</v>
      </c>
      <c r="H470" s="320">
        <f t="shared" si="15"/>
        <v>86.610439715985322</v>
      </c>
      <c r="I470" s="149" t="str">
        <f t="shared" si="14"/>
        <v>0500</v>
      </c>
    </row>
    <row r="471" spans="1:9">
      <c r="A471" s="54" t="s">
        <v>3</v>
      </c>
      <c r="B471" s="215" t="s">
        <v>88</v>
      </c>
      <c r="C471" s="215" t="s">
        <v>504</v>
      </c>
      <c r="D471" s="215"/>
      <c r="E471" s="53"/>
      <c r="F471" s="473">
        <v>6138966.1299999999</v>
      </c>
      <c r="G471" s="470">
        <v>6138966.1299999999</v>
      </c>
      <c r="H471" s="320">
        <f t="shared" si="15"/>
        <v>100</v>
      </c>
      <c r="I471" s="149" t="str">
        <f t="shared" si="14"/>
        <v>0501</v>
      </c>
    </row>
    <row r="472" spans="1:9" ht="114.75">
      <c r="A472" s="54" t="s">
        <v>658</v>
      </c>
      <c r="B472" s="215" t="s">
        <v>88</v>
      </c>
      <c r="C472" s="215" t="s">
        <v>504</v>
      </c>
      <c r="D472" s="215" t="s">
        <v>946</v>
      </c>
      <c r="E472" s="53"/>
      <c r="F472" s="473">
        <v>138966.13</v>
      </c>
      <c r="G472" s="470">
        <v>138966.13</v>
      </c>
      <c r="H472" s="320">
        <f t="shared" si="15"/>
        <v>100</v>
      </c>
      <c r="I472" s="149" t="str">
        <f t="shared" si="14"/>
        <v>05010330080000</v>
      </c>
    </row>
    <row r="473" spans="1:9" ht="38.25">
      <c r="A473" s="54" t="s">
        <v>445</v>
      </c>
      <c r="B473" s="160" t="s">
        <v>88</v>
      </c>
      <c r="C473" s="160" t="s">
        <v>504</v>
      </c>
      <c r="D473" s="160" t="s">
        <v>946</v>
      </c>
      <c r="E473" s="250" t="s">
        <v>446</v>
      </c>
      <c r="F473" s="473">
        <v>138966.13</v>
      </c>
      <c r="G473" s="470">
        <v>138966.13</v>
      </c>
      <c r="H473" s="320">
        <f t="shared" si="15"/>
        <v>100</v>
      </c>
      <c r="I473" s="149" t="str">
        <f t="shared" si="14"/>
        <v>05010330080000244</v>
      </c>
    </row>
    <row r="474" spans="1:9" ht="89.25">
      <c r="A474" s="54" t="s">
        <v>657</v>
      </c>
      <c r="B474" s="160" t="s">
        <v>88</v>
      </c>
      <c r="C474" s="160" t="s">
        <v>504</v>
      </c>
      <c r="D474" s="160" t="s">
        <v>945</v>
      </c>
      <c r="E474" s="250"/>
      <c r="F474" s="473">
        <v>6000000</v>
      </c>
      <c r="G474" s="470">
        <v>6000000</v>
      </c>
      <c r="H474" s="320">
        <f t="shared" si="15"/>
        <v>100</v>
      </c>
      <c r="I474" s="149" t="str">
        <f t="shared" si="14"/>
        <v>05011050080000</v>
      </c>
    </row>
    <row r="475" spans="1:9" ht="51">
      <c r="A475" s="54" t="s">
        <v>524</v>
      </c>
      <c r="B475" s="160" t="s">
        <v>88</v>
      </c>
      <c r="C475" s="160" t="s">
        <v>504</v>
      </c>
      <c r="D475" s="160" t="s">
        <v>945</v>
      </c>
      <c r="E475" s="250" t="s">
        <v>525</v>
      </c>
      <c r="F475" s="472">
        <v>6000000</v>
      </c>
      <c r="G475" s="470">
        <v>6000000</v>
      </c>
      <c r="H475" s="320">
        <f t="shared" si="15"/>
        <v>100</v>
      </c>
      <c r="I475" s="149" t="str">
        <f t="shared" si="14"/>
        <v>05011050080000412</v>
      </c>
    </row>
    <row r="476" spans="1:9">
      <c r="A476" s="54" t="s">
        <v>181</v>
      </c>
      <c r="B476" s="160" t="s">
        <v>88</v>
      </c>
      <c r="C476" s="160" t="s">
        <v>482</v>
      </c>
      <c r="D476" s="160"/>
      <c r="E476" s="250"/>
      <c r="F476" s="473">
        <v>1203065.79</v>
      </c>
      <c r="G476" s="470">
        <v>220000</v>
      </c>
      <c r="H476" s="320">
        <f t="shared" si="15"/>
        <v>18.286614234122641</v>
      </c>
      <c r="I476" s="149" t="str">
        <f t="shared" si="14"/>
        <v>0502</v>
      </c>
    </row>
    <row r="477" spans="1:9" ht="102">
      <c r="A477" s="54" t="s">
        <v>505</v>
      </c>
      <c r="B477" s="160" t="s">
        <v>88</v>
      </c>
      <c r="C477" s="160" t="s">
        <v>482</v>
      </c>
      <c r="D477" s="160" t="s">
        <v>902</v>
      </c>
      <c r="E477" s="250"/>
      <c r="F477" s="473">
        <v>39166.67</v>
      </c>
      <c r="G477" s="470">
        <v>39166.67</v>
      </c>
      <c r="H477" s="320">
        <f t="shared" si="15"/>
        <v>100</v>
      </c>
      <c r="I477" s="149" t="str">
        <f t="shared" si="14"/>
        <v>05020350080000</v>
      </c>
    </row>
    <row r="478" spans="1:9" ht="38.25">
      <c r="A478" s="54" t="s">
        <v>445</v>
      </c>
      <c r="B478" s="160" t="s">
        <v>88</v>
      </c>
      <c r="C478" s="160" t="s">
        <v>482</v>
      </c>
      <c r="D478" s="160" t="s">
        <v>902</v>
      </c>
      <c r="E478" s="250" t="s">
        <v>446</v>
      </c>
      <c r="F478" s="473">
        <v>39166.67</v>
      </c>
      <c r="G478" s="470">
        <v>39166.67</v>
      </c>
      <c r="H478" s="320">
        <f t="shared" si="15"/>
        <v>100</v>
      </c>
      <c r="I478" s="149" t="str">
        <f t="shared" si="14"/>
        <v>05020350080000244</v>
      </c>
    </row>
    <row r="479" spans="1:9" ht="114.75">
      <c r="A479" s="54" t="s">
        <v>1956</v>
      </c>
      <c r="B479" s="160" t="s">
        <v>88</v>
      </c>
      <c r="C479" s="160" t="s">
        <v>482</v>
      </c>
      <c r="D479" s="160" t="s">
        <v>1957</v>
      </c>
      <c r="E479" s="250"/>
      <c r="F479" s="473">
        <v>180833.33</v>
      </c>
      <c r="G479" s="470">
        <v>180833.33</v>
      </c>
      <c r="H479" s="320">
        <f t="shared" si="15"/>
        <v>100</v>
      </c>
      <c r="I479" s="149" t="str">
        <f t="shared" si="14"/>
        <v>0502035008Ф000</v>
      </c>
    </row>
    <row r="480" spans="1:9" ht="38.25">
      <c r="A480" s="54" t="s">
        <v>445</v>
      </c>
      <c r="B480" s="160" t="s">
        <v>88</v>
      </c>
      <c r="C480" s="160" t="s">
        <v>482</v>
      </c>
      <c r="D480" s="160" t="s">
        <v>1957</v>
      </c>
      <c r="E480" s="250" t="s">
        <v>446</v>
      </c>
      <c r="F480" s="473">
        <v>180833.33</v>
      </c>
      <c r="G480" s="470">
        <v>180833.33</v>
      </c>
      <c r="H480" s="320">
        <f t="shared" si="15"/>
        <v>100</v>
      </c>
      <c r="I480" s="149" t="str">
        <f t="shared" si="14"/>
        <v>0502035008Ф000244</v>
      </c>
    </row>
    <row r="481" spans="1:9" ht="38.25">
      <c r="A481" s="54" t="s">
        <v>1756</v>
      </c>
      <c r="B481" s="160" t="s">
        <v>88</v>
      </c>
      <c r="C481" s="160" t="s">
        <v>482</v>
      </c>
      <c r="D481" s="160" t="s">
        <v>1757</v>
      </c>
      <c r="E481" s="250"/>
      <c r="F481" s="473">
        <v>983065.79</v>
      </c>
      <c r="G481" s="470">
        <v>0</v>
      </c>
      <c r="H481" s="320">
        <f t="shared" si="15"/>
        <v>0</v>
      </c>
      <c r="I481" s="149" t="str">
        <f t="shared" si="14"/>
        <v>05029090080010</v>
      </c>
    </row>
    <row r="482" spans="1:9" ht="38.25">
      <c r="A482" s="54" t="s">
        <v>461</v>
      </c>
      <c r="B482" s="160" t="s">
        <v>88</v>
      </c>
      <c r="C482" s="160" t="s">
        <v>482</v>
      </c>
      <c r="D482" s="160" t="s">
        <v>1757</v>
      </c>
      <c r="E482" s="250" t="s">
        <v>462</v>
      </c>
      <c r="F482" s="473">
        <v>969993.74</v>
      </c>
      <c r="G482" s="470">
        <v>0</v>
      </c>
      <c r="H482" s="320">
        <f t="shared" si="15"/>
        <v>0</v>
      </c>
      <c r="I482" s="149" t="str">
        <f t="shared" si="14"/>
        <v>05029090080010243</v>
      </c>
    </row>
    <row r="483" spans="1:9" ht="38.25">
      <c r="A483" s="54" t="s">
        <v>1758</v>
      </c>
      <c r="B483" s="160" t="s">
        <v>88</v>
      </c>
      <c r="C483" s="160" t="s">
        <v>482</v>
      </c>
      <c r="D483" s="160" t="s">
        <v>1757</v>
      </c>
      <c r="E483" s="250" t="s">
        <v>552</v>
      </c>
      <c r="F483" s="473">
        <v>13072.05</v>
      </c>
      <c r="G483" s="470">
        <v>0</v>
      </c>
      <c r="H483" s="320">
        <f t="shared" si="15"/>
        <v>0</v>
      </c>
      <c r="I483" s="149" t="str">
        <f t="shared" si="14"/>
        <v>05029090080010831</v>
      </c>
    </row>
    <row r="484" spans="1:9">
      <c r="A484" s="54" t="s">
        <v>174</v>
      </c>
      <c r="B484" s="160" t="s">
        <v>88</v>
      </c>
      <c r="C484" s="160" t="s">
        <v>1609</v>
      </c>
      <c r="D484" s="160"/>
      <c r="E484" s="250"/>
      <c r="F484" s="473">
        <v>6711504</v>
      </c>
      <c r="G484" s="470">
        <v>6711504</v>
      </c>
      <c r="H484" s="320">
        <f t="shared" si="15"/>
        <v>100</v>
      </c>
      <c r="I484" s="149" t="str">
        <f t="shared" si="14"/>
        <v>1000</v>
      </c>
    </row>
    <row r="485" spans="1:9">
      <c r="A485" s="54" t="s">
        <v>127</v>
      </c>
      <c r="B485" s="160" t="s">
        <v>88</v>
      </c>
      <c r="C485" s="160" t="s">
        <v>496</v>
      </c>
      <c r="D485" s="160"/>
      <c r="E485" s="250"/>
      <c r="F485" s="473">
        <v>6711504</v>
      </c>
      <c r="G485" s="470">
        <v>6711504</v>
      </c>
      <c r="H485" s="320">
        <f t="shared" si="15"/>
        <v>100</v>
      </c>
      <c r="I485" s="149" t="str">
        <f t="shared" si="14"/>
        <v>1003</v>
      </c>
    </row>
    <row r="486" spans="1:9" ht="89.25">
      <c r="A486" s="54" t="s">
        <v>526</v>
      </c>
      <c r="B486" s="160" t="s">
        <v>88</v>
      </c>
      <c r="C486" s="160" t="s">
        <v>496</v>
      </c>
      <c r="D486" s="160" t="s">
        <v>1311</v>
      </c>
      <c r="E486" s="250"/>
      <c r="F486" s="473">
        <v>2555400</v>
      </c>
      <c r="G486" s="470">
        <v>2555400</v>
      </c>
      <c r="H486" s="320">
        <f t="shared" si="15"/>
        <v>100</v>
      </c>
      <c r="I486" s="149" t="str">
        <f t="shared" si="14"/>
        <v>100306300L0200</v>
      </c>
    </row>
    <row r="487" spans="1:9">
      <c r="A487" s="54" t="s">
        <v>768</v>
      </c>
      <c r="B487" s="160" t="s">
        <v>88</v>
      </c>
      <c r="C487" s="160" t="s">
        <v>496</v>
      </c>
      <c r="D487" s="160" t="s">
        <v>1311</v>
      </c>
      <c r="E487" s="250" t="s">
        <v>767</v>
      </c>
      <c r="F487" s="473">
        <v>2555400</v>
      </c>
      <c r="G487" s="470">
        <v>2555400</v>
      </c>
      <c r="H487" s="320">
        <f t="shared" si="15"/>
        <v>100</v>
      </c>
      <c r="I487" s="149" t="str">
        <f t="shared" si="14"/>
        <v>100306300L0200322</v>
      </c>
    </row>
    <row r="488" spans="1:9" ht="76.5">
      <c r="A488" s="54" t="s">
        <v>1116</v>
      </c>
      <c r="B488" s="160" t="s">
        <v>88</v>
      </c>
      <c r="C488" s="160" t="s">
        <v>496</v>
      </c>
      <c r="D488" s="160" t="s">
        <v>1815</v>
      </c>
      <c r="E488" s="250"/>
      <c r="F488" s="473">
        <v>4156104</v>
      </c>
      <c r="G488" s="470">
        <v>4156104</v>
      </c>
      <c r="H488" s="320">
        <f t="shared" si="15"/>
        <v>100</v>
      </c>
      <c r="I488" s="149" t="str">
        <f t="shared" si="14"/>
        <v>100306300R0200</v>
      </c>
    </row>
    <row r="489" spans="1:9">
      <c r="A489" s="54" t="s">
        <v>768</v>
      </c>
      <c r="B489" s="160" t="s">
        <v>88</v>
      </c>
      <c r="C489" s="160" t="s">
        <v>496</v>
      </c>
      <c r="D489" s="160" t="s">
        <v>1815</v>
      </c>
      <c r="E489" s="250" t="s">
        <v>767</v>
      </c>
      <c r="F489" s="473">
        <v>4156104</v>
      </c>
      <c r="G489" s="470">
        <v>4156104</v>
      </c>
      <c r="H489" s="320">
        <f t="shared" si="15"/>
        <v>100</v>
      </c>
      <c r="I489" s="149" t="str">
        <f t="shared" si="14"/>
        <v>100306300R0200322</v>
      </c>
    </row>
    <row r="490" spans="1:9" ht="25.5">
      <c r="A490" s="54" t="s">
        <v>306</v>
      </c>
      <c r="B490" s="160" t="s">
        <v>252</v>
      </c>
      <c r="C490" s="160"/>
      <c r="D490" s="160"/>
      <c r="E490" s="250"/>
      <c r="F490" s="473">
        <v>1138030146.3599999</v>
      </c>
      <c r="G490" s="470">
        <v>1093879314.49</v>
      </c>
      <c r="H490" s="320">
        <f t="shared" si="15"/>
        <v>96.120416316631264</v>
      </c>
      <c r="I490" s="149" t="str">
        <f t="shared" si="14"/>
        <v/>
      </c>
    </row>
    <row r="491" spans="1:9">
      <c r="A491" s="54" t="s">
        <v>173</v>
      </c>
      <c r="B491" s="160" t="s">
        <v>252</v>
      </c>
      <c r="C491" s="160" t="s">
        <v>1608</v>
      </c>
      <c r="D491" s="160"/>
      <c r="E491" s="250"/>
      <c r="F491" s="473">
        <v>1102284746.3599999</v>
      </c>
      <c r="G491" s="470">
        <v>1061316670.26</v>
      </c>
      <c r="H491" s="320">
        <f t="shared" si="15"/>
        <v>96.283349086042776</v>
      </c>
      <c r="I491" s="149" t="str">
        <f t="shared" si="14"/>
        <v>0700</v>
      </c>
    </row>
    <row r="492" spans="1:9">
      <c r="A492" s="54" t="s">
        <v>187</v>
      </c>
      <c r="B492" s="160" t="s">
        <v>252</v>
      </c>
      <c r="C492" s="160" t="s">
        <v>528</v>
      </c>
      <c r="D492" s="160"/>
      <c r="E492" s="250"/>
      <c r="F492" s="473">
        <v>355789217.56</v>
      </c>
      <c r="G492" s="470">
        <v>341521279.38</v>
      </c>
      <c r="H492" s="320">
        <f t="shared" si="15"/>
        <v>95.989777802191583</v>
      </c>
      <c r="I492" s="149" t="str">
        <f t="shared" si="14"/>
        <v>0701</v>
      </c>
    </row>
    <row r="493" spans="1:9" ht="114.75">
      <c r="A493" s="54" t="s">
        <v>530</v>
      </c>
      <c r="B493" s="160" t="s">
        <v>252</v>
      </c>
      <c r="C493" s="160" t="s">
        <v>528</v>
      </c>
      <c r="D493" s="160" t="s">
        <v>951</v>
      </c>
      <c r="E493" s="250"/>
      <c r="F493" s="473">
        <v>40451104.950000003</v>
      </c>
      <c r="G493" s="470">
        <v>38321169.119999997</v>
      </c>
      <c r="H493" s="320">
        <f t="shared" si="15"/>
        <v>94.734542276081868</v>
      </c>
      <c r="I493" s="149" t="str">
        <f t="shared" si="14"/>
        <v>07010110040010</v>
      </c>
    </row>
    <row r="494" spans="1:9">
      <c r="A494" s="54" t="s">
        <v>1603</v>
      </c>
      <c r="B494" s="160" t="s">
        <v>252</v>
      </c>
      <c r="C494" s="160" t="s">
        <v>528</v>
      </c>
      <c r="D494" s="160" t="s">
        <v>951</v>
      </c>
      <c r="E494" s="250" t="s">
        <v>460</v>
      </c>
      <c r="F494" s="473">
        <v>24641005.48</v>
      </c>
      <c r="G494" s="470">
        <v>24177748.210000001</v>
      </c>
      <c r="H494" s="320">
        <f t="shared" si="15"/>
        <v>98.119974161054401</v>
      </c>
      <c r="I494" s="149" t="str">
        <f t="shared" si="14"/>
        <v>07010110040010111</v>
      </c>
    </row>
    <row r="495" spans="1:9" ht="25.5">
      <c r="A495" s="54" t="s">
        <v>1617</v>
      </c>
      <c r="B495" s="160" t="s">
        <v>252</v>
      </c>
      <c r="C495" s="160" t="s">
        <v>528</v>
      </c>
      <c r="D495" s="160" t="s">
        <v>951</v>
      </c>
      <c r="E495" s="250" t="s">
        <v>509</v>
      </c>
      <c r="F495" s="473">
        <v>55560</v>
      </c>
      <c r="G495" s="470">
        <v>44352</v>
      </c>
      <c r="H495" s="320">
        <f t="shared" si="15"/>
        <v>79.827213822894166</v>
      </c>
      <c r="I495" s="149" t="str">
        <f t="shared" ref="I495:I558" si="16">CONCATENATE(C495,D495,E495)</f>
        <v>07010110040010112</v>
      </c>
    </row>
    <row r="496" spans="1:9" ht="51">
      <c r="A496" s="54" t="s">
        <v>1604</v>
      </c>
      <c r="B496" s="160" t="s">
        <v>252</v>
      </c>
      <c r="C496" s="160" t="s">
        <v>528</v>
      </c>
      <c r="D496" s="160" t="s">
        <v>951</v>
      </c>
      <c r="E496" s="250" t="s">
        <v>1290</v>
      </c>
      <c r="F496" s="473">
        <v>8175141.7800000003</v>
      </c>
      <c r="G496" s="470">
        <v>7525289.6799999997</v>
      </c>
      <c r="H496" s="320">
        <f t="shared" si="15"/>
        <v>92.050876700513925</v>
      </c>
      <c r="I496" s="149" t="str">
        <f t="shared" si="16"/>
        <v>07010110040010119</v>
      </c>
    </row>
    <row r="497" spans="1:9" ht="38.25">
      <c r="A497" s="54" t="s">
        <v>461</v>
      </c>
      <c r="B497" s="160" t="s">
        <v>252</v>
      </c>
      <c r="C497" s="160" t="s">
        <v>528</v>
      </c>
      <c r="D497" s="160" t="s">
        <v>951</v>
      </c>
      <c r="E497" s="250" t="s">
        <v>462</v>
      </c>
      <c r="F497" s="473">
        <v>397795</v>
      </c>
      <c r="G497" s="470">
        <v>323506</v>
      </c>
      <c r="H497" s="320">
        <f t="shared" si="15"/>
        <v>81.324802976407454</v>
      </c>
      <c r="I497" s="149" t="str">
        <f t="shared" si="16"/>
        <v>07010110040010243</v>
      </c>
    </row>
    <row r="498" spans="1:9" ht="38.25">
      <c r="A498" s="54" t="s">
        <v>445</v>
      </c>
      <c r="B498" s="160" t="s">
        <v>252</v>
      </c>
      <c r="C498" s="160" t="s">
        <v>528</v>
      </c>
      <c r="D498" s="160" t="s">
        <v>951</v>
      </c>
      <c r="E498" s="250" t="s">
        <v>446</v>
      </c>
      <c r="F498" s="473">
        <v>6823280.4800000004</v>
      </c>
      <c r="G498" s="470">
        <v>5895917.7800000003</v>
      </c>
      <c r="H498" s="320">
        <f t="shared" si="15"/>
        <v>86.408843917258991</v>
      </c>
      <c r="I498" s="149" t="str">
        <f t="shared" si="16"/>
        <v>07010110040010244</v>
      </c>
    </row>
    <row r="499" spans="1:9">
      <c r="A499" s="54" t="s">
        <v>1293</v>
      </c>
      <c r="B499" s="160" t="s">
        <v>252</v>
      </c>
      <c r="C499" s="160" t="s">
        <v>528</v>
      </c>
      <c r="D499" s="160" t="s">
        <v>951</v>
      </c>
      <c r="E499" s="250" t="s">
        <v>1294</v>
      </c>
      <c r="F499" s="473">
        <v>358322.21</v>
      </c>
      <c r="G499" s="470">
        <v>354355.45</v>
      </c>
      <c r="H499" s="320">
        <f t="shared" si="15"/>
        <v>98.892962844809418</v>
      </c>
      <c r="I499" s="149" t="str">
        <f t="shared" si="16"/>
        <v>07010110040010853</v>
      </c>
    </row>
    <row r="500" spans="1:9" ht="165.75">
      <c r="A500" s="54" t="s">
        <v>737</v>
      </c>
      <c r="B500" s="160" t="s">
        <v>252</v>
      </c>
      <c r="C500" s="160" t="s">
        <v>528</v>
      </c>
      <c r="D500" s="160" t="s">
        <v>952</v>
      </c>
      <c r="E500" s="250"/>
      <c r="F500" s="473">
        <v>45607817.560000002</v>
      </c>
      <c r="G500" s="470">
        <v>44362556.030000001</v>
      </c>
      <c r="H500" s="320">
        <f t="shared" si="15"/>
        <v>97.269631399569207</v>
      </c>
      <c r="I500" s="149" t="str">
        <f t="shared" si="16"/>
        <v>07010110041010</v>
      </c>
    </row>
    <row r="501" spans="1:9">
      <c r="A501" s="54" t="s">
        <v>1603</v>
      </c>
      <c r="B501" s="160" t="s">
        <v>252</v>
      </c>
      <c r="C501" s="160" t="s">
        <v>528</v>
      </c>
      <c r="D501" s="160" t="s">
        <v>952</v>
      </c>
      <c r="E501" s="250" t="s">
        <v>460</v>
      </c>
      <c r="F501" s="473">
        <v>35128869.329999998</v>
      </c>
      <c r="G501" s="470">
        <v>34246832.130000003</v>
      </c>
      <c r="H501" s="320">
        <f t="shared" si="15"/>
        <v>97.489138657683085</v>
      </c>
      <c r="I501" s="149" t="str">
        <f t="shared" si="16"/>
        <v>07010110041010111</v>
      </c>
    </row>
    <row r="502" spans="1:9" ht="51">
      <c r="A502" s="54" t="s">
        <v>1604</v>
      </c>
      <c r="B502" s="160" t="s">
        <v>252</v>
      </c>
      <c r="C502" s="160" t="s">
        <v>528</v>
      </c>
      <c r="D502" s="160" t="s">
        <v>952</v>
      </c>
      <c r="E502" s="250" t="s">
        <v>1290</v>
      </c>
      <c r="F502" s="473">
        <v>10478948.23</v>
      </c>
      <c r="G502" s="470">
        <v>10115723.9</v>
      </c>
      <c r="H502" s="320">
        <f t="shared" si="15"/>
        <v>96.533771118745179</v>
      </c>
      <c r="I502" s="149" t="str">
        <f t="shared" si="16"/>
        <v>07010110041010119</v>
      </c>
    </row>
    <row r="503" spans="1:9" ht="127.5">
      <c r="A503" s="54" t="s">
        <v>738</v>
      </c>
      <c r="B503" s="160" t="s">
        <v>252</v>
      </c>
      <c r="C503" s="160" t="s">
        <v>528</v>
      </c>
      <c r="D503" s="160" t="s">
        <v>953</v>
      </c>
      <c r="E503" s="250"/>
      <c r="F503" s="473">
        <v>881013.84</v>
      </c>
      <c r="G503" s="470">
        <v>741859.38</v>
      </c>
      <c r="H503" s="320">
        <f t="shared" si="15"/>
        <v>84.205190238555161</v>
      </c>
      <c r="I503" s="149" t="str">
        <f t="shared" si="16"/>
        <v>07010110047010</v>
      </c>
    </row>
    <row r="504" spans="1:9" ht="25.5">
      <c r="A504" s="54" t="s">
        <v>1617</v>
      </c>
      <c r="B504" s="160" t="s">
        <v>252</v>
      </c>
      <c r="C504" s="160" t="s">
        <v>528</v>
      </c>
      <c r="D504" s="160" t="s">
        <v>953</v>
      </c>
      <c r="E504" s="250" t="s">
        <v>509</v>
      </c>
      <c r="F504" s="473">
        <v>881013.84</v>
      </c>
      <c r="G504" s="470">
        <v>741859.38</v>
      </c>
      <c r="H504" s="320">
        <f t="shared" si="15"/>
        <v>84.205190238555161</v>
      </c>
      <c r="I504" s="149" t="str">
        <f t="shared" si="16"/>
        <v>07010110047010112</v>
      </c>
    </row>
    <row r="505" spans="1:9" ht="127.5">
      <c r="A505" s="54" t="s">
        <v>739</v>
      </c>
      <c r="B505" s="160" t="s">
        <v>252</v>
      </c>
      <c r="C505" s="160" t="s">
        <v>528</v>
      </c>
      <c r="D505" s="160" t="s">
        <v>954</v>
      </c>
      <c r="E505" s="250"/>
      <c r="F505" s="473">
        <v>30936199.030000001</v>
      </c>
      <c r="G505" s="470">
        <v>25758900.640000001</v>
      </c>
      <c r="H505" s="320">
        <f t="shared" si="15"/>
        <v>83.264594383494313</v>
      </c>
      <c r="I505" s="149" t="str">
        <f t="shared" si="16"/>
        <v>0701011004Г010</v>
      </c>
    </row>
    <row r="506" spans="1:9" ht="38.25">
      <c r="A506" s="54" t="s">
        <v>445</v>
      </c>
      <c r="B506" s="160" t="s">
        <v>252</v>
      </c>
      <c r="C506" s="160" t="s">
        <v>528</v>
      </c>
      <c r="D506" s="160" t="s">
        <v>954</v>
      </c>
      <c r="E506" s="250" t="s">
        <v>446</v>
      </c>
      <c r="F506" s="473">
        <v>30936199.030000001</v>
      </c>
      <c r="G506" s="470">
        <v>25758900.640000001</v>
      </c>
      <c r="H506" s="320">
        <f t="shared" si="15"/>
        <v>83.264594383494313</v>
      </c>
      <c r="I506" s="149" t="str">
        <f t="shared" si="16"/>
        <v>0701011004Г010244</v>
      </c>
    </row>
    <row r="507" spans="1:9" ht="114.75">
      <c r="A507" s="54" t="s">
        <v>740</v>
      </c>
      <c r="B507" s="160" t="s">
        <v>252</v>
      </c>
      <c r="C507" s="160" t="s">
        <v>528</v>
      </c>
      <c r="D507" s="160" t="s">
        <v>955</v>
      </c>
      <c r="E507" s="250"/>
      <c r="F507" s="473">
        <v>38856480</v>
      </c>
      <c r="G507" s="470">
        <v>38315920.090000004</v>
      </c>
      <c r="H507" s="320">
        <f t="shared" si="15"/>
        <v>98.608829441061062</v>
      </c>
      <c r="I507" s="149" t="str">
        <f t="shared" si="16"/>
        <v>0701011004П010</v>
      </c>
    </row>
    <row r="508" spans="1:9" ht="38.25">
      <c r="A508" s="54" t="s">
        <v>445</v>
      </c>
      <c r="B508" s="160" t="s">
        <v>252</v>
      </c>
      <c r="C508" s="160" t="s">
        <v>528</v>
      </c>
      <c r="D508" s="160" t="s">
        <v>955</v>
      </c>
      <c r="E508" s="250" t="s">
        <v>446</v>
      </c>
      <c r="F508" s="473">
        <v>38856480</v>
      </c>
      <c r="G508" s="470">
        <v>38315920.090000004</v>
      </c>
      <c r="H508" s="320">
        <f t="shared" si="15"/>
        <v>98.608829441061062</v>
      </c>
      <c r="I508" s="149" t="str">
        <f t="shared" si="16"/>
        <v>0701011004П010244</v>
      </c>
    </row>
    <row r="509" spans="1:9" ht="76.5">
      <c r="A509" s="54" t="s">
        <v>1767</v>
      </c>
      <c r="B509" s="160" t="s">
        <v>252</v>
      </c>
      <c r="C509" s="160" t="s">
        <v>528</v>
      </c>
      <c r="D509" s="160" t="s">
        <v>1768</v>
      </c>
      <c r="E509" s="250"/>
      <c r="F509" s="473">
        <v>893875.94</v>
      </c>
      <c r="G509" s="470">
        <v>467608.09</v>
      </c>
      <c r="H509" s="320">
        <f t="shared" si="15"/>
        <v>52.31241485255773</v>
      </c>
      <c r="I509" s="149" t="str">
        <f t="shared" si="16"/>
        <v>0701011004Ф000</v>
      </c>
    </row>
    <row r="510" spans="1:9" ht="38.25">
      <c r="A510" s="54" t="s">
        <v>445</v>
      </c>
      <c r="B510" s="160" t="s">
        <v>252</v>
      </c>
      <c r="C510" s="160" t="s">
        <v>528</v>
      </c>
      <c r="D510" s="160" t="s">
        <v>1768</v>
      </c>
      <c r="E510" s="250" t="s">
        <v>446</v>
      </c>
      <c r="F510" s="473">
        <v>893875.94</v>
      </c>
      <c r="G510" s="470">
        <v>467608.09</v>
      </c>
      <c r="H510" s="320">
        <f t="shared" si="15"/>
        <v>52.31241485255773</v>
      </c>
      <c r="I510" s="149" t="str">
        <f t="shared" si="16"/>
        <v>0701011004Ф000244</v>
      </c>
    </row>
    <row r="511" spans="1:9" ht="114.75">
      <c r="A511" s="54" t="s">
        <v>1185</v>
      </c>
      <c r="B511" s="160" t="s">
        <v>252</v>
      </c>
      <c r="C511" s="160" t="s">
        <v>528</v>
      </c>
      <c r="D511" s="160" t="s">
        <v>1186</v>
      </c>
      <c r="E511" s="250"/>
      <c r="F511" s="473">
        <v>7708624.2400000002</v>
      </c>
      <c r="G511" s="470">
        <v>7526307.1900000004</v>
      </c>
      <c r="H511" s="320">
        <f t="shared" si="15"/>
        <v>97.63489509510714</v>
      </c>
      <c r="I511" s="149" t="str">
        <f t="shared" si="16"/>
        <v>0701011004Э010</v>
      </c>
    </row>
    <row r="512" spans="1:9" ht="38.25">
      <c r="A512" s="54" t="s">
        <v>445</v>
      </c>
      <c r="B512" s="160" t="s">
        <v>252</v>
      </c>
      <c r="C512" s="160" t="s">
        <v>528</v>
      </c>
      <c r="D512" s="160" t="s">
        <v>1186</v>
      </c>
      <c r="E512" s="250" t="s">
        <v>446</v>
      </c>
      <c r="F512" s="473">
        <v>7708624.2400000002</v>
      </c>
      <c r="G512" s="470">
        <v>7526307.1900000004</v>
      </c>
      <c r="H512" s="320">
        <f t="shared" si="15"/>
        <v>97.63489509510714</v>
      </c>
      <c r="I512" s="149" t="str">
        <f t="shared" si="16"/>
        <v>0701011004Э010244</v>
      </c>
    </row>
    <row r="513" spans="1:9" ht="216.75">
      <c r="A513" s="54" t="s">
        <v>949</v>
      </c>
      <c r="B513" s="160" t="s">
        <v>252</v>
      </c>
      <c r="C513" s="160" t="s">
        <v>528</v>
      </c>
      <c r="D513" s="160" t="s">
        <v>950</v>
      </c>
      <c r="E513" s="250"/>
      <c r="F513" s="473">
        <v>67629160</v>
      </c>
      <c r="G513" s="470">
        <v>65911092.039999999</v>
      </c>
      <c r="H513" s="320">
        <f t="shared" si="15"/>
        <v>97.459575189163957</v>
      </c>
      <c r="I513" s="149" t="str">
        <f t="shared" si="16"/>
        <v>07010110074080</v>
      </c>
    </row>
    <row r="514" spans="1:9">
      <c r="A514" s="54" t="s">
        <v>1603</v>
      </c>
      <c r="B514" s="160" t="s">
        <v>252</v>
      </c>
      <c r="C514" s="160" t="s">
        <v>528</v>
      </c>
      <c r="D514" s="160" t="s">
        <v>950</v>
      </c>
      <c r="E514" s="250" t="s">
        <v>460</v>
      </c>
      <c r="F514" s="473">
        <v>48417637.159999996</v>
      </c>
      <c r="G514" s="470">
        <v>47691339.950000003</v>
      </c>
      <c r="H514" s="320">
        <f t="shared" si="15"/>
        <v>98.49993256052565</v>
      </c>
      <c r="I514" s="149" t="str">
        <f t="shared" si="16"/>
        <v>07010110074080111</v>
      </c>
    </row>
    <row r="515" spans="1:9" ht="25.5">
      <c r="A515" s="54" t="s">
        <v>1617</v>
      </c>
      <c r="B515" s="160" t="s">
        <v>252</v>
      </c>
      <c r="C515" s="160" t="s">
        <v>528</v>
      </c>
      <c r="D515" s="160" t="s">
        <v>950</v>
      </c>
      <c r="E515" s="250" t="s">
        <v>509</v>
      </c>
      <c r="F515" s="473">
        <v>603260.1</v>
      </c>
      <c r="G515" s="470">
        <v>419754.98</v>
      </c>
      <c r="H515" s="320">
        <f t="shared" si="15"/>
        <v>69.581094456603381</v>
      </c>
      <c r="I515" s="149" t="str">
        <f t="shared" si="16"/>
        <v>07010110074080112</v>
      </c>
    </row>
    <row r="516" spans="1:9" ht="51">
      <c r="A516" s="54" t="s">
        <v>1604</v>
      </c>
      <c r="B516" s="160" t="s">
        <v>252</v>
      </c>
      <c r="C516" s="160" t="s">
        <v>528</v>
      </c>
      <c r="D516" s="160" t="s">
        <v>950</v>
      </c>
      <c r="E516" s="250" t="s">
        <v>1290</v>
      </c>
      <c r="F516" s="473">
        <v>15188063.800000001</v>
      </c>
      <c r="G516" s="470">
        <v>14713393.300000001</v>
      </c>
      <c r="H516" s="320">
        <f t="shared" si="15"/>
        <v>96.87471354972844</v>
      </c>
      <c r="I516" s="149" t="str">
        <f t="shared" si="16"/>
        <v>07010110074080119</v>
      </c>
    </row>
    <row r="517" spans="1:9" ht="38.25">
      <c r="A517" s="54" t="s">
        <v>445</v>
      </c>
      <c r="B517" s="160" t="s">
        <v>252</v>
      </c>
      <c r="C517" s="160" t="s">
        <v>528</v>
      </c>
      <c r="D517" s="160" t="s">
        <v>950</v>
      </c>
      <c r="E517" s="250" t="s">
        <v>446</v>
      </c>
      <c r="F517" s="473">
        <v>3420198.94</v>
      </c>
      <c r="G517" s="470">
        <v>3086603.81</v>
      </c>
      <c r="H517" s="320">
        <f t="shared" si="15"/>
        <v>90.246323800100356</v>
      </c>
      <c r="I517" s="149" t="str">
        <f t="shared" si="16"/>
        <v>07010110074080244</v>
      </c>
    </row>
    <row r="518" spans="1:9" ht="165.75">
      <c r="A518" s="54" t="s">
        <v>529</v>
      </c>
      <c r="B518" s="160" t="s">
        <v>252</v>
      </c>
      <c r="C518" s="160" t="s">
        <v>528</v>
      </c>
      <c r="D518" s="160" t="s">
        <v>948</v>
      </c>
      <c r="E518" s="250"/>
      <c r="F518" s="473">
        <v>121757800</v>
      </c>
      <c r="G518" s="470">
        <v>119604595.7</v>
      </c>
      <c r="H518" s="320">
        <f t="shared" si="15"/>
        <v>98.231567669586667</v>
      </c>
      <c r="I518" s="149" t="str">
        <f t="shared" si="16"/>
        <v>07010110075880</v>
      </c>
    </row>
    <row r="519" spans="1:9">
      <c r="A519" s="54" t="s">
        <v>1603</v>
      </c>
      <c r="B519" s="160" t="s">
        <v>252</v>
      </c>
      <c r="C519" s="160" t="s">
        <v>528</v>
      </c>
      <c r="D519" s="160" t="s">
        <v>948</v>
      </c>
      <c r="E519" s="250" t="s">
        <v>460</v>
      </c>
      <c r="F519" s="473">
        <v>78293066.609999999</v>
      </c>
      <c r="G519" s="470">
        <v>77702636.090000004</v>
      </c>
      <c r="H519" s="320">
        <f t="shared" ref="H519:H582" si="17">G519/F519*100</f>
        <v>99.24587125582768</v>
      </c>
      <c r="I519" s="149" t="str">
        <f t="shared" si="16"/>
        <v>07010110075880111</v>
      </c>
    </row>
    <row r="520" spans="1:9" ht="25.5">
      <c r="A520" s="54" t="s">
        <v>1617</v>
      </c>
      <c r="B520" s="160" t="s">
        <v>252</v>
      </c>
      <c r="C520" s="160" t="s">
        <v>528</v>
      </c>
      <c r="D520" s="160" t="s">
        <v>948</v>
      </c>
      <c r="E520" s="250" t="s">
        <v>509</v>
      </c>
      <c r="F520" s="473">
        <v>2073009.67</v>
      </c>
      <c r="G520" s="470">
        <v>1786427.02</v>
      </c>
      <c r="H520" s="320">
        <f t="shared" si="17"/>
        <v>86.17552758449024</v>
      </c>
      <c r="I520" s="149" t="str">
        <f t="shared" si="16"/>
        <v>07010110075880112</v>
      </c>
    </row>
    <row r="521" spans="1:9" ht="51">
      <c r="A521" s="54" t="s">
        <v>1604</v>
      </c>
      <c r="B521" s="160" t="s">
        <v>252</v>
      </c>
      <c r="C521" s="160" t="s">
        <v>528</v>
      </c>
      <c r="D521" s="160" t="s">
        <v>948</v>
      </c>
      <c r="E521" s="250" t="s">
        <v>1290</v>
      </c>
      <c r="F521" s="473">
        <v>24513383.32</v>
      </c>
      <c r="G521" s="470">
        <v>23832130.219999999</v>
      </c>
      <c r="H521" s="320">
        <f t="shared" si="17"/>
        <v>97.220893211243592</v>
      </c>
      <c r="I521" s="149" t="str">
        <f t="shared" si="16"/>
        <v>07010110075880119</v>
      </c>
    </row>
    <row r="522" spans="1:9" ht="38.25">
      <c r="A522" s="54" t="s">
        <v>445</v>
      </c>
      <c r="B522" s="160" t="s">
        <v>252</v>
      </c>
      <c r="C522" s="160" t="s">
        <v>528</v>
      </c>
      <c r="D522" s="160" t="s">
        <v>948</v>
      </c>
      <c r="E522" s="250" t="s">
        <v>446</v>
      </c>
      <c r="F522" s="473">
        <v>16873540.399999999</v>
      </c>
      <c r="G522" s="470">
        <v>16282202.369999999</v>
      </c>
      <c r="H522" s="320">
        <f t="shared" si="17"/>
        <v>96.495471513494593</v>
      </c>
      <c r="I522" s="149" t="str">
        <f t="shared" si="16"/>
        <v>07010110075880244</v>
      </c>
    </row>
    <row r="523" spans="1:9">
      <c r="A523" s="54" t="s">
        <v>1168</v>
      </c>
      <c r="B523" s="160" t="s">
        <v>252</v>
      </c>
      <c r="C523" s="160" t="s">
        <v>528</v>
      </c>
      <c r="D523" s="160" t="s">
        <v>948</v>
      </c>
      <c r="E523" s="250" t="s">
        <v>626</v>
      </c>
      <c r="F523" s="473">
        <v>4800</v>
      </c>
      <c r="G523" s="470">
        <v>1200</v>
      </c>
      <c r="H523" s="320">
        <f t="shared" si="17"/>
        <v>25</v>
      </c>
      <c r="I523" s="149" t="str">
        <f t="shared" si="16"/>
        <v>07010110075880852</v>
      </c>
    </row>
    <row r="524" spans="1:9" ht="114.75">
      <c r="A524" s="54" t="s">
        <v>2010</v>
      </c>
      <c r="B524" s="160" t="s">
        <v>252</v>
      </c>
      <c r="C524" s="160" t="s">
        <v>528</v>
      </c>
      <c r="D524" s="160" t="s">
        <v>2011</v>
      </c>
      <c r="E524" s="250"/>
      <c r="F524" s="473">
        <v>1067142</v>
      </c>
      <c r="G524" s="470">
        <v>511271.1</v>
      </c>
      <c r="H524" s="320">
        <f t="shared" si="17"/>
        <v>47.910315590614935</v>
      </c>
      <c r="I524" s="149" t="str">
        <f t="shared" si="16"/>
        <v>07010110077440</v>
      </c>
    </row>
    <row r="525" spans="1:9" ht="38.25">
      <c r="A525" s="54" t="s">
        <v>461</v>
      </c>
      <c r="B525" s="160" t="s">
        <v>252</v>
      </c>
      <c r="C525" s="160" t="s">
        <v>528</v>
      </c>
      <c r="D525" s="160" t="s">
        <v>2011</v>
      </c>
      <c r="E525" s="250" t="s">
        <v>462</v>
      </c>
      <c r="F525" s="473">
        <v>547970</v>
      </c>
      <c r="G525" s="470">
        <v>0</v>
      </c>
      <c r="H525" s="320">
        <f t="shared" si="17"/>
        <v>0</v>
      </c>
      <c r="I525" s="149" t="str">
        <f t="shared" si="16"/>
        <v>07010110077440243</v>
      </c>
    </row>
    <row r="526" spans="1:9" ht="38.25">
      <c r="A526" s="54" t="s">
        <v>445</v>
      </c>
      <c r="B526" s="160" t="s">
        <v>252</v>
      </c>
      <c r="C526" s="160" t="s">
        <v>528</v>
      </c>
      <c r="D526" s="160" t="s">
        <v>2011</v>
      </c>
      <c r="E526" s="250" t="s">
        <v>446</v>
      </c>
      <c r="F526" s="473">
        <v>519172</v>
      </c>
      <c r="G526" s="470">
        <v>511271.1</v>
      </c>
      <c r="H526" s="320">
        <f t="shared" si="17"/>
        <v>98.478172936907228</v>
      </c>
      <c r="I526" s="149" t="str">
        <f t="shared" si="16"/>
        <v>07010110077440244</v>
      </c>
    </row>
    <row r="527" spans="1:9">
      <c r="A527" s="54" t="s">
        <v>188</v>
      </c>
      <c r="B527" s="160" t="s">
        <v>252</v>
      </c>
      <c r="C527" s="160" t="s">
        <v>515</v>
      </c>
      <c r="D527" s="160"/>
      <c r="E527" s="250"/>
      <c r="F527" s="473">
        <v>655139752.34000003</v>
      </c>
      <c r="G527" s="470">
        <v>632485391.10000002</v>
      </c>
      <c r="H527" s="320">
        <f t="shared" si="17"/>
        <v>96.542056689571325</v>
      </c>
      <c r="I527" s="149" t="str">
        <f t="shared" si="16"/>
        <v>0702</v>
      </c>
    </row>
    <row r="528" spans="1:9" ht="127.5">
      <c r="A528" s="54" t="s">
        <v>533</v>
      </c>
      <c r="B528" s="160" t="s">
        <v>252</v>
      </c>
      <c r="C528" s="160" t="s">
        <v>515</v>
      </c>
      <c r="D528" s="160" t="s">
        <v>959</v>
      </c>
      <c r="E528" s="250"/>
      <c r="F528" s="473">
        <v>64472472.560000002</v>
      </c>
      <c r="G528" s="470">
        <v>61662896.340000004</v>
      </c>
      <c r="H528" s="320">
        <f t="shared" si="17"/>
        <v>95.64220804873689</v>
      </c>
      <c r="I528" s="149" t="str">
        <f t="shared" si="16"/>
        <v>07020110040020</v>
      </c>
    </row>
    <row r="529" spans="1:9">
      <c r="A529" s="54" t="s">
        <v>1603</v>
      </c>
      <c r="B529" s="160" t="s">
        <v>252</v>
      </c>
      <c r="C529" s="160" t="s">
        <v>515</v>
      </c>
      <c r="D529" s="160" t="s">
        <v>959</v>
      </c>
      <c r="E529" s="250" t="s">
        <v>460</v>
      </c>
      <c r="F529" s="473">
        <v>37594945.549999997</v>
      </c>
      <c r="G529" s="470">
        <v>36777740.609999999</v>
      </c>
      <c r="H529" s="320">
        <f t="shared" si="17"/>
        <v>97.826290401423392</v>
      </c>
      <c r="I529" s="149" t="str">
        <f t="shared" si="16"/>
        <v>07020110040020111</v>
      </c>
    </row>
    <row r="530" spans="1:9" ht="25.5">
      <c r="A530" s="54" t="s">
        <v>1617</v>
      </c>
      <c r="B530" s="160" t="s">
        <v>252</v>
      </c>
      <c r="C530" s="160" t="s">
        <v>515</v>
      </c>
      <c r="D530" s="160" t="s">
        <v>959</v>
      </c>
      <c r="E530" s="250" t="s">
        <v>509</v>
      </c>
      <c r="F530" s="473">
        <v>69313.600000000006</v>
      </c>
      <c r="G530" s="470">
        <v>69263.600000000006</v>
      </c>
      <c r="H530" s="320">
        <f t="shared" si="17"/>
        <v>99.927864084393249</v>
      </c>
      <c r="I530" s="149" t="str">
        <f t="shared" si="16"/>
        <v>07020110040020112</v>
      </c>
    </row>
    <row r="531" spans="1:9" ht="51">
      <c r="A531" s="54" t="s">
        <v>1604</v>
      </c>
      <c r="B531" s="160" t="s">
        <v>252</v>
      </c>
      <c r="C531" s="160" t="s">
        <v>515</v>
      </c>
      <c r="D531" s="160" t="s">
        <v>959</v>
      </c>
      <c r="E531" s="250" t="s">
        <v>1290</v>
      </c>
      <c r="F531" s="473">
        <v>12054515.890000001</v>
      </c>
      <c r="G531" s="470">
        <v>11473223.449999999</v>
      </c>
      <c r="H531" s="320">
        <f t="shared" si="17"/>
        <v>95.177803527703503</v>
      </c>
      <c r="I531" s="149" t="str">
        <f t="shared" si="16"/>
        <v>07020110040020119</v>
      </c>
    </row>
    <row r="532" spans="1:9" ht="38.25">
      <c r="A532" s="54" t="s">
        <v>461</v>
      </c>
      <c r="B532" s="160" t="s">
        <v>252</v>
      </c>
      <c r="C532" s="160" t="s">
        <v>515</v>
      </c>
      <c r="D532" s="160" t="s">
        <v>959</v>
      </c>
      <c r="E532" s="250" t="s">
        <v>462</v>
      </c>
      <c r="F532" s="473">
        <v>673769.48</v>
      </c>
      <c r="G532" s="470">
        <v>553808.27</v>
      </c>
      <c r="H532" s="320">
        <f t="shared" si="17"/>
        <v>82.195511438125706</v>
      </c>
      <c r="I532" s="149" t="str">
        <f t="shared" si="16"/>
        <v>07020110040020243</v>
      </c>
    </row>
    <row r="533" spans="1:9" ht="38.25">
      <c r="A533" s="54" t="s">
        <v>445</v>
      </c>
      <c r="B533" s="160" t="s">
        <v>252</v>
      </c>
      <c r="C533" s="160" t="s">
        <v>515</v>
      </c>
      <c r="D533" s="160" t="s">
        <v>959</v>
      </c>
      <c r="E533" s="250" t="s">
        <v>446</v>
      </c>
      <c r="F533" s="473">
        <v>13655488.779999999</v>
      </c>
      <c r="G533" s="470">
        <v>12371494.130000001</v>
      </c>
      <c r="H533" s="320">
        <f t="shared" si="17"/>
        <v>90.597226721898423</v>
      </c>
      <c r="I533" s="149" t="str">
        <f t="shared" si="16"/>
        <v>07020110040020244</v>
      </c>
    </row>
    <row r="534" spans="1:9" ht="38.25">
      <c r="A534" s="54" t="s">
        <v>1758</v>
      </c>
      <c r="B534" s="160" t="s">
        <v>252</v>
      </c>
      <c r="C534" s="160" t="s">
        <v>515</v>
      </c>
      <c r="D534" s="160" t="s">
        <v>959</v>
      </c>
      <c r="E534" s="250" t="s">
        <v>552</v>
      </c>
      <c r="F534" s="473">
        <v>1000</v>
      </c>
      <c r="G534" s="470">
        <v>1000</v>
      </c>
      <c r="H534" s="320">
        <f t="shared" si="17"/>
        <v>100</v>
      </c>
      <c r="I534" s="149" t="str">
        <f t="shared" si="16"/>
        <v>07020110040020831</v>
      </c>
    </row>
    <row r="535" spans="1:9">
      <c r="A535" s="54" t="s">
        <v>1168</v>
      </c>
      <c r="B535" s="160" t="s">
        <v>252</v>
      </c>
      <c r="C535" s="160" t="s">
        <v>515</v>
      </c>
      <c r="D535" s="160" t="s">
        <v>959</v>
      </c>
      <c r="E535" s="250" t="s">
        <v>626</v>
      </c>
      <c r="F535" s="473">
        <v>3500</v>
      </c>
      <c r="G535" s="470">
        <v>3500</v>
      </c>
      <c r="H535" s="320">
        <f t="shared" si="17"/>
        <v>100</v>
      </c>
      <c r="I535" s="149" t="str">
        <f t="shared" si="16"/>
        <v>07020110040020852</v>
      </c>
    </row>
    <row r="536" spans="1:9">
      <c r="A536" s="54" t="s">
        <v>1293</v>
      </c>
      <c r="B536" s="160" t="s">
        <v>252</v>
      </c>
      <c r="C536" s="160" t="s">
        <v>515</v>
      </c>
      <c r="D536" s="160" t="s">
        <v>959</v>
      </c>
      <c r="E536" s="250" t="s">
        <v>1294</v>
      </c>
      <c r="F536" s="473">
        <v>419939.26</v>
      </c>
      <c r="G536" s="470">
        <v>412866.28</v>
      </c>
      <c r="H536" s="320">
        <f t="shared" si="17"/>
        <v>98.315713562956702</v>
      </c>
      <c r="I536" s="149" t="str">
        <f t="shared" si="16"/>
        <v>07020110040020853</v>
      </c>
    </row>
    <row r="537" spans="1:9" ht="178.5">
      <c r="A537" s="54" t="s">
        <v>535</v>
      </c>
      <c r="B537" s="160" t="s">
        <v>252</v>
      </c>
      <c r="C537" s="160" t="s">
        <v>515</v>
      </c>
      <c r="D537" s="160" t="s">
        <v>960</v>
      </c>
      <c r="E537" s="250"/>
      <c r="F537" s="473">
        <v>63939573.609999999</v>
      </c>
      <c r="G537" s="470">
        <v>62894358.539999999</v>
      </c>
      <c r="H537" s="320">
        <f t="shared" si="17"/>
        <v>98.365308038531353</v>
      </c>
      <c r="I537" s="149" t="str">
        <f t="shared" si="16"/>
        <v>07020110041020</v>
      </c>
    </row>
    <row r="538" spans="1:9">
      <c r="A538" s="54" t="s">
        <v>1603</v>
      </c>
      <c r="B538" s="160" t="s">
        <v>252</v>
      </c>
      <c r="C538" s="160" t="s">
        <v>515</v>
      </c>
      <c r="D538" s="160" t="s">
        <v>960</v>
      </c>
      <c r="E538" s="250" t="s">
        <v>460</v>
      </c>
      <c r="F538" s="473">
        <v>49244387.18</v>
      </c>
      <c r="G538" s="470">
        <v>48641254.549999997</v>
      </c>
      <c r="H538" s="320">
        <f t="shared" si="17"/>
        <v>98.775225635775683</v>
      </c>
      <c r="I538" s="149" t="str">
        <f t="shared" si="16"/>
        <v>07020110041020111</v>
      </c>
    </row>
    <row r="539" spans="1:9" ht="51">
      <c r="A539" s="54" t="s">
        <v>1604</v>
      </c>
      <c r="B539" s="160" t="s">
        <v>252</v>
      </c>
      <c r="C539" s="160" t="s">
        <v>515</v>
      </c>
      <c r="D539" s="160" t="s">
        <v>960</v>
      </c>
      <c r="E539" s="250" t="s">
        <v>1290</v>
      </c>
      <c r="F539" s="473">
        <v>14695186.43</v>
      </c>
      <c r="G539" s="470">
        <v>14253103.99</v>
      </c>
      <c r="H539" s="320">
        <f t="shared" si="17"/>
        <v>96.991651367569617</v>
      </c>
      <c r="I539" s="149" t="str">
        <f t="shared" si="16"/>
        <v>07020110041020119</v>
      </c>
    </row>
    <row r="540" spans="1:9" ht="153">
      <c r="A540" s="54" t="s">
        <v>659</v>
      </c>
      <c r="B540" s="160" t="s">
        <v>252</v>
      </c>
      <c r="C540" s="160" t="s">
        <v>515</v>
      </c>
      <c r="D540" s="160" t="s">
        <v>966</v>
      </c>
      <c r="E540" s="250"/>
      <c r="F540" s="473">
        <v>2789584.8</v>
      </c>
      <c r="G540" s="470">
        <v>1551499.7</v>
      </c>
      <c r="H540" s="320">
        <f t="shared" si="17"/>
        <v>55.617585097251755</v>
      </c>
      <c r="I540" s="149" t="str">
        <f t="shared" si="16"/>
        <v>07020110043020</v>
      </c>
    </row>
    <row r="541" spans="1:9" ht="25.5">
      <c r="A541" s="54" t="s">
        <v>1617</v>
      </c>
      <c r="B541" s="160" t="s">
        <v>252</v>
      </c>
      <c r="C541" s="160" t="s">
        <v>515</v>
      </c>
      <c r="D541" s="160" t="s">
        <v>966</v>
      </c>
      <c r="E541" s="250" t="s">
        <v>509</v>
      </c>
      <c r="F541" s="473">
        <v>677070.8</v>
      </c>
      <c r="G541" s="470">
        <v>386790.6</v>
      </c>
      <c r="H541" s="320">
        <f t="shared" si="17"/>
        <v>57.127053773401535</v>
      </c>
      <c r="I541" s="149" t="str">
        <f t="shared" si="16"/>
        <v>07020110043020112</v>
      </c>
    </row>
    <row r="542" spans="1:9" ht="51">
      <c r="A542" s="54" t="s">
        <v>1619</v>
      </c>
      <c r="B542" s="160" t="s">
        <v>252</v>
      </c>
      <c r="C542" s="160" t="s">
        <v>515</v>
      </c>
      <c r="D542" s="160" t="s">
        <v>966</v>
      </c>
      <c r="E542" s="250" t="s">
        <v>1295</v>
      </c>
      <c r="F542" s="473">
        <v>390000</v>
      </c>
      <c r="G542" s="470">
        <v>165702.6</v>
      </c>
      <c r="H542" s="320">
        <f t="shared" si="17"/>
        <v>42.487846153846156</v>
      </c>
      <c r="I542" s="149" t="str">
        <f t="shared" si="16"/>
        <v>07020110043020113</v>
      </c>
    </row>
    <row r="543" spans="1:9" ht="38.25">
      <c r="A543" s="54" t="s">
        <v>445</v>
      </c>
      <c r="B543" s="160" t="s">
        <v>252</v>
      </c>
      <c r="C543" s="160" t="s">
        <v>515</v>
      </c>
      <c r="D543" s="160" t="s">
        <v>966</v>
      </c>
      <c r="E543" s="250" t="s">
        <v>446</v>
      </c>
      <c r="F543" s="473">
        <v>1722514</v>
      </c>
      <c r="G543" s="470">
        <v>999006.5</v>
      </c>
      <c r="H543" s="320">
        <f t="shared" si="17"/>
        <v>57.9970032173904</v>
      </c>
      <c r="I543" s="149" t="str">
        <f t="shared" si="16"/>
        <v>07020110043020244</v>
      </c>
    </row>
    <row r="544" spans="1:9" ht="153">
      <c r="A544" s="54" t="s">
        <v>1043</v>
      </c>
      <c r="B544" s="160" t="s">
        <v>252</v>
      </c>
      <c r="C544" s="160" t="s">
        <v>515</v>
      </c>
      <c r="D544" s="160" t="s">
        <v>1042</v>
      </c>
      <c r="E544" s="250"/>
      <c r="F544" s="473">
        <v>4500</v>
      </c>
      <c r="G544" s="470">
        <v>4500</v>
      </c>
      <c r="H544" s="320">
        <f t="shared" si="17"/>
        <v>100</v>
      </c>
      <c r="I544" s="149" t="str">
        <f t="shared" si="16"/>
        <v>07020110045020</v>
      </c>
    </row>
    <row r="545" spans="1:9" ht="25.5">
      <c r="A545" s="54" t="s">
        <v>1617</v>
      </c>
      <c r="B545" s="160" t="s">
        <v>252</v>
      </c>
      <c r="C545" s="160" t="s">
        <v>515</v>
      </c>
      <c r="D545" s="160" t="s">
        <v>1042</v>
      </c>
      <c r="E545" s="250" t="s">
        <v>509</v>
      </c>
      <c r="F545" s="473">
        <v>4500</v>
      </c>
      <c r="G545" s="470">
        <v>4500</v>
      </c>
      <c r="H545" s="320">
        <f t="shared" si="17"/>
        <v>100</v>
      </c>
      <c r="I545" s="149" t="str">
        <f t="shared" si="16"/>
        <v>07020110045020112</v>
      </c>
    </row>
    <row r="546" spans="1:9" ht="140.25">
      <c r="A546" s="54" t="s">
        <v>743</v>
      </c>
      <c r="B546" s="160" t="s">
        <v>252</v>
      </c>
      <c r="C546" s="160" t="s">
        <v>515</v>
      </c>
      <c r="D546" s="160" t="s">
        <v>961</v>
      </c>
      <c r="E546" s="250"/>
      <c r="F546" s="473">
        <v>1004737.05</v>
      </c>
      <c r="G546" s="470">
        <v>917081.44</v>
      </c>
      <c r="H546" s="320">
        <f t="shared" si="17"/>
        <v>91.275766132044183</v>
      </c>
      <c r="I546" s="149" t="str">
        <f t="shared" si="16"/>
        <v>07020110047020</v>
      </c>
    </row>
    <row r="547" spans="1:9" ht="25.5">
      <c r="A547" s="54" t="s">
        <v>1617</v>
      </c>
      <c r="B547" s="160" t="s">
        <v>252</v>
      </c>
      <c r="C547" s="160" t="s">
        <v>515</v>
      </c>
      <c r="D547" s="160" t="s">
        <v>961</v>
      </c>
      <c r="E547" s="250" t="s">
        <v>509</v>
      </c>
      <c r="F547" s="473">
        <v>1004737.05</v>
      </c>
      <c r="G547" s="470">
        <v>917081.44</v>
      </c>
      <c r="H547" s="320">
        <f t="shared" si="17"/>
        <v>91.275766132044183</v>
      </c>
      <c r="I547" s="149" t="str">
        <f t="shared" si="16"/>
        <v>07020110047020112</v>
      </c>
    </row>
    <row r="548" spans="1:9" ht="140.25">
      <c r="A548" s="54" t="s">
        <v>745</v>
      </c>
      <c r="B548" s="160" t="s">
        <v>252</v>
      </c>
      <c r="C548" s="160" t="s">
        <v>515</v>
      </c>
      <c r="D548" s="160" t="s">
        <v>962</v>
      </c>
      <c r="E548" s="250"/>
      <c r="F548" s="473">
        <v>72513842.480000004</v>
      </c>
      <c r="G548" s="470">
        <v>61849827.640000001</v>
      </c>
      <c r="H548" s="320">
        <f t="shared" si="17"/>
        <v>85.293821875538811</v>
      </c>
      <c r="I548" s="149" t="str">
        <f t="shared" si="16"/>
        <v>0702011004Г020</v>
      </c>
    </row>
    <row r="549" spans="1:9" ht="38.25">
      <c r="A549" s="54" t="s">
        <v>445</v>
      </c>
      <c r="B549" s="160" t="s">
        <v>252</v>
      </c>
      <c r="C549" s="160" t="s">
        <v>515</v>
      </c>
      <c r="D549" s="160" t="s">
        <v>962</v>
      </c>
      <c r="E549" s="250" t="s">
        <v>446</v>
      </c>
      <c r="F549" s="473">
        <v>72513842.480000004</v>
      </c>
      <c r="G549" s="470">
        <v>61849827.640000001</v>
      </c>
      <c r="H549" s="320">
        <f t="shared" si="17"/>
        <v>85.293821875538811</v>
      </c>
      <c r="I549" s="149" t="str">
        <f t="shared" si="16"/>
        <v>0702011004Г020244</v>
      </c>
    </row>
    <row r="550" spans="1:9" ht="127.5">
      <c r="A550" s="54" t="s">
        <v>747</v>
      </c>
      <c r="B550" s="160" t="s">
        <v>252</v>
      </c>
      <c r="C550" s="160" t="s">
        <v>515</v>
      </c>
      <c r="D550" s="160" t="s">
        <v>967</v>
      </c>
      <c r="E550" s="250"/>
      <c r="F550" s="473">
        <v>3552600</v>
      </c>
      <c r="G550" s="470">
        <v>3532851.7</v>
      </c>
      <c r="H550" s="320">
        <f t="shared" si="17"/>
        <v>99.444116984743573</v>
      </c>
      <c r="I550" s="149" t="str">
        <f t="shared" si="16"/>
        <v>0702011004П020</v>
      </c>
    </row>
    <row r="551" spans="1:9" ht="38.25">
      <c r="A551" s="54" t="s">
        <v>445</v>
      </c>
      <c r="B551" s="160" t="s">
        <v>252</v>
      </c>
      <c r="C551" s="160" t="s">
        <v>515</v>
      </c>
      <c r="D551" s="160" t="s">
        <v>967</v>
      </c>
      <c r="E551" s="250" t="s">
        <v>446</v>
      </c>
      <c r="F551" s="473">
        <v>3552600</v>
      </c>
      <c r="G551" s="470">
        <v>3532851.7</v>
      </c>
      <c r="H551" s="320">
        <f t="shared" si="17"/>
        <v>99.444116984743573</v>
      </c>
      <c r="I551" s="149" t="str">
        <f t="shared" si="16"/>
        <v>0702011004П020244</v>
      </c>
    </row>
    <row r="552" spans="1:9" ht="76.5">
      <c r="A552" s="54" t="s">
        <v>1767</v>
      </c>
      <c r="B552" s="160" t="s">
        <v>252</v>
      </c>
      <c r="C552" s="160" t="s">
        <v>515</v>
      </c>
      <c r="D552" s="160" t="s">
        <v>1768</v>
      </c>
      <c r="E552" s="250"/>
      <c r="F552" s="473">
        <v>652078.55000000005</v>
      </c>
      <c r="G552" s="470">
        <v>594179</v>
      </c>
      <c r="H552" s="320">
        <f t="shared" si="17"/>
        <v>91.120770649486929</v>
      </c>
      <c r="I552" s="149" t="str">
        <f t="shared" si="16"/>
        <v>0702011004Ф000</v>
      </c>
    </row>
    <row r="553" spans="1:9" ht="38.25">
      <c r="A553" s="54" t="s">
        <v>445</v>
      </c>
      <c r="B553" s="160" t="s">
        <v>252</v>
      </c>
      <c r="C553" s="160" t="s">
        <v>515</v>
      </c>
      <c r="D553" s="160" t="s">
        <v>1768</v>
      </c>
      <c r="E553" s="250" t="s">
        <v>446</v>
      </c>
      <c r="F553" s="473">
        <v>652078.55000000005</v>
      </c>
      <c r="G553" s="470">
        <v>594179</v>
      </c>
      <c r="H553" s="320">
        <f t="shared" si="17"/>
        <v>91.120770649486929</v>
      </c>
      <c r="I553" s="149" t="str">
        <f t="shared" si="16"/>
        <v>0702011004Ф000244</v>
      </c>
    </row>
    <row r="554" spans="1:9" ht="127.5">
      <c r="A554" s="54" t="s">
        <v>1187</v>
      </c>
      <c r="B554" s="160" t="s">
        <v>252</v>
      </c>
      <c r="C554" s="160" t="s">
        <v>515</v>
      </c>
      <c r="D554" s="160" t="s">
        <v>1188</v>
      </c>
      <c r="E554" s="250"/>
      <c r="F554" s="473">
        <v>10110834.73</v>
      </c>
      <c r="G554" s="470">
        <v>9445651.6899999995</v>
      </c>
      <c r="H554" s="320">
        <f t="shared" si="17"/>
        <v>93.421086806746757</v>
      </c>
      <c r="I554" s="149" t="str">
        <f t="shared" si="16"/>
        <v>0702011004Э020</v>
      </c>
    </row>
    <row r="555" spans="1:9" ht="38.25">
      <c r="A555" s="54" t="s">
        <v>445</v>
      </c>
      <c r="B555" s="160" t="s">
        <v>252</v>
      </c>
      <c r="C555" s="160" t="s">
        <v>515</v>
      </c>
      <c r="D555" s="160" t="s">
        <v>1188</v>
      </c>
      <c r="E555" s="250" t="s">
        <v>446</v>
      </c>
      <c r="F555" s="473">
        <v>10110834.73</v>
      </c>
      <c r="G555" s="470">
        <v>9445651.6899999995</v>
      </c>
      <c r="H555" s="320">
        <f t="shared" si="17"/>
        <v>93.421086806746757</v>
      </c>
      <c r="I555" s="149" t="str">
        <f t="shared" si="16"/>
        <v>0702011004Э020244</v>
      </c>
    </row>
    <row r="556" spans="1:9" ht="216.75">
      <c r="A556" s="54" t="s">
        <v>1191</v>
      </c>
      <c r="B556" s="160" t="s">
        <v>252</v>
      </c>
      <c r="C556" s="160" t="s">
        <v>515</v>
      </c>
      <c r="D556" s="160" t="s">
        <v>958</v>
      </c>
      <c r="E556" s="250"/>
      <c r="F556" s="473">
        <v>71891700</v>
      </c>
      <c r="G556" s="470">
        <v>69585651.920000002</v>
      </c>
      <c r="H556" s="320">
        <f t="shared" si="17"/>
        <v>96.792330575017701</v>
      </c>
      <c r="I556" s="149" t="str">
        <f t="shared" si="16"/>
        <v>07020110074090</v>
      </c>
    </row>
    <row r="557" spans="1:9">
      <c r="A557" s="54" t="s">
        <v>1603</v>
      </c>
      <c r="B557" s="160" t="s">
        <v>252</v>
      </c>
      <c r="C557" s="160" t="s">
        <v>515</v>
      </c>
      <c r="D557" s="160" t="s">
        <v>958</v>
      </c>
      <c r="E557" s="250" t="s">
        <v>460</v>
      </c>
      <c r="F557" s="473">
        <v>50129714.719999999</v>
      </c>
      <c r="G557" s="470">
        <v>49373262.369999997</v>
      </c>
      <c r="H557" s="320">
        <f t="shared" si="17"/>
        <v>98.491010064140255</v>
      </c>
      <c r="I557" s="149" t="str">
        <f t="shared" si="16"/>
        <v>07020110074090111</v>
      </c>
    </row>
    <row r="558" spans="1:9" ht="25.5">
      <c r="A558" s="54" t="s">
        <v>1617</v>
      </c>
      <c r="B558" s="160" t="s">
        <v>252</v>
      </c>
      <c r="C558" s="160" t="s">
        <v>515</v>
      </c>
      <c r="D558" s="160" t="s">
        <v>958</v>
      </c>
      <c r="E558" s="250" t="s">
        <v>509</v>
      </c>
      <c r="F558" s="473">
        <v>1422572.98</v>
      </c>
      <c r="G558" s="470">
        <v>1046558.08</v>
      </c>
      <c r="H558" s="320">
        <f t="shared" si="17"/>
        <v>73.567971184156761</v>
      </c>
      <c r="I558" s="149" t="str">
        <f t="shared" si="16"/>
        <v>07020110074090112</v>
      </c>
    </row>
    <row r="559" spans="1:9" ht="51">
      <c r="A559" s="54" t="s">
        <v>1604</v>
      </c>
      <c r="B559" s="160" t="s">
        <v>252</v>
      </c>
      <c r="C559" s="160" t="s">
        <v>515</v>
      </c>
      <c r="D559" s="160" t="s">
        <v>958</v>
      </c>
      <c r="E559" s="250" t="s">
        <v>1290</v>
      </c>
      <c r="F559" s="473">
        <v>15727959.220000001</v>
      </c>
      <c r="G559" s="470">
        <v>14918826.369999999</v>
      </c>
      <c r="H559" s="320">
        <f t="shared" si="17"/>
        <v>94.85544921192897</v>
      </c>
      <c r="I559" s="149" t="str">
        <f t="shared" ref="I559:I574" si="18">CONCATENATE(C559,D559,E559)</f>
        <v>07020110074090119</v>
      </c>
    </row>
    <row r="560" spans="1:9" ht="38.25">
      <c r="A560" s="54" t="s">
        <v>445</v>
      </c>
      <c r="B560" s="160" t="s">
        <v>252</v>
      </c>
      <c r="C560" s="160" t="s">
        <v>515</v>
      </c>
      <c r="D560" s="160" t="s">
        <v>958</v>
      </c>
      <c r="E560" s="250" t="s">
        <v>446</v>
      </c>
      <c r="F560" s="473">
        <v>4611453.08</v>
      </c>
      <c r="G560" s="470">
        <v>4247005.0999999996</v>
      </c>
      <c r="H560" s="320">
        <f t="shared" si="17"/>
        <v>92.096894976973275</v>
      </c>
      <c r="I560" s="149" t="str">
        <f t="shared" si="18"/>
        <v>07020110074090244</v>
      </c>
    </row>
    <row r="561" spans="1:9" ht="76.5">
      <c r="A561" s="54" t="s">
        <v>1816</v>
      </c>
      <c r="B561" s="160" t="s">
        <v>252</v>
      </c>
      <c r="C561" s="160" t="s">
        <v>515</v>
      </c>
      <c r="D561" s="160" t="s">
        <v>1817</v>
      </c>
      <c r="E561" s="250"/>
      <c r="F561" s="473">
        <v>5782800</v>
      </c>
      <c r="G561" s="470">
        <v>5782800</v>
      </c>
      <c r="H561" s="320">
        <f t="shared" si="17"/>
        <v>100</v>
      </c>
      <c r="I561" s="149" t="str">
        <f t="shared" si="18"/>
        <v>07020110075630</v>
      </c>
    </row>
    <row r="562" spans="1:9" ht="38.25">
      <c r="A562" s="54" t="s">
        <v>461</v>
      </c>
      <c r="B562" s="160" t="s">
        <v>252</v>
      </c>
      <c r="C562" s="160" t="s">
        <v>515</v>
      </c>
      <c r="D562" s="160" t="s">
        <v>1817</v>
      </c>
      <c r="E562" s="250" t="s">
        <v>462</v>
      </c>
      <c r="F562" s="473">
        <v>5327732.34</v>
      </c>
      <c r="G562" s="470">
        <v>5327732.34</v>
      </c>
      <c r="H562" s="320">
        <f t="shared" si="17"/>
        <v>100</v>
      </c>
      <c r="I562" s="149" t="str">
        <f t="shared" si="18"/>
        <v>07020110075630243</v>
      </c>
    </row>
    <row r="563" spans="1:9" ht="38.25">
      <c r="A563" s="54" t="s">
        <v>445</v>
      </c>
      <c r="B563" s="160" t="s">
        <v>252</v>
      </c>
      <c r="C563" s="160" t="s">
        <v>515</v>
      </c>
      <c r="D563" s="160" t="s">
        <v>1817</v>
      </c>
      <c r="E563" s="250" t="s">
        <v>446</v>
      </c>
      <c r="F563" s="473">
        <v>455067.66</v>
      </c>
      <c r="G563" s="470">
        <v>455067.66</v>
      </c>
      <c r="H563" s="320">
        <f t="shared" si="17"/>
        <v>100</v>
      </c>
      <c r="I563" s="149" t="str">
        <f t="shared" si="18"/>
        <v>07020110075630244</v>
      </c>
    </row>
    <row r="564" spans="1:9" ht="178.5">
      <c r="A564" s="54" t="s">
        <v>532</v>
      </c>
      <c r="B564" s="160" t="s">
        <v>252</v>
      </c>
      <c r="C564" s="160" t="s">
        <v>515</v>
      </c>
      <c r="D564" s="160" t="s">
        <v>956</v>
      </c>
      <c r="E564" s="250"/>
      <c r="F564" s="473">
        <v>356835600</v>
      </c>
      <c r="G564" s="470">
        <v>353314045.56999999</v>
      </c>
      <c r="H564" s="320">
        <f t="shared" si="17"/>
        <v>99.013115723319075</v>
      </c>
      <c r="I564" s="149" t="str">
        <f t="shared" si="18"/>
        <v>07020110075640</v>
      </c>
    </row>
    <row r="565" spans="1:9">
      <c r="A565" s="54" t="s">
        <v>1603</v>
      </c>
      <c r="B565" s="160" t="s">
        <v>252</v>
      </c>
      <c r="C565" s="160" t="s">
        <v>515</v>
      </c>
      <c r="D565" s="160" t="s">
        <v>956</v>
      </c>
      <c r="E565" s="250" t="s">
        <v>460</v>
      </c>
      <c r="F565" s="473">
        <v>249269415</v>
      </c>
      <c r="G565" s="470">
        <v>247836706.83000001</v>
      </c>
      <c r="H565" s="320">
        <f t="shared" si="17"/>
        <v>99.425237079326394</v>
      </c>
      <c r="I565" s="149" t="str">
        <f t="shared" si="18"/>
        <v>07020110075640111</v>
      </c>
    </row>
    <row r="566" spans="1:9" ht="25.5">
      <c r="A566" s="54" t="s">
        <v>1617</v>
      </c>
      <c r="B566" s="160" t="s">
        <v>252</v>
      </c>
      <c r="C566" s="160" t="s">
        <v>515</v>
      </c>
      <c r="D566" s="160" t="s">
        <v>956</v>
      </c>
      <c r="E566" s="250" t="s">
        <v>509</v>
      </c>
      <c r="F566" s="473">
        <v>4553629.51</v>
      </c>
      <c r="G566" s="470">
        <v>4133565.23</v>
      </c>
      <c r="H566" s="320">
        <f t="shared" si="17"/>
        <v>90.775176612908069</v>
      </c>
      <c r="I566" s="149" t="str">
        <f t="shared" si="18"/>
        <v>07020110075640112</v>
      </c>
    </row>
    <row r="567" spans="1:9" ht="51">
      <c r="A567" s="54" t="s">
        <v>1604</v>
      </c>
      <c r="B567" s="160" t="s">
        <v>252</v>
      </c>
      <c r="C567" s="160" t="s">
        <v>515</v>
      </c>
      <c r="D567" s="160" t="s">
        <v>956</v>
      </c>
      <c r="E567" s="250" t="s">
        <v>1290</v>
      </c>
      <c r="F567" s="473">
        <v>75941682</v>
      </c>
      <c r="G567" s="470">
        <v>74689731.340000004</v>
      </c>
      <c r="H567" s="320">
        <f t="shared" si="17"/>
        <v>98.351431483964234</v>
      </c>
      <c r="I567" s="149" t="str">
        <f t="shared" si="18"/>
        <v>07020110075640119</v>
      </c>
    </row>
    <row r="568" spans="1:9" ht="38.25">
      <c r="A568" s="54" t="s">
        <v>445</v>
      </c>
      <c r="B568" s="160" t="s">
        <v>252</v>
      </c>
      <c r="C568" s="160" t="s">
        <v>515</v>
      </c>
      <c r="D568" s="160" t="s">
        <v>956</v>
      </c>
      <c r="E568" s="250" t="s">
        <v>446</v>
      </c>
      <c r="F568" s="473">
        <v>27034773.489999998</v>
      </c>
      <c r="G568" s="470">
        <v>26617942.170000002</v>
      </c>
      <c r="H568" s="320">
        <f t="shared" si="17"/>
        <v>98.458166035109628</v>
      </c>
      <c r="I568" s="149" t="str">
        <f t="shared" si="18"/>
        <v>07020110075640244</v>
      </c>
    </row>
    <row r="569" spans="1:9">
      <c r="A569" s="54" t="s">
        <v>1168</v>
      </c>
      <c r="B569" s="160" t="s">
        <v>252</v>
      </c>
      <c r="C569" s="160" t="s">
        <v>515</v>
      </c>
      <c r="D569" s="160" t="s">
        <v>956</v>
      </c>
      <c r="E569" s="250" t="s">
        <v>626</v>
      </c>
      <c r="F569" s="473">
        <v>36100</v>
      </c>
      <c r="G569" s="470">
        <v>36100</v>
      </c>
      <c r="H569" s="320">
        <f t="shared" si="17"/>
        <v>100</v>
      </c>
      <c r="I569" s="149" t="str">
        <f t="shared" si="18"/>
        <v>07020110075640852</v>
      </c>
    </row>
    <row r="570" spans="1:9" ht="114.75">
      <c r="A570" s="54" t="s">
        <v>2010</v>
      </c>
      <c r="B570" s="160" t="s">
        <v>252</v>
      </c>
      <c r="C570" s="160" t="s">
        <v>515</v>
      </c>
      <c r="D570" s="160" t="s">
        <v>2011</v>
      </c>
      <c r="E570" s="250"/>
      <c r="F570" s="473">
        <v>452000</v>
      </c>
      <c r="G570" s="470">
        <v>452000</v>
      </c>
      <c r="H570" s="320">
        <f t="shared" si="17"/>
        <v>100</v>
      </c>
      <c r="I570" s="149" t="str">
        <f t="shared" si="18"/>
        <v>07020110077440</v>
      </c>
    </row>
    <row r="571" spans="1:9" ht="38.25">
      <c r="A571" s="54" t="s">
        <v>461</v>
      </c>
      <c r="B571" s="160" t="s">
        <v>252</v>
      </c>
      <c r="C571" s="160" t="s">
        <v>515</v>
      </c>
      <c r="D571" s="160" t="s">
        <v>2011</v>
      </c>
      <c r="E571" s="250" t="s">
        <v>462</v>
      </c>
      <c r="F571" s="473">
        <v>245000</v>
      </c>
      <c r="G571" s="470">
        <v>245000</v>
      </c>
      <c r="H571" s="320">
        <f t="shared" si="17"/>
        <v>100</v>
      </c>
      <c r="I571" s="149" t="str">
        <f t="shared" si="18"/>
        <v>07020110077440243</v>
      </c>
    </row>
    <row r="572" spans="1:9" ht="38.25">
      <c r="A572" s="54" t="s">
        <v>445</v>
      </c>
      <c r="B572" s="160" t="s">
        <v>252</v>
      </c>
      <c r="C572" s="160" t="s">
        <v>515</v>
      </c>
      <c r="D572" s="160" t="s">
        <v>2011</v>
      </c>
      <c r="E572" s="250" t="s">
        <v>446</v>
      </c>
      <c r="F572" s="473">
        <v>207000</v>
      </c>
      <c r="G572" s="470">
        <v>207000</v>
      </c>
      <c r="H572" s="320">
        <f t="shared" si="17"/>
        <v>100</v>
      </c>
      <c r="I572" s="149" t="str">
        <f t="shared" si="18"/>
        <v>07020110077440244</v>
      </c>
    </row>
    <row r="573" spans="1:9" ht="76.5">
      <c r="A573" s="54" t="s">
        <v>531</v>
      </c>
      <c r="B573" s="160" t="s">
        <v>252</v>
      </c>
      <c r="C573" s="160" t="s">
        <v>515</v>
      </c>
      <c r="D573" s="160" t="s">
        <v>970</v>
      </c>
      <c r="E573" s="250"/>
      <c r="F573" s="473">
        <v>597912</v>
      </c>
      <c r="G573" s="470">
        <v>361494</v>
      </c>
      <c r="H573" s="320">
        <f t="shared" si="17"/>
        <v>60.45939870750211</v>
      </c>
      <c r="I573" s="149" t="str">
        <f t="shared" si="18"/>
        <v>07020110080020</v>
      </c>
    </row>
    <row r="574" spans="1:9" ht="38.25">
      <c r="A574" s="54" t="s">
        <v>445</v>
      </c>
      <c r="B574" s="160" t="s">
        <v>252</v>
      </c>
      <c r="C574" s="160" t="s">
        <v>515</v>
      </c>
      <c r="D574" s="160" t="s">
        <v>970</v>
      </c>
      <c r="E574" s="250" t="s">
        <v>446</v>
      </c>
      <c r="F574" s="473">
        <v>472912</v>
      </c>
      <c r="G574" s="470">
        <v>241494</v>
      </c>
      <c r="H574" s="320">
        <f t="shared" si="17"/>
        <v>51.065314477112025</v>
      </c>
      <c r="I574" s="149" t="str">
        <f t="shared" si="18"/>
        <v>07020110080020244</v>
      </c>
    </row>
    <row r="575" spans="1:9">
      <c r="A575" s="54" t="s">
        <v>660</v>
      </c>
      <c r="B575" s="272" t="s">
        <v>252</v>
      </c>
      <c r="C575" s="272" t="s">
        <v>515</v>
      </c>
      <c r="D575" s="272" t="s">
        <v>970</v>
      </c>
      <c r="E575" s="273" t="s">
        <v>661</v>
      </c>
      <c r="F575" s="320">
        <v>125000</v>
      </c>
      <c r="G575" s="470">
        <v>120000</v>
      </c>
      <c r="H575" s="320">
        <f t="shared" si="17"/>
        <v>96</v>
      </c>
      <c r="I575" s="149" t="str">
        <f t="shared" ref="I575:I615" si="19">CONCATENATE(C575,D575,E575)</f>
        <v>07020110080020360</v>
      </c>
    </row>
    <row r="576" spans="1:9" ht="63.75">
      <c r="A576" s="54" t="s">
        <v>662</v>
      </c>
      <c r="B576" s="272" t="s">
        <v>252</v>
      </c>
      <c r="C576" s="272" t="s">
        <v>515</v>
      </c>
      <c r="D576" s="272" t="s">
        <v>973</v>
      </c>
      <c r="E576" s="273"/>
      <c r="F576" s="320">
        <v>172000</v>
      </c>
      <c r="G576" s="470">
        <v>171996</v>
      </c>
      <c r="H576" s="320">
        <f t="shared" si="17"/>
        <v>99.99767441860466</v>
      </c>
      <c r="I576" s="149" t="str">
        <f t="shared" si="19"/>
        <v>07020110080040</v>
      </c>
    </row>
    <row r="577" spans="1:9" ht="25.5">
      <c r="A577" s="54" t="s">
        <v>456</v>
      </c>
      <c r="B577" s="272" t="s">
        <v>252</v>
      </c>
      <c r="C577" s="272" t="s">
        <v>515</v>
      </c>
      <c r="D577" s="272" t="s">
        <v>973</v>
      </c>
      <c r="E577" s="273" t="s">
        <v>457</v>
      </c>
      <c r="F577" s="320">
        <v>172000</v>
      </c>
      <c r="G577" s="470">
        <v>171996</v>
      </c>
      <c r="H577" s="320">
        <f t="shared" si="17"/>
        <v>99.99767441860466</v>
      </c>
      <c r="I577" s="149" t="str">
        <f t="shared" si="19"/>
        <v>07020110080040330</v>
      </c>
    </row>
    <row r="578" spans="1:9" ht="76.5">
      <c r="A578" s="54" t="s">
        <v>1769</v>
      </c>
      <c r="B578" s="272" t="s">
        <v>252</v>
      </c>
      <c r="C578" s="272" t="s">
        <v>515</v>
      </c>
      <c r="D578" s="272" t="s">
        <v>1770</v>
      </c>
      <c r="E578" s="273"/>
      <c r="F578" s="320">
        <v>131600</v>
      </c>
      <c r="G578" s="470">
        <v>131600</v>
      </c>
      <c r="H578" s="320">
        <f t="shared" si="17"/>
        <v>100</v>
      </c>
      <c r="I578" s="149" t="str">
        <f t="shared" si="19"/>
        <v>07020110084020</v>
      </c>
    </row>
    <row r="579" spans="1:9" ht="25.5">
      <c r="A579" s="54" t="s">
        <v>1617</v>
      </c>
      <c r="B579" s="272" t="s">
        <v>252</v>
      </c>
      <c r="C579" s="272" t="s">
        <v>515</v>
      </c>
      <c r="D579" s="272" t="s">
        <v>1770</v>
      </c>
      <c r="E579" s="273" t="s">
        <v>509</v>
      </c>
      <c r="F579" s="320">
        <v>20800</v>
      </c>
      <c r="G579" s="470">
        <v>20800</v>
      </c>
      <c r="H579" s="320">
        <f t="shared" si="17"/>
        <v>100</v>
      </c>
      <c r="I579" s="149" t="str">
        <f t="shared" si="19"/>
        <v>07020110084020112</v>
      </c>
    </row>
    <row r="580" spans="1:9" ht="38.25">
      <c r="A580" s="54" t="s">
        <v>445</v>
      </c>
      <c r="B580" s="272" t="s">
        <v>252</v>
      </c>
      <c r="C580" s="272" t="s">
        <v>515</v>
      </c>
      <c r="D580" s="272" t="s">
        <v>1770</v>
      </c>
      <c r="E580" s="273" t="s">
        <v>446</v>
      </c>
      <c r="F580" s="320">
        <v>110800</v>
      </c>
      <c r="G580" s="470">
        <v>110800</v>
      </c>
      <c r="H580" s="320">
        <f t="shared" si="17"/>
        <v>100</v>
      </c>
      <c r="I580" s="149" t="str">
        <f t="shared" si="19"/>
        <v>07020110084020244</v>
      </c>
    </row>
    <row r="581" spans="1:9" ht="63.75">
      <c r="A581" s="54" t="s">
        <v>749</v>
      </c>
      <c r="B581" s="272" t="s">
        <v>252</v>
      </c>
      <c r="C581" s="272" t="s">
        <v>515</v>
      </c>
      <c r="D581" s="272" t="s">
        <v>972</v>
      </c>
      <c r="E581" s="273"/>
      <c r="F581" s="320">
        <v>35000</v>
      </c>
      <c r="G581" s="470">
        <v>34541.5</v>
      </c>
      <c r="H581" s="320">
        <f t="shared" si="17"/>
        <v>98.69</v>
      </c>
      <c r="I581" s="149" t="str">
        <f t="shared" si="19"/>
        <v>0702011008П020</v>
      </c>
    </row>
    <row r="582" spans="1:9" ht="38.25">
      <c r="A582" s="54" t="s">
        <v>445</v>
      </c>
      <c r="B582" s="272" t="s">
        <v>252</v>
      </c>
      <c r="C582" s="272" t="s">
        <v>515</v>
      </c>
      <c r="D582" s="272" t="s">
        <v>972</v>
      </c>
      <c r="E582" s="273" t="s">
        <v>446</v>
      </c>
      <c r="F582" s="320">
        <v>35000</v>
      </c>
      <c r="G582" s="470">
        <v>34541.5</v>
      </c>
      <c r="H582" s="320">
        <f t="shared" si="17"/>
        <v>98.69</v>
      </c>
      <c r="I582" s="149" t="str">
        <f t="shared" si="19"/>
        <v>0702011008П020244</v>
      </c>
    </row>
    <row r="583" spans="1:9" ht="102">
      <c r="A583" s="54" t="s">
        <v>1857</v>
      </c>
      <c r="B583" s="272" t="s">
        <v>252</v>
      </c>
      <c r="C583" s="272" t="s">
        <v>515</v>
      </c>
      <c r="D583" s="272" t="s">
        <v>1858</v>
      </c>
      <c r="E583" s="273"/>
      <c r="F583" s="320">
        <v>72966.559999999998</v>
      </c>
      <c r="G583" s="470">
        <v>72966.559999999998</v>
      </c>
      <c r="H583" s="320">
        <f t="shared" ref="H583:H646" si="20">G583/F583*100</f>
        <v>100</v>
      </c>
      <c r="I583" s="149" t="str">
        <f t="shared" si="19"/>
        <v>070201100R0970</v>
      </c>
    </row>
    <row r="584" spans="1:9" ht="38.25">
      <c r="A584" s="54" t="s">
        <v>445</v>
      </c>
      <c r="B584" s="272" t="s">
        <v>252</v>
      </c>
      <c r="C584" s="272" t="s">
        <v>515</v>
      </c>
      <c r="D584" s="272" t="s">
        <v>1858</v>
      </c>
      <c r="E584" s="273" t="s">
        <v>446</v>
      </c>
      <c r="F584" s="320">
        <v>72966.559999999998</v>
      </c>
      <c r="G584" s="470">
        <v>72966.559999999998</v>
      </c>
      <c r="H584" s="320">
        <f t="shared" si="20"/>
        <v>100</v>
      </c>
      <c r="I584" s="149" t="str">
        <f t="shared" si="19"/>
        <v>070201100R0970244</v>
      </c>
    </row>
    <row r="585" spans="1:9" ht="89.25">
      <c r="A585" s="54" t="s">
        <v>1818</v>
      </c>
      <c r="B585" s="272" t="s">
        <v>252</v>
      </c>
      <c r="C585" s="272" t="s">
        <v>515</v>
      </c>
      <c r="D585" s="272" t="s">
        <v>1819</v>
      </c>
      <c r="E585" s="273"/>
      <c r="F585" s="320">
        <v>58000</v>
      </c>
      <c r="G585" s="470">
        <v>58000</v>
      </c>
      <c r="H585" s="320">
        <f t="shared" si="20"/>
        <v>100</v>
      </c>
      <c r="I585" s="149" t="str">
        <f t="shared" si="19"/>
        <v>070201100S5630</v>
      </c>
    </row>
    <row r="586" spans="1:9" ht="38.25">
      <c r="A586" s="54" t="s">
        <v>461</v>
      </c>
      <c r="B586" s="272" t="s">
        <v>252</v>
      </c>
      <c r="C586" s="272" t="s">
        <v>515</v>
      </c>
      <c r="D586" s="272" t="s">
        <v>1819</v>
      </c>
      <c r="E586" s="273" t="s">
        <v>462</v>
      </c>
      <c r="F586" s="320">
        <v>58000</v>
      </c>
      <c r="G586" s="470">
        <v>58000</v>
      </c>
      <c r="H586" s="320">
        <f t="shared" si="20"/>
        <v>100</v>
      </c>
      <c r="I586" s="149" t="str">
        <f t="shared" si="19"/>
        <v>070201100S5630243</v>
      </c>
    </row>
    <row r="587" spans="1:9" ht="89.25">
      <c r="A587" s="54" t="s">
        <v>1820</v>
      </c>
      <c r="B587" s="272" t="s">
        <v>252</v>
      </c>
      <c r="C587" s="272" t="s">
        <v>515</v>
      </c>
      <c r="D587" s="272" t="s">
        <v>1821</v>
      </c>
      <c r="E587" s="273"/>
      <c r="F587" s="320">
        <v>11940</v>
      </c>
      <c r="G587" s="470">
        <v>10203.700000000001</v>
      </c>
      <c r="H587" s="320">
        <f t="shared" si="20"/>
        <v>85.458123953098834</v>
      </c>
      <c r="I587" s="149" t="str">
        <f t="shared" si="19"/>
        <v>07020930073980</v>
      </c>
    </row>
    <row r="588" spans="1:9" ht="38.25">
      <c r="A588" s="54" t="s">
        <v>445</v>
      </c>
      <c r="B588" s="272" t="s">
        <v>252</v>
      </c>
      <c r="C588" s="272" t="s">
        <v>515</v>
      </c>
      <c r="D588" s="272" t="s">
        <v>1821</v>
      </c>
      <c r="E588" s="273" t="s">
        <v>446</v>
      </c>
      <c r="F588" s="320">
        <v>11940</v>
      </c>
      <c r="G588" s="470">
        <v>10203.700000000001</v>
      </c>
      <c r="H588" s="320">
        <f t="shared" si="20"/>
        <v>85.458123953098834</v>
      </c>
      <c r="I588" s="149" t="str">
        <f t="shared" si="19"/>
        <v>07020930073980244</v>
      </c>
    </row>
    <row r="589" spans="1:9" ht="63.75">
      <c r="A589" s="54" t="s">
        <v>527</v>
      </c>
      <c r="B589" s="272" t="s">
        <v>252</v>
      </c>
      <c r="C589" s="272" t="s">
        <v>515</v>
      </c>
      <c r="D589" s="272" t="s">
        <v>975</v>
      </c>
      <c r="E589" s="273"/>
      <c r="F589" s="320">
        <v>53010</v>
      </c>
      <c r="G589" s="470">
        <v>52965.8</v>
      </c>
      <c r="H589" s="320">
        <f t="shared" si="20"/>
        <v>99.91661950575363</v>
      </c>
      <c r="I589" s="149" t="str">
        <f t="shared" si="19"/>
        <v>07020930080010</v>
      </c>
    </row>
    <row r="590" spans="1:9" ht="25.5">
      <c r="A590" s="54" t="s">
        <v>1617</v>
      </c>
      <c r="B590" s="272" t="s">
        <v>252</v>
      </c>
      <c r="C590" s="272" t="s">
        <v>515</v>
      </c>
      <c r="D590" s="272" t="s">
        <v>975</v>
      </c>
      <c r="E590" s="273" t="s">
        <v>509</v>
      </c>
      <c r="F590" s="320">
        <v>6019.8</v>
      </c>
      <c r="G590" s="470">
        <v>6019.8</v>
      </c>
      <c r="H590" s="320">
        <f t="shared" si="20"/>
        <v>100</v>
      </c>
      <c r="I590" s="149" t="str">
        <f t="shared" si="19"/>
        <v>07020930080010112</v>
      </c>
    </row>
    <row r="591" spans="1:9" ht="51">
      <c r="A591" s="54" t="s">
        <v>1619</v>
      </c>
      <c r="B591" s="272" t="s">
        <v>252</v>
      </c>
      <c r="C591" s="272" t="s">
        <v>515</v>
      </c>
      <c r="D591" s="272" t="s">
        <v>975</v>
      </c>
      <c r="E591" s="273" t="s">
        <v>1295</v>
      </c>
      <c r="F591" s="320">
        <v>5980.2</v>
      </c>
      <c r="G591" s="470">
        <v>5936</v>
      </c>
      <c r="H591" s="320">
        <f t="shared" si="20"/>
        <v>99.260894284472087</v>
      </c>
      <c r="I591" s="149" t="str">
        <f t="shared" si="19"/>
        <v>07020930080010113</v>
      </c>
    </row>
    <row r="592" spans="1:9" ht="38.25">
      <c r="A592" s="54" t="s">
        <v>445</v>
      </c>
      <c r="B592" s="272" t="s">
        <v>252</v>
      </c>
      <c r="C592" s="272" t="s">
        <v>515</v>
      </c>
      <c r="D592" s="272" t="s">
        <v>975</v>
      </c>
      <c r="E592" s="273" t="s">
        <v>446</v>
      </c>
      <c r="F592" s="320">
        <v>41010</v>
      </c>
      <c r="G592" s="470">
        <v>41010</v>
      </c>
      <c r="H592" s="320">
        <f t="shared" si="20"/>
        <v>100</v>
      </c>
      <c r="I592" s="149" t="str">
        <f t="shared" si="19"/>
        <v>07020930080010244</v>
      </c>
    </row>
    <row r="593" spans="1:9" ht="114.75">
      <c r="A593" s="54" t="s">
        <v>1822</v>
      </c>
      <c r="B593" s="272" t="s">
        <v>252</v>
      </c>
      <c r="C593" s="272" t="s">
        <v>515</v>
      </c>
      <c r="D593" s="272" t="s">
        <v>1823</v>
      </c>
      <c r="E593" s="273"/>
      <c r="F593" s="320">
        <v>5000</v>
      </c>
      <c r="G593" s="470">
        <v>4280</v>
      </c>
      <c r="H593" s="320">
        <f t="shared" si="20"/>
        <v>85.6</v>
      </c>
      <c r="I593" s="149" t="str">
        <f t="shared" si="19"/>
        <v>070209300S3980</v>
      </c>
    </row>
    <row r="594" spans="1:9" ht="38.25">
      <c r="A594" s="54" t="s">
        <v>445</v>
      </c>
      <c r="B594" s="272" t="s">
        <v>252</v>
      </c>
      <c r="C594" s="272" t="s">
        <v>515</v>
      </c>
      <c r="D594" s="272" t="s">
        <v>1823</v>
      </c>
      <c r="E594" s="273" t="s">
        <v>446</v>
      </c>
      <c r="F594" s="320">
        <v>5000</v>
      </c>
      <c r="G594" s="470">
        <v>4280</v>
      </c>
      <c r="H594" s="320">
        <f t="shared" si="20"/>
        <v>85.6</v>
      </c>
      <c r="I594" s="149" t="str">
        <f t="shared" si="19"/>
        <v>070209300S3980244</v>
      </c>
    </row>
    <row r="595" spans="1:9">
      <c r="A595" s="54" t="s">
        <v>1442</v>
      </c>
      <c r="B595" s="272" t="s">
        <v>252</v>
      </c>
      <c r="C595" s="272" t="s">
        <v>1443</v>
      </c>
      <c r="D595" s="272"/>
      <c r="E595" s="273"/>
      <c r="F595" s="320">
        <v>36728372.170000002</v>
      </c>
      <c r="G595" s="470">
        <v>34620513.159999996</v>
      </c>
      <c r="H595" s="320">
        <f t="shared" si="20"/>
        <v>94.260951723524187</v>
      </c>
      <c r="I595" s="149" t="str">
        <f t="shared" si="19"/>
        <v>0703</v>
      </c>
    </row>
    <row r="596" spans="1:9" ht="114.75">
      <c r="A596" s="54" t="s">
        <v>1902</v>
      </c>
      <c r="B596" s="272" t="s">
        <v>252</v>
      </c>
      <c r="C596" s="272" t="s">
        <v>1443</v>
      </c>
      <c r="D596" s="272" t="s">
        <v>1903</v>
      </c>
      <c r="E596" s="273"/>
      <c r="F596" s="320">
        <v>643000</v>
      </c>
      <c r="G596" s="470">
        <v>621201.97</v>
      </c>
      <c r="H596" s="320">
        <f t="shared" si="20"/>
        <v>96.609948678071532</v>
      </c>
      <c r="I596" s="149" t="str">
        <f t="shared" si="19"/>
        <v>07030110010420</v>
      </c>
    </row>
    <row r="597" spans="1:9">
      <c r="A597" s="54" t="s">
        <v>1603</v>
      </c>
      <c r="B597" s="272" t="s">
        <v>252</v>
      </c>
      <c r="C597" s="272" t="s">
        <v>1443</v>
      </c>
      <c r="D597" s="272" t="s">
        <v>1903</v>
      </c>
      <c r="E597" s="273" t="s">
        <v>460</v>
      </c>
      <c r="F597" s="320">
        <v>361751</v>
      </c>
      <c r="G597" s="470">
        <v>342848.01</v>
      </c>
      <c r="H597" s="320">
        <f t="shared" si="20"/>
        <v>94.774585281035854</v>
      </c>
      <c r="I597" s="149" t="str">
        <f t="shared" si="19"/>
        <v>07030110010420111</v>
      </c>
    </row>
    <row r="598" spans="1:9" ht="51">
      <c r="A598" s="54" t="s">
        <v>1604</v>
      </c>
      <c r="B598" s="272" t="s">
        <v>252</v>
      </c>
      <c r="C598" s="272" t="s">
        <v>1443</v>
      </c>
      <c r="D598" s="272" t="s">
        <v>1903</v>
      </c>
      <c r="E598" s="273" t="s">
        <v>1290</v>
      </c>
      <c r="F598" s="320">
        <v>109249</v>
      </c>
      <c r="G598" s="470">
        <v>106353.96</v>
      </c>
      <c r="H598" s="320">
        <f t="shared" si="20"/>
        <v>97.35005354740089</v>
      </c>
      <c r="I598" s="149" t="str">
        <f t="shared" si="19"/>
        <v>07030110010420119</v>
      </c>
    </row>
    <row r="599" spans="1:9" ht="63.75">
      <c r="A599" s="54" t="s">
        <v>465</v>
      </c>
      <c r="B599" s="272" t="s">
        <v>252</v>
      </c>
      <c r="C599" s="272" t="s">
        <v>1443</v>
      </c>
      <c r="D599" s="272" t="s">
        <v>1903</v>
      </c>
      <c r="E599" s="273" t="s">
        <v>466</v>
      </c>
      <c r="F599" s="320">
        <v>172000</v>
      </c>
      <c r="G599" s="470">
        <v>172000</v>
      </c>
      <c r="H599" s="320">
        <f t="shared" si="20"/>
        <v>100</v>
      </c>
      <c r="I599" s="149" t="str">
        <f t="shared" si="19"/>
        <v>07030110010420611</v>
      </c>
    </row>
    <row r="600" spans="1:9" ht="114.75">
      <c r="A600" s="54" t="s">
        <v>534</v>
      </c>
      <c r="B600" s="272" t="s">
        <v>252</v>
      </c>
      <c r="C600" s="272" t="s">
        <v>1443</v>
      </c>
      <c r="D600" s="272" t="s">
        <v>963</v>
      </c>
      <c r="E600" s="273"/>
      <c r="F600" s="320">
        <v>28249488.149999999</v>
      </c>
      <c r="G600" s="470">
        <v>27205548.59</v>
      </c>
      <c r="H600" s="320">
        <f t="shared" si="20"/>
        <v>96.304571769736654</v>
      </c>
      <c r="I600" s="149" t="str">
        <f t="shared" si="19"/>
        <v>07030110040030</v>
      </c>
    </row>
    <row r="601" spans="1:9">
      <c r="A601" s="54" t="s">
        <v>1603</v>
      </c>
      <c r="B601" s="272" t="s">
        <v>252</v>
      </c>
      <c r="C601" s="272" t="s">
        <v>1443</v>
      </c>
      <c r="D601" s="272" t="s">
        <v>963</v>
      </c>
      <c r="E601" s="273" t="s">
        <v>460</v>
      </c>
      <c r="F601" s="320">
        <v>12513586.109999999</v>
      </c>
      <c r="G601" s="470">
        <v>12303273.460000001</v>
      </c>
      <c r="H601" s="320">
        <f t="shared" si="20"/>
        <v>98.319325506283676</v>
      </c>
      <c r="I601" s="149" t="str">
        <f t="shared" si="19"/>
        <v>07030110040030111</v>
      </c>
    </row>
    <row r="602" spans="1:9" ht="25.5">
      <c r="A602" s="54" t="s">
        <v>1617</v>
      </c>
      <c r="B602" s="272" t="s">
        <v>252</v>
      </c>
      <c r="C602" s="272" t="s">
        <v>1443</v>
      </c>
      <c r="D602" s="272" t="s">
        <v>963</v>
      </c>
      <c r="E602" s="273" t="s">
        <v>509</v>
      </c>
      <c r="F602" s="320">
        <v>160365.48000000001</v>
      </c>
      <c r="G602" s="470">
        <v>160365.48000000001</v>
      </c>
      <c r="H602" s="320">
        <f t="shared" si="20"/>
        <v>100</v>
      </c>
      <c r="I602" s="149" t="str">
        <f t="shared" si="19"/>
        <v>07030110040030112</v>
      </c>
    </row>
    <row r="603" spans="1:9" ht="51">
      <c r="A603" s="54" t="s">
        <v>1604</v>
      </c>
      <c r="B603" s="272" t="s">
        <v>252</v>
      </c>
      <c r="C603" s="272" t="s">
        <v>1443</v>
      </c>
      <c r="D603" s="272" t="s">
        <v>963</v>
      </c>
      <c r="E603" s="273" t="s">
        <v>1290</v>
      </c>
      <c r="F603" s="320">
        <v>3720817.9</v>
      </c>
      <c r="G603" s="470">
        <v>3645312.57</v>
      </c>
      <c r="H603" s="320">
        <f t="shared" si="20"/>
        <v>97.970732993947379</v>
      </c>
      <c r="I603" s="149" t="str">
        <f t="shared" si="19"/>
        <v>07030110040030119</v>
      </c>
    </row>
    <row r="604" spans="1:9" ht="38.25">
      <c r="A604" s="54" t="s">
        <v>445</v>
      </c>
      <c r="B604" s="272" t="s">
        <v>252</v>
      </c>
      <c r="C604" s="272" t="s">
        <v>1443</v>
      </c>
      <c r="D604" s="272" t="s">
        <v>963</v>
      </c>
      <c r="E604" s="273" t="s">
        <v>446</v>
      </c>
      <c r="F604" s="320">
        <v>778085.76</v>
      </c>
      <c r="G604" s="470">
        <v>762885.26</v>
      </c>
      <c r="H604" s="320">
        <f t="shared" si="20"/>
        <v>98.046423571612465</v>
      </c>
      <c r="I604" s="149" t="str">
        <f t="shared" si="19"/>
        <v>07030110040030244</v>
      </c>
    </row>
    <row r="605" spans="1:9" ht="63.75">
      <c r="A605" s="54" t="s">
        <v>465</v>
      </c>
      <c r="B605" s="272" t="s">
        <v>252</v>
      </c>
      <c r="C605" s="272" t="s">
        <v>1443</v>
      </c>
      <c r="D605" s="272" t="s">
        <v>963</v>
      </c>
      <c r="E605" s="273" t="s">
        <v>466</v>
      </c>
      <c r="F605" s="320">
        <v>11076432</v>
      </c>
      <c r="G605" s="470">
        <v>10333512.939999999</v>
      </c>
      <c r="H605" s="320">
        <f t="shared" si="20"/>
        <v>93.292794466665796</v>
      </c>
      <c r="I605" s="149" t="str">
        <f t="shared" si="19"/>
        <v>07030110040030611</v>
      </c>
    </row>
    <row r="606" spans="1:9">
      <c r="A606" s="54" t="s">
        <v>1293</v>
      </c>
      <c r="B606" s="272" t="s">
        <v>252</v>
      </c>
      <c r="C606" s="272" t="s">
        <v>1443</v>
      </c>
      <c r="D606" s="272" t="s">
        <v>963</v>
      </c>
      <c r="E606" s="273" t="s">
        <v>1294</v>
      </c>
      <c r="F606" s="320">
        <v>200.9</v>
      </c>
      <c r="G606" s="470">
        <v>198.88</v>
      </c>
      <c r="H606" s="320">
        <f t="shared" si="20"/>
        <v>98.994524639123938</v>
      </c>
      <c r="I606" s="149" t="str">
        <f t="shared" si="19"/>
        <v>07030110040030853</v>
      </c>
    </row>
    <row r="607" spans="1:9" ht="165.75">
      <c r="A607" s="54" t="s">
        <v>741</v>
      </c>
      <c r="B607" s="272" t="s">
        <v>252</v>
      </c>
      <c r="C607" s="272" t="s">
        <v>1443</v>
      </c>
      <c r="D607" s="272" t="s">
        <v>964</v>
      </c>
      <c r="E607" s="273"/>
      <c r="F607" s="320">
        <v>3125700</v>
      </c>
      <c r="G607" s="470">
        <v>2925635.65</v>
      </c>
      <c r="H607" s="320">
        <f t="shared" si="20"/>
        <v>93.599374540103014</v>
      </c>
      <c r="I607" s="149" t="str">
        <f t="shared" si="19"/>
        <v>07030110041030</v>
      </c>
    </row>
    <row r="608" spans="1:9">
      <c r="A608" s="54" t="s">
        <v>1603</v>
      </c>
      <c r="B608" s="272" t="s">
        <v>252</v>
      </c>
      <c r="C608" s="272" t="s">
        <v>1443</v>
      </c>
      <c r="D608" s="272" t="s">
        <v>964</v>
      </c>
      <c r="E608" s="273" t="s">
        <v>460</v>
      </c>
      <c r="F608" s="320">
        <v>1839800</v>
      </c>
      <c r="G608" s="470">
        <v>1752129.18</v>
      </c>
      <c r="H608" s="320">
        <f t="shared" si="20"/>
        <v>95.234763561256656</v>
      </c>
      <c r="I608" s="149" t="str">
        <f t="shared" si="19"/>
        <v>07030110041030111</v>
      </c>
    </row>
    <row r="609" spans="1:9" ht="51">
      <c r="A609" s="54" t="s">
        <v>1604</v>
      </c>
      <c r="B609" s="272" t="s">
        <v>252</v>
      </c>
      <c r="C609" s="272" t="s">
        <v>1443</v>
      </c>
      <c r="D609" s="272" t="s">
        <v>964</v>
      </c>
      <c r="E609" s="273" t="s">
        <v>1290</v>
      </c>
      <c r="F609" s="320">
        <v>590600</v>
      </c>
      <c r="G609" s="470">
        <v>501044.8</v>
      </c>
      <c r="H609" s="320">
        <f t="shared" si="20"/>
        <v>84.836572976633931</v>
      </c>
      <c r="I609" s="149" t="str">
        <f t="shared" si="19"/>
        <v>07030110041030119</v>
      </c>
    </row>
    <row r="610" spans="1:9" ht="63.75">
      <c r="A610" s="54" t="s">
        <v>465</v>
      </c>
      <c r="B610" s="272" t="s">
        <v>252</v>
      </c>
      <c r="C610" s="272" t="s">
        <v>1443</v>
      </c>
      <c r="D610" s="272" t="s">
        <v>964</v>
      </c>
      <c r="E610" s="273" t="s">
        <v>466</v>
      </c>
      <c r="F610" s="320">
        <v>695300</v>
      </c>
      <c r="G610" s="470">
        <v>672461.67</v>
      </c>
      <c r="H610" s="320">
        <f t="shared" si="20"/>
        <v>96.715327196893426</v>
      </c>
      <c r="I610" s="149" t="str">
        <f t="shared" si="19"/>
        <v>07030110041030611</v>
      </c>
    </row>
    <row r="611" spans="1:9" ht="140.25">
      <c r="A611" s="54" t="s">
        <v>742</v>
      </c>
      <c r="B611" s="272" t="s">
        <v>252</v>
      </c>
      <c r="C611" s="272" t="s">
        <v>1443</v>
      </c>
      <c r="D611" s="272" t="s">
        <v>965</v>
      </c>
      <c r="E611" s="273"/>
      <c r="F611" s="320">
        <v>209532</v>
      </c>
      <c r="G611" s="470">
        <v>114315.97</v>
      </c>
      <c r="H611" s="320">
        <f t="shared" si="20"/>
        <v>54.557762060210379</v>
      </c>
      <c r="I611" s="149" t="str">
        <f t="shared" si="19"/>
        <v>07030110045030</v>
      </c>
    </row>
    <row r="612" spans="1:9">
      <c r="A612" s="54" t="s">
        <v>1603</v>
      </c>
      <c r="B612" s="272" t="s">
        <v>252</v>
      </c>
      <c r="C612" s="272" t="s">
        <v>1443</v>
      </c>
      <c r="D612" s="272" t="s">
        <v>965</v>
      </c>
      <c r="E612" s="273" t="s">
        <v>460</v>
      </c>
      <c r="F612" s="320">
        <v>13404</v>
      </c>
      <c r="G612" s="470">
        <v>12446.81</v>
      </c>
      <c r="H612" s="320">
        <f t="shared" si="20"/>
        <v>92.858922709638918</v>
      </c>
      <c r="I612" s="149" t="str">
        <f t="shared" si="19"/>
        <v>07030110045030111</v>
      </c>
    </row>
    <row r="613" spans="1:9" ht="51">
      <c r="A613" s="54" t="s">
        <v>1604</v>
      </c>
      <c r="B613" s="272" t="s">
        <v>252</v>
      </c>
      <c r="C613" s="272" t="s">
        <v>1443</v>
      </c>
      <c r="D613" s="272" t="s">
        <v>965</v>
      </c>
      <c r="E613" s="273" t="s">
        <v>1290</v>
      </c>
      <c r="F613" s="320">
        <v>4048</v>
      </c>
      <c r="G613" s="470">
        <v>3471.63</v>
      </c>
      <c r="H613" s="320">
        <f t="shared" si="20"/>
        <v>85.761610671936765</v>
      </c>
      <c r="I613" s="149" t="str">
        <f t="shared" si="19"/>
        <v>07030110045030119</v>
      </c>
    </row>
    <row r="614" spans="1:9" ht="63.75">
      <c r="A614" s="54" t="s">
        <v>465</v>
      </c>
      <c r="B614" s="272" t="s">
        <v>252</v>
      </c>
      <c r="C614" s="272" t="s">
        <v>1443</v>
      </c>
      <c r="D614" s="272" t="s">
        <v>965</v>
      </c>
      <c r="E614" s="273" t="s">
        <v>466</v>
      </c>
      <c r="F614" s="320">
        <v>192080</v>
      </c>
      <c r="G614" s="470">
        <v>98397.53</v>
      </c>
      <c r="H614" s="320">
        <f t="shared" si="20"/>
        <v>51.227368804664721</v>
      </c>
      <c r="I614" s="149" t="str">
        <f t="shared" si="19"/>
        <v>07030110045030611</v>
      </c>
    </row>
    <row r="615" spans="1:9" ht="127.5">
      <c r="A615" s="54" t="s">
        <v>744</v>
      </c>
      <c r="B615" s="272" t="s">
        <v>252</v>
      </c>
      <c r="C615" s="272" t="s">
        <v>1443</v>
      </c>
      <c r="D615" s="272" t="s">
        <v>968</v>
      </c>
      <c r="E615" s="273"/>
      <c r="F615" s="320">
        <v>357407.53</v>
      </c>
      <c r="G615" s="470">
        <v>357407.53</v>
      </c>
      <c r="H615" s="320">
        <f t="shared" si="20"/>
        <v>100</v>
      </c>
      <c r="I615" s="149" t="str">
        <f t="shared" si="19"/>
        <v>07030110047030</v>
      </c>
    </row>
    <row r="616" spans="1:9" ht="25.5">
      <c r="A616" s="54" t="s">
        <v>1617</v>
      </c>
      <c r="B616" s="272" t="s">
        <v>252</v>
      </c>
      <c r="C616" s="272" t="s">
        <v>1443</v>
      </c>
      <c r="D616" s="272" t="s">
        <v>968</v>
      </c>
      <c r="E616" s="273" t="s">
        <v>509</v>
      </c>
      <c r="F616" s="320">
        <v>318110.93</v>
      </c>
      <c r="G616" s="470">
        <v>318110.93</v>
      </c>
      <c r="H616" s="320">
        <f t="shared" si="20"/>
        <v>100</v>
      </c>
      <c r="I616" s="149" t="str">
        <f t="shared" ref="I616:I679" si="21">CONCATENATE(C616,D616,E616)</f>
        <v>07030110047030112</v>
      </c>
    </row>
    <row r="617" spans="1:9" ht="25.5">
      <c r="A617" s="54" t="s">
        <v>484</v>
      </c>
      <c r="B617" s="272" t="s">
        <v>252</v>
      </c>
      <c r="C617" s="272" t="s">
        <v>1443</v>
      </c>
      <c r="D617" s="272" t="s">
        <v>968</v>
      </c>
      <c r="E617" s="273" t="s">
        <v>485</v>
      </c>
      <c r="F617" s="320">
        <v>39296.6</v>
      </c>
      <c r="G617" s="470">
        <v>39296.6</v>
      </c>
      <c r="H617" s="320">
        <f t="shared" si="20"/>
        <v>100</v>
      </c>
      <c r="I617" s="149" t="str">
        <f t="shared" si="21"/>
        <v>07030110047030612</v>
      </c>
    </row>
    <row r="618" spans="1:9" ht="127.5">
      <c r="A618" s="54" t="s">
        <v>746</v>
      </c>
      <c r="B618" s="272" t="s">
        <v>252</v>
      </c>
      <c r="C618" s="272" t="s">
        <v>1443</v>
      </c>
      <c r="D618" s="272" t="s">
        <v>969</v>
      </c>
      <c r="E618" s="273"/>
      <c r="F618" s="320">
        <v>2118944.4900000002</v>
      </c>
      <c r="G618" s="470">
        <v>1644187.76</v>
      </c>
      <c r="H618" s="320">
        <f t="shared" si="20"/>
        <v>77.594659405164492</v>
      </c>
      <c r="I618" s="149" t="str">
        <f t="shared" si="21"/>
        <v>0703011004Г030</v>
      </c>
    </row>
    <row r="619" spans="1:9" ht="38.25">
      <c r="A619" s="54" t="s">
        <v>445</v>
      </c>
      <c r="B619" s="272" t="s">
        <v>252</v>
      </c>
      <c r="C619" s="272" t="s">
        <v>1443</v>
      </c>
      <c r="D619" s="272" t="s">
        <v>969</v>
      </c>
      <c r="E619" s="273" t="s">
        <v>446</v>
      </c>
      <c r="F619" s="320">
        <v>936920.49</v>
      </c>
      <c r="G619" s="470">
        <v>781885.42</v>
      </c>
      <c r="H619" s="320">
        <f t="shared" si="20"/>
        <v>83.452697250756046</v>
      </c>
      <c r="I619" s="149" t="str">
        <f t="shared" si="21"/>
        <v>0703011004Г030244</v>
      </c>
    </row>
    <row r="620" spans="1:9" ht="63.75">
      <c r="A620" s="54" t="s">
        <v>465</v>
      </c>
      <c r="B620" s="272" t="s">
        <v>252</v>
      </c>
      <c r="C620" s="272" t="s">
        <v>1443</v>
      </c>
      <c r="D620" s="272" t="s">
        <v>969</v>
      </c>
      <c r="E620" s="273" t="s">
        <v>466</v>
      </c>
      <c r="F620" s="320">
        <v>1182024</v>
      </c>
      <c r="G620" s="470">
        <v>862302.34</v>
      </c>
      <c r="H620" s="320">
        <f t="shared" si="20"/>
        <v>72.951339397507994</v>
      </c>
      <c r="I620" s="149" t="str">
        <f t="shared" si="21"/>
        <v>0703011004Г030611</v>
      </c>
    </row>
    <row r="621" spans="1:9" ht="76.5">
      <c r="A621" s="54" t="s">
        <v>1767</v>
      </c>
      <c r="B621" s="272" t="s">
        <v>252</v>
      </c>
      <c r="C621" s="272" t="s">
        <v>1443</v>
      </c>
      <c r="D621" s="272" t="s">
        <v>1768</v>
      </c>
      <c r="E621" s="273"/>
      <c r="F621" s="320">
        <v>800</v>
      </c>
      <c r="G621" s="470">
        <v>800</v>
      </c>
      <c r="H621" s="320">
        <f t="shared" si="20"/>
        <v>100</v>
      </c>
      <c r="I621" s="149" t="str">
        <f t="shared" si="21"/>
        <v>0703011004Ф000</v>
      </c>
    </row>
    <row r="622" spans="1:9" ht="38.25">
      <c r="A622" s="54" t="s">
        <v>445</v>
      </c>
      <c r="B622" s="272" t="s">
        <v>252</v>
      </c>
      <c r="C622" s="272" t="s">
        <v>1443</v>
      </c>
      <c r="D622" s="272" t="s">
        <v>1768</v>
      </c>
      <c r="E622" s="273" t="s">
        <v>446</v>
      </c>
      <c r="F622" s="320">
        <v>800</v>
      </c>
      <c r="G622" s="470">
        <v>800</v>
      </c>
      <c r="H622" s="320">
        <f t="shared" si="20"/>
        <v>100</v>
      </c>
      <c r="I622" s="149" t="str">
        <f t="shared" si="21"/>
        <v>0703011004Ф000244</v>
      </c>
    </row>
    <row r="623" spans="1:9" ht="114.75">
      <c r="A623" s="54" t="s">
        <v>1189</v>
      </c>
      <c r="B623" s="272" t="s">
        <v>252</v>
      </c>
      <c r="C623" s="272" t="s">
        <v>1443</v>
      </c>
      <c r="D623" s="272" t="s">
        <v>1190</v>
      </c>
      <c r="E623" s="273"/>
      <c r="F623" s="320">
        <v>384720</v>
      </c>
      <c r="G623" s="470">
        <v>382055.69</v>
      </c>
      <c r="H623" s="320">
        <f t="shared" si="20"/>
        <v>99.307467768766898</v>
      </c>
      <c r="I623" s="149" t="str">
        <f t="shared" si="21"/>
        <v>0703011004Э030</v>
      </c>
    </row>
    <row r="624" spans="1:9" ht="38.25">
      <c r="A624" s="54" t="s">
        <v>445</v>
      </c>
      <c r="B624" s="272" t="s">
        <v>252</v>
      </c>
      <c r="C624" s="272" t="s">
        <v>1443</v>
      </c>
      <c r="D624" s="272" t="s">
        <v>1190</v>
      </c>
      <c r="E624" s="273" t="s">
        <v>446</v>
      </c>
      <c r="F624" s="320">
        <v>269380</v>
      </c>
      <c r="G624" s="470">
        <v>269380</v>
      </c>
      <c r="H624" s="320">
        <f t="shared" si="20"/>
        <v>100</v>
      </c>
      <c r="I624" s="149" t="str">
        <f t="shared" si="21"/>
        <v>0703011004Э030244</v>
      </c>
    </row>
    <row r="625" spans="1:9" ht="63.75">
      <c r="A625" s="54" t="s">
        <v>465</v>
      </c>
      <c r="B625" s="272" t="s">
        <v>252</v>
      </c>
      <c r="C625" s="272" t="s">
        <v>1443</v>
      </c>
      <c r="D625" s="272" t="s">
        <v>1190</v>
      </c>
      <c r="E625" s="273" t="s">
        <v>466</v>
      </c>
      <c r="F625" s="320">
        <v>115340</v>
      </c>
      <c r="G625" s="470">
        <v>112675.69</v>
      </c>
      <c r="H625" s="320">
        <f t="shared" si="20"/>
        <v>97.690038148083929</v>
      </c>
      <c r="I625" s="149" t="str">
        <f t="shared" si="21"/>
        <v>0703011004Э030611</v>
      </c>
    </row>
    <row r="626" spans="1:9" ht="114.75">
      <c r="A626" s="54" t="s">
        <v>2010</v>
      </c>
      <c r="B626" s="272" t="s">
        <v>252</v>
      </c>
      <c r="C626" s="272" t="s">
        <v>1443</v>
      </c>
      <c r="D626" s="272" t="s">
        <v>2011</v>
      </c>
      <c r="E626" s="273"/>
      <c r="F626" s="320">
        <v>361780</v>
      </c>
      <c r="G626" s="470">
        <v>161780</v>
      </c>
      <c r="H626" s="320">
        <f t="shared" si="20"/>
        <v>44.717784288794292</v>
      </c>
      <c r="I626" s="149" t="str">
        <f t="shared" si="21"/>
        <v>07030110077440</v>
      </c>
    </row>
    <row r="627" spans="1:9" ht="38.25">
      <c r="A627" s="54" t="s">
        <v>445</v>
      </c>
      <c r="B627" s="272" t="s">
        <v>252</v>
      </c>
      <c r="C627" s="272" t="s">
        <v>1443</v>
      </c>
      <c r="D627" s="272" t="s">
        <v>2011</v>
      </c>
      <c r="E627" s="273" t="s">
        <v>446</v>
      </c>
      <c r="F627" s="320">
        <v>161780</v>
      </c>
      <c r="G627" s="470">
        <v>161780</v>
      </c>
      <c r="H627" s="320">
        <f t="shared" si="20"/>
        <v>100</v>
      </c>
      <c r="I627" s="149" t="str">
        <f t="shared" si="21"/>
        <v>07030110077440244</v>
      </c>
    </row>
    <row r="628" spans="1:9" ht="25.5">
      <c r="A628" s="54" t="s">
        <v>484</v>
      </c>
      <c r="B628" s="272" t="s">
        <v>252</v>
      </c>
      <c r="C628" s="272" t="s">
        <v>1443</v>
      </c>
      <c r="D628" s="272" t="s">
        <v>2011</v>
      </c>
      <c r="E628" s="273" t="s">
        <v>485</v>
      </c>
      <c r="F628" s="320">
        <v>200000</v>
      </c>
      <c r="G628" s="470">
        <v>0</v>
      </c>
      <c r="H628" s="320">
        <f t="shared" si="20"/>
        <v>0</v>
      </c>
      <c r="I628" s="149" t="str">
        <f t="shared" si="21"/>
        <v>07030110077440612</v>
      </c>
    </row>
    <row r="629" spans="1:9" ht="76.5">
      <c r="A629" s="54" t="s">
        <v>531</v>
      </c>
      <c r="B629" s="272" t="s">
        <v>252</v>
      </c>
      <c r="C629" s="272" t="s">
        <v>1443</v>
      </c>
      <c r="D629" s="272" t="s">
        <v>970</v>
      </c>
      <c r="E629" s="273"/>
      <c r="F629" s="320">
        <v>1277000</v>
      </c>
      <c r="G629" s="470">
        <v>1207580</v>
      </c>
      <c r="H629" s="320">
        <f t="shared" si="20"/>
        <v>94.563821456538761</v>
      </c>
      <c r="I629" s="149" t="str">
        <f t="shared" si="21"/>
        <v>07030110080020</v>
      </c>
    </row>
    <row r="630" spans="1:9" ht="38.25">
      <c r="A630" s="54" t="s">
        <v>445</v>
      </c>
      <c r="B630" s="272" t="s">
        <v>252</v>
      </c>
      <c r="C630" s="272" t="s">
        <v>1443</v>
      </c>
      <c r="D630" s="272" t="s">
        <v>970</v>
      </c>
      <c r="E630" s="273" t="s">
        <v>446</v>
      </c>
      <c r="F630" s="320">
        <v>83000</v>
      </c>
      <c r="G630" s="470">
        <v>80580</v>
      </c>
      <c r="H630" s="320">
        <f t="shared" si="20"/>
        <v>97.084337349397586</v>
      </c>
      <c r="I630" s="149" t="str">
        <f t="shared" si="21"/>
        <v>07030110080020244</v>
      </c>
    </row>
    <row r="631" spans="1:9" ht="25.5">
      <c r="A631" s="54" t="s">
        <v>484</v>
      </c>
      <c r="B631" s="272" t="s">
        <v>252</v>
      </c>
      <c r="C631" s="272" t="s">
        <v>1443</v>
      </c>
      <c r="D631" s="272" t="s">
        <v>970</v>
      </c>
      <c r="E631" s="273" t="s">
        <v>485</v>
      </c>
      <c r="F631" s="320">
        <v>1194000</v>
      </c>
      <c r="G631" s="470">
        <v>1127000</v>
      </c>
      <c r="H631" s="320">
        <f t="shared" si="20"/>
        <v>94.388609715242879</v>
      </c>
      <c r="I631" s="149" t="str">
        <f t="shared" si="21"/>
        <v>07030110080020612</v>
      </c>
    </row>
    <row r="632" spans="1:9">
      <c r="A632" s="54" t="s">
        <v>1440</v>
      </c>
      <c r="B632" s="272" t="s">
        <v>252</v>
      </c>
      <c r="C632" s="272" t="s">
        <v>483</v>
      </c>
      <c r="D632" s="272"/>
      <c r="E632" s="273"/>
      <c r="F632" s="320">
        <v>11432413.210000001</v>
      </c>
      <c r="G632" s="470">
        <v>10660683.48</v>
      </c>
      <c r="H632" s="320">
        <f t="shared" si="20"/>
        <v>93.249634037676628</v>
      </c>
      <c r="I632" s="149" t="str">
        <f t="shared" si="21"/>
        <v>0707</v>
      </c>
    </row>
    <row r="633" spans="1:9" ht="127.5">
      <c r="A633" s="54" t="s">
        <v>537</v>
      </c>
      <c r="B633" s="272" t="s">
        <v>252</v>
      </c>
      <c r="C633" s="272" t="s">
        <v>483</v>
      </c>
      <c r="D633" s="272" t="s">
        <v>976</v>
      </c>
      <c r="E633" s="273"/>
      <c r="F633" s="320">
        <v>877000</v>
      </c>
      <c r="G633" s="470">
        <v>471432.72</v>
      </c>
      <c r="H633" s="320">
        <f t="shared" si="20"/>
        <v>53.755156214367162</v>
      </c>
      <c r="I633" s="149" t="str">
        <f t="shared" si="21"/>
        <v>07070110040040</v>
      </c>
    </row>
    <row r="634" spans="1:9" ht="63.75">
      <c r="A634" s="54" t="s">
        <v>465</v>
      </c>
      <c r="B634" s="272" t="s">
        <v>252</v>
      </c>
      <c r="C634" s="272" t="s">
        <v>483</v>
      </c>
      <c r="D634" s="272" t="s">
        <v>976</v>
      </c>
      <c r="E634" s="273" t="s">
        <v>466</v>
      </c>
      <c r="F634" s="320">
        <v>877000</v>
      </c>
      <c r="G634" s="470">
        <v>471432.72</v>
      </c>
      <c r="H634" s="320">
        <f t="shared" si="20"/>
        <v>53.755156214367162</v>
      </c>
      <c r="I634" s="149" t="str">
        <f t="shared" si="21"/>
        <v>07070110040040611</v>
      </c>
    </row>
    <row r="635" spans="1:9" ht="165.75">
      <c r="A635" s="54" t="s">
        <v>538</v>
      </c>
      <c r="B635" s="272" t="s">
        <v>252</v>
      </c>
      <c r="C635" s="272" t="s">
        <v>483</v>
      </c>
      <c r="D635" s="272" t="s">
        <v>977</v>
      </c>
      <c r="E635" s="273"/>
      <c r="F635" s="320">
        <v>661560</v>
      </c>
      <c r="G635" s="470">
        <v>469268.67</v>
      </c>
      <c r="H635" s="320">
        <f t="shared" si="20"/>
        <v>70.933652276437513</v>
      </c>
      <c r="I635" s="149" t="str">
        <f t="shared" si="21"/>
        <v>07070110041040</v>
      </c>
    </row>
    <row r="636" spans="1:9" ht="63.75">
      <c r="A636" s="54" t="s">
        <v>465</v>
      </c>
      <c r="B636" s="272" t="s">
        <v>252</v>
      </c>
      <c r="C636" s="272" t="s">
        <v>483</v>
      </c>
      <c r="D636" s="272" t="s">
        <v>977</v>
      </c>
      <c r="E636" s="273" t="s">
        <v>466</v>
      </c>
      <c r="F636" s="320">
        <v>661560</v>
      </c>
      <c r="G636" s="470">
        <v>469268.67</v>
      </c>
      <c r="H636" s="320">
        <f t="shared" si="20"/>
        <v>70.933652276437513</v>
      </c>
      <c r="I636" s="149" t="str">
        <f t="shared" si="21"/>
        <v>07070110041040611</v>
      </c>
    </row>
    <row r="637" spans="1:9" ht="140.25">
      <c r="A637" s="54" t="s">
        <v>1622</v>
      </c>
      <c r="B637" s="272" t="s">
        <v>252</v>
      </c>
      <c r="C637" s="272" t="s">
        <v>483</v>
      </c>
      <c r="D637" s="272" t="s">
        <v>1623</v>
      </c>
      <c r="E637" s="273"/>
      <c r="F637" s="320">
        <v>45000</v>
      </c>
      <c r="G637" s="470">
        <v>28989.54</v>
      </c>
      <c r="H637" s="320">
        <f t="shared" si="20"/>
        <v>64.421199999999999</v>
      </c>
      <c r="I637" s="149" t="str">
        <f t="shared" si="21"/>
        <v>0707011004Г040</v>
      </c>
    </row>
    <row r="638" spans="1:9" ht="63.75">
      <c r="A638" s="54" t="s">
        <v>465</v>
      </c>
      <c r="B638" s="272" t="s">
        <v>252</v>
      </c>
      <c r="C638" s="272" t="s">
        <v>483</v>
      </c>
      <c r="D638" s="272" t="s">
        <v>1623</v>
      </c>
      <c r="E638" s="273" t="s">
        <v>466</v>
      </c>
      <c r="F638" s="320">
        <v>45000</v>
      </c>
      <c r="G638" s="470">
        <v>28989.54</v>
      </c>
      <c r="H638" s="320">
        <f t="shared" si="20"/>
        <v>64.421199999999999</v>
      </c>
      <c r="I638" s="149" t="str">
        <f t="shared" si="21"/>
        <v>0707011004Г040611</v>
      </c>
    </row>
    <row r="639" spans="1:9" ht="114.75">
      <c r="A639" s="54" t="s">
        <v>1624</v>
      </c>
      <c r="B639" s="272" t="s">
        <v>252</v>
      </c>
      <c r="C639" s="272" t="s">
        <v>483</v>
      </c>
      <c r="D639" s="272" t="s">
        <v>1625</v>
      </c>
      <c r="E639" s="273"/>
      <c r="F639" s="320">
        <v>307860</v>
      </c>
      <c r="G639" s="470">
        <v>150000</v>
      </c>
      <c r="H639" s="320">
        <f t="shared" si="20"/>
        <v>48.723445722081465</v>
      </c>
      <c r="I639" s="149" t="str">
        <f t="shared" si="21"/>
        <v>0707011004Э040</v>
      </c>
    </row>
    <row r="640" spans="1:9" ht="63.75">
      <c r="A640" s="54" t="s">
        <v>465</v>
      </c>
      <c r="B640" s="272" t="s">
        <v>252</v>
      </c>
      <c r="C640" s="272" t="s">
        <v>483</v>
      </c>
      <c r="D640" s="272" t="s">
        <v>1625</v>
      </c>
      <c r="E640" s="273" t="s">
        <v>466</v>
      </c>
      <c r="F640" s="320">
        <v>307860</v>
      </c>
      <c r="G640" s="470">
        <v>150000</v>
      </c>
      <c r="H640" s="320">
        <f t="shared" si="20"/>
        <v>48.723445722081465</v>
      </c>
      <c r="I640" s="149" t="str">
        <f t="shared" si="21"/>
        <v>0707011004Э040611</v>
      </c>
    </row>
    <row r="641" spans="1:9" ht="76.5">
      <c r="A641" s="54" t="s">
        <v>1312</v>
      </c>
      <c r="B641" s="272" t="s">
        <v>252</v>
      </c>
      <c r="C641" s="272" t="s">
        <v>483</v>
      </c>
      <c r="D641" s="272" t="s">
        <v>1313</v>
      </c>
      <c r="E641" s="273"/>
      <c r="F641" s="320">
        <v>6423600</v>
      </c>
      <c r="G641" s="470">
        <v>6423599.8200000003</v>
      </c>
      <c r="H641" s="320">
        <f t="shared" si="20"/>
        <v>99.999997197832997</v>
      </c>
      <c r="I641" s="149" t="str">
        <f t="shared" si="21"/>
        <v>07070110073970</v>
      </c>
    </row>
    <row r="642" spans="1:9" ht="38.25">
      <c r="A642" s="54" t="s">
        <v>445</v>
      </c>
      <c r="B642" s="272" t="s">
        <v>252</v>
      </c>
      <c r="C642" s="272" t="s">
        <v>483</v>
      </c>
      <c r="D642" s="272" t="s">
        <v>1313</v>
      </c>
      <c r="E642" s="273" t="s">
        <v>446</v>
      </c>
      <c r="F642" s="320">
        <v>4548700</v>
      </c>
      <c r="G642" s="470">
        <v>4548699.82</v>
      </c>
      <c r="H642" s="320">
        <f t="shared" si="20"/>
        <v>99.99999604282543</v>
      </c>
      <c r="I642" s="149" t="str">
        <f t="shared" si="21"/>
        <v>07070110073970244</v>
      </c>
    </row>
    <row r="643" spans="1:9" ht="63.75">
      <c r="A643" s="54" t="s">
        <v>465</v>
      </c>
      <c r="B643" s="272" t="s">
        <v>252</v>
      </c>
      <c r="C643" s="272" t="s">
        <v>483</v>
      </c>
      <c r="D643" s="272" t="s">
        <v>1313</v>
      </c>
      <c r="E643" s="273" t="s">
        <v>466</v>
      </c>
      <c r="F643" s="320">
        <v>1874900</v>
      </c>
      <c r="G643" s="470">
        <v>1874900</v>
      </c>
      <c r="H643" s="320">
        <f t="shared" si="20"/>
        <v>100</v>
      </c>
      <c r="I643" s="149" t="str">
        <f t="shared" si="21"/>
        <v>07070110073970611</v>
      </c>
    </row>
    <row r="644" spans="1:9" ht="89.25">
      <c r="A644" s="54" t="s">
        <v>982</v>
      </c>
      <c r="B644" s="272" t="s">
        <v>252</v>
      </c>
      <c r="C644" s="272" t="s">
        <v>483</v>
      </c>
      <c r="D644" s="272" t="s">
        <v>983</v>
      </c>
      <c r="E644" s="273"/>
      <c r="F644" s="320">
        <v>2915402</v>
      </c>
      <c r="G644" s="470">
        <v>2915401.52</v>
      </c>
      <c r="H644" s="320">
        <f t="shared" si="20"/>
        <v>99.999983535718229</v>
      </c>
      <c r="I644" s="149" t="str">
        <f t="shared" si="21"/>
        <v>070701100S3970</v>
      </c>
    </row>
    <row r="645" spans="1:9" ht="38.25">
      <c r="A645" s="54" t="s">
        <v>445</v>
      </c>
      <c r="B645" s="272" t="s">
        <v>252</v>
      </c>
      <c r="C645" s="272" t="s">
        <v>483</v>
      </c>
      <c r="D645" s="272" t="s">
        <v>983</v>
      </c>
      <c r="E645" s="273" t="s">
        <v>446</v>
      </c>
      <c r="F645" s="320">
        <v>1949543.84</v>
      </c>
      <c r="G645" s="470">
        <v>1949543.36</v>
      </c>
      <c r="H645" s="320">
        <f t="shared" si="20"/>
        <v>99.999975378855808</v>
      </c>
      <c r="I645" s="149" t="str">
        <f t="shared" si="21"/>
        <v>070701100S3970244</v>
      </c>
    </row>
    <row r="646" spans="1:9" ht="63.75">
      <c r="A646" s="54" t="s">
        <v>465</v>
      </c>
      <c r="B646" s="272" t="s">
        <v>252</v>
      </c>
      <c r="C646" s="272" t="s">
        <v>483</v>
      </c>
      <c r="D646" s="272" t="s">
        <v>983</v>
      </c>
      <c r="E646" s="273" t="s">
        <v>466</v>
      </c>
      <c r="F646" s="320">
        <v>965858.16</v>
      </c>
      <c r="G646" s="470">
        <v>965858.16</v>
      </c>
      <c r="H646" s="320">
        <f t="shared" si="20"/>
        <v>100</v>
      </c>
      <c r="I646" s="149" t="str">
        <f t="shared" si="21"/>
        <v>070701100S3970611</v>
      </c>
    </row>
    <row r="647" spans="1:9" ht="76.5">
      <c r="A647" s="54" t="s">
        <v>776</v>
      </c>
      <c r="B647" s="272" t="s">
        <v>252</v>
      </c>
      <c r="C647" s="272" t="s">
        <v>483</v>
      </c>
      <c r="D647" s="272" t="s">
        <v>1588</v>
      </c>
      <c r="E647" s="273"/>
      <c r="F647" s="320">
        <v>61668.79</v>
      </c>
      <c r="G647" s="470">
        <v>61668.79</v>
      </c>
      <c r="H647" s="320">
        <f t="shared" ref="H647:H710" si="22">G647/F647*100</f>
        <v>100</v>
      </c>
      <c r="I647" s="149" t="str">
        <f t="shared" si="21"/>
        <v>07070130080000</v>
      </c>
    </row>
    <row r="648" spans="1:9">
      <c r="A648" s="54" t="s">
        <v>1603</v>
      </c>
      <c r="B648" s="272" t="s">
        <v>252</v>
      </c>
      <c r="C648" s="272" t="s">
        <v>483</v>
      </c>
      <c r="D648" s="272" t="s">
        <v>1588</v>
      </c>
      <c r="E648" s="273" t="s">
        <v>460</v>
      </c>
      <c r="F648" s="320">
        <v>47108.21</v>
      </c>
      <c r="G648" s="470">
        <v>47108.21</v>
      </c>
      <c r="H648" s="320">
        <f t="shared" si="22"/>
        <v>100</v>
      </c>
      <c r="I648" s="149" t="str">
        <f t="shared" si="21"/>
        <v>07070130080000111</v>
      </c>
    </row>
    <row r="649" spans="1:9" ht="51">
      <c r="A649" s="54" t="s">
        <v>1604</v>
      </c>
      <c r="B649" s="272" t="s">
        <v>252</v>
      </c>
      <c r="C649" s="272" t="s">
        <v>483</v>
      </c>
      <c r="D649" s="272" t="s">
        <v>1588</v>
      </c>
      <c r="E649" s="273" t="s">
        <v>1290</v>
      </c>
      <c r="F649" s="320">
        <v>12860.58</v>
      </c>
      <c r="G649" s="470">
        <v>12860.58</v>
      </c>
      <c r="H649" s="320">
        <f t="shared" si="22"/>
        <v>100</v>
      </c>
      <c r="I649" s="149" t="str">
        <f t="shared" si="21"/>
        <v>07070130080000119</v>
      </c>
    </row>
    <row r="650" spans="1:9" ht="38.25">
      <c r="A650" s="54" t="s">
        <v>445</v>
      </c>
      <c r="B650" s="272" t="s">
        <v>252</v>
      </c>
      <c r="C650" s="272" t="s">
        <v>483</v>
      </c>
      <c r="D650" s="272" t="s">
        <v>1588</v>
      </c>
      <c r="E650" s="273" t="s">
        <v>446</v>
      </c>
      <c r="F650" s="320">
        <v>1700</v>
      </c>
      <c r="G650" s="470">
        <v>1700</v>
      </c>
      <c r="H650" s="320">
        <f t="shared" si="22"/>
        <v>100</v>
      </c>
      <c r="I650" s="149" t="str">
        <f t="shared" si="21"/>
        <v>07070130080000244</v>
      </c>
    </row>
    <row r="651" spans="1:9" ht="89.25">
      <c r="A651" s="54" t="s">
        <v>777</v>
      </c>
      <c r="B651" s="272" t="s">
        <v>252</v>
      </c>
      <c r="C651" s="272" t="s">
        <v>483</v>
      </c>
      <c r="D651" s="272" t="s">
        <v>1589</v>
      </c>
      <c r="E651" s="273"/>
      <c r="F651" s="320">
        <v>140322.42000000001</v>
      </c>
      <c r="G651" s="470">
        <v>140322.42000000001</v>
      </c>
      <c r="H651" s="320">
        <f t="shared" si="22"/>
        <v>100</v>
      </c>
      <c r="I651" s="149" t="str">
        <f t="shared" si="21"/>
        <v>0707013008П000</v>
      </c>
    </row>
    <row r="652" spans="1:9" ht="38.25">
      <c r="A652" s="54" t="s">
        <v>445</v>
      </c>
      <c r="B652" s="272" t="s">
        <v>252</v>
      </c>
      <c r="C652" s="272" t="s">
        <v>483</v>
      </c>
      <c r="D652" s="272" t="s">
        <v>1589</v>
      </c>
      <c r="E652" s="273" t="s">
        <v>446</v>
      </c>
      <c r="F652" s="320">
        <v>140322.42000000001</v>
      </c>
      <c r="G652" s="470">
        <v>140322.42000000001</v>
      </c>
      <c r="H652" s="320">
        <f t="shared" si="22"/>
        <v>100</v>
      </c>
      <c r="I652" s="149" t="str">
        <f t="shared" si="21"/>
        <v>0707013008П000244</v>
      </c>
    </row>
    <row r="653" spans="1:9">
      <c r="A653" s="54" t="s">
        <v>4</v>
      </c>
      <c r="B653" s="272" t="s">
        <v>252</v>
      </c>
      <c r="C653" s="272" t="s">
        <v>540</v>
      </c>
      <c r="D653" s="272"/>
      <c r="E653" s="273"/>
      <c r="F653" s="320">
        <v>43194991.079999998</v>
      </c>
      <c r="G653" s="470">
        <v>42028803.140000001</v>
      </c>
      <c r="H653" s="320">
        <f t="shared" si="22"/>
        <v>97.300177842750017</v>
      </c>
      <c r="I653" s="149" t="str">
        <f t="shared" si="21"/>
        <v>0709</v>
      </c>
    </row>
    <row r="654" spans="1:9" ht="76.5">
      <c r="A654" s="54" t="s">
        <v>531</v>
      </c>
      <c r="B654" s="272" t="s">
        <v>252</v>
      </c>
      <c r="C654" s="272" t="s">
        <v>540</v>
      </c>
      <c r="D654" s="272" t="s">
        <v>970</v>
      </c>
      <c r="E654" s="273"/>
      <c r="F654" s="320">
        <v>25088</v>
      </c>
      <c r="G654" s="470">
        <v>0</v>
      </c>
      <c r="H654" s="320">
        <f t="shared" si="22"/>
        <v>0</v>
      </c>
      <c r="I654" s="149" t="str">
        <f t="shared" si="21"/>
        <v>07090110080020</v>
      </c>
    </row>
    <row r="655" spans="1:9" ht="38.25">
      <c r="A655" s="54" t="s">
        <v>445</v>
      </c>
      <c r="B655" s="272" t="s">
        <v>252</v>
      </c>
      <c r="C655" s="272" t="s">
        <v>540</v>
      </c>
      <c r="D655" s="272" t="s">
        <v>970</v>
      </c>
      <c r="E655" s="273" t="s">
        <v>446</v>
      </c>
      <c r="F655" s="320">
        <v>25088</v>
      </c>
      <c r="G655" s="470">
        <v>0</v>
      </c>
      <c r="H655" s="320">
        <f t="shared" si="22"/>
        <v>0</v>
      </c>
      <c r="I655" s="149" t="str">
        <f t="shared" si="21"/>
        <v>07090110080020244</v>
      </c>
    </row>
    <row r="656" spans="1:9" ht="102">
      <c r="A656" s="54" t="s">
        <v>541</v>
      </c>
      <c r="B656" s="272" t="s">
        <v>252</v>
      </c>
      <c r="C656" s="272" t="s">
        <v>540</v>
      </c>
      <c r="D656" s="272" t="s">
        <v>1587</v>
      </c>
      <c r="E656" s="273"/>
      <c r="F656" s="320">
        <v>1362700</v>
      </c>
      <c r="G656" s="470">
        <v>1232150.6399999999</v>
      </c>
      <c r="H656" s="320">
        <f t="shared" si="22"/>
        <v>90.419801863946574</v>
      </c>
      <c r="I656" s="149" t="str">
        <f t="shared" si="21"/>
        <v>07090120075520</v>
      </c>
    </row>
    <row r="657" spans="1:9" ht="25.5">
      <c r="A657" s="54" t="s">
        <v>1165</v>
      </c>
      <c r="B657" s="272" t="s">
        <v>252</v>
      </c>
      <c r="C657" s="272" t="s">
        <v>540</v>
      </c>
      <c r="D657" s="272" t="s">
        <v>1587</v>
      </c>
      <c r="E657" s="273" t="s">
        <v>440</v>
      </c>
      <c r="F657" s="320">
        <v>741928</v>
      </c>
      <c r="G657" s="470">
        <v>741638.54</v>
      </c>
      <c r="H657" s="320">
        <f t="shared" si="22"/>
        <v>99.960985432548725</v>
      </c>
      <c r="I657" s="149" t="str">
        <f t="shared" si="21"/>
        <v>07090120075520121</v>
      </c>
    </row>
    <row r="658" spans="1:9" ht="38.25">
      <c r="A658" s="54" t="s">
        <v>441</v>
      </c>
      <c r="B658" s="272" t="s">
        <v>252</v>
      </c>
      <c r="C658" s="272" t="s">
        <v>540</v>
      </c>
      <c r="D658" s="272" t="s">
        <v>1587</v>
      </c>
      <c r="E658" s="273" t="s">
        <v>442</v>
      </c>
      <c r="F658" s="320">
        <v>59254.239999999998</v>
      </c>
      <c r="G658" s="470">
        <v>37958.800000000003</v>
      </c>
      <c r="H658" s="320">
        <f t="shared" si="22"/>
        <v>64.06090095831118</v>
      </c>
      <c r="I658" s="149" t="str">
        <f t="shared" si="21"/>
        <v>07090120075520122</v>
      </c>
    </row>
    <row r="659" spans="1:9" ht="51">
      <c r="A659" s="54" t="s">
        <v>1288</v>
      </c>
      <c r="B659" s="272" t="s">
        <v>252</v>
      </c>
      <c r="C659" s="272" t="s">
        <v>540</v>
      </c>
      <c r="D659" s="272" t="s">
        <v>1587</v>
      </c>
      <c r="E659" s="273" t="s">
        <v>1289</v>
      </c>
      <c r="F659" s="320">
        <v>224062</v>
      </c>
      <c r="G659" s="470">
        <v>215072.54</v>
      </c>
      <c r="H659" s="320">
        <f t="shared" si="22"/>
        <v>95.987958690005442</v>
      </c>
      <c r="I659" s="149" t="str">
        <f t="shared" si="21"/>
        <v>07090120075520129</v>
      </c>
    </row>
    <row r="660" spans="1:9" ht="38.25">
      <c r="A660" s="54" t="s">
        <v>445</v>
      </c>
      <c r="B660" s="272" t="s">
        <v>252</v>
      </c>
      <c r="C660" s="272" t="s">
        <v>540</v>
      </c>
      <c r="D660" s="272" t="s">
        <v>1587</v>
      </c>
      <c r="E660" s="273" t="s">
        <v>446</v>
      </c>
      <c r="F660" s="320">
        <v>337455.76</v>
      </c>
      <c r="G660" s="470">
        <v>237480.76</v>
      </c>
      <c r="H660" s="320">
        <f t="shared" si="22"/>
        <v>70.373894343957858</v>
      </c>
      <c r="I660" s="149" t="str">
        <f t="shared" si="21"/>
        <v>07090120075520244</v>
      </c>
    </row>
    <row r="661" spans="1:9" ht="178.5">
      <c r="A661" s="54" t="s">
        <v>1904</v>
      </c>
      <c r="B661" s="272" t="s">
        <v>252</v>
      </c>
      <c r="C661" s="272" t="s">
        <v>540</v>
      </c>
      <c r="D661" s="272" t="s">
        <v>1905</v>
      </c>
      <c r="E661" s="273"/>
      <c r="F661" s="320">
        <v>434100</v>
      </c>
      <c r="G661" s="470">
        <v>424439.27</v>
      </c>
      <c r="H661" s="320">
        <f t="shared" si="22"/>
        <v>97.774538124856022</v>
      </c>
      <c r="I661" s="149" t="str">
        <f t="shared" si="21"/>
        <v>07090130010450</v>
      </c>
    </row>
    <row r="662" spans="1:9">
      <c r="A662" s="54" t="s">
        <v>1603</v>
      </c>
      <c r="B662" s="272" t="s">
        <v>252</v>
      </c>
      <c r="C662" s="272" t="s">
        <v>540</v>
      </c>
      <c r="D662" s="272" t="s">
        <v>1905</v>
      </c>
      <c r="E662" s="273" t="s">
        <v>460</v>
      </c>
      <c r="F662" s="320">
        <v>333410</v>
      </c>
      <c r="G662" s="470">
        <v>333105.33</v>
      </c>
      <c r="H662" s="320">
        <f t="shared" si="22"/>
        <v>99.908620017396004</v>
      </c>
      <c r="I662" s="149" t="str">
        <f t="shared" si="21"/>
        <v>07090130010450111</v>
      </c>
    </row>
    <row r="663" spans="1:9" ht="51">
      <c r="A663" s="54" t="s">
        <v>1604</v>
      </c>
      <c r="B663" s="272" t="s">
        <v>252</v>
      </c>
      <c r="C663" s="272" t="s">
        <v>540</v>
      </c>
      <c r="D663" s="272" t="s">
        <v>1905</v>
      </c>
      <c r="E663" s="273" t="s">
        <v>1290</v>
      </c>
      <c r="F663" s="320">
        <v>100690</v>
      </c>
      <c r="G663" s="470">
        <v>91333.94</v>
      </c>
      <c r="H663" s="320">
        <f t="shared" si="22"/>
        <v>90.708054424471158</v>
      </c>
      <c r="I663" s="149" t="str">
        <f t="shared" si="21"/>
        <v>07090130010450119</v>
      </c>
    </row>
    <row r="664" spans="1:9" ht="89.25">
      <c r="A664" s="54" t="s">
        <v>778</v>
      </c>
      <c r="B664" s="272" t="s">
        <v>252</v>
      </c>
      <c r="C664" s="272" t="s">
        <v>540</v>
      </c>
      <c r="D664" s="272" t="s">
        <v>1590</v>
      </c>
      <c r="E664" s="273"/>
      <c r="F664" s="320">
        <v>33188114.190000001</v>
      </c>
      <c r="G664" s="470">
        <v>32727591.760000002</v>
      </c>
      <c r="H664" s="320">
        <f t="shared" si="22"/>
        <v>98.612387472926187</v>
      </c>
      <c r="I664" s="149" t="str">
        <f t="shared" si="21"/>
        <v>07090130040000</v>
      </c>
    </row>
    <row r="665" spans="1:9">
      <c r="A665" s="54" t="s">
        <v>1603</v>
      </c>
      <c r="B665" s="272" t="s">
        <v>252</v>
      </c>
      <c r="C665" s="272" t="s">
        <v>540</v>
      </c>
      <c r="D665" s="272" t="s">
        <v>1590</v>
      </c>
      <c r="E665" s="273" t="s">
        <v>460</v>
      </c>
      <c r="F665" s="320">
        <v>21688000</v>
      </c>
      <c r="G665" s="470">
        <v>21687983.789999999</v>
      </c>
      <c r="H665" s="320">
        <f t="shared" si="22"/>
        <v>99.999925258207298</v>
      </c>
      <c r="I665" s="149" t="str">
        <f t="shared" si="21"/>
        <v>07090130040000111</v>
      </c>
    </row>
    <row r="666" spans="1:9" ht="25.5">
      <c r="A666" s="54" t="s">
        <v>1617</v>
      </c>
      <c r="B666" s="272" t="s">
        <v>252</v>
      </c>
      <c r="C666" s="272" t="s">
        <v>540</v>
      </c>
      <c r="D666" s="272" t="s">
        <v>1590</v>
      </c>
      <c r="E666" s="273" t="s">
        <v>509</v>
      </c>
      <c r="F666" s="320">
        <v>280439</v>
      </c>
      <c r="G666" s="470">
        <v>259681.4</v>
      </c>
      <c r="H666" s="320">
        <f t="shared" si="22"/>
        <v>92.598176430524987</v>
      </c>
      <c r="I666" s="149" t="str">
        <f t="shared" si="21"/>
        <v>07090130040000112</v>
      </c>
    </row>
    <row r="667" spans="1:9" ht="51">
      <c r="A667" s="54" t="s">
        <v>1604</v>
      </c>
      <c r="B667" s="272" t="s">
        <v>252</v>
      </c>
      <c r="C667" s="272" t="s">
        <v>540</v>
      </c>
      <c r="D667" s="272" t="s">
        <v>1590</v>
      </c>
      <c r="E667" s="273" t="s">
        <v>1290</v>
      </c>
      <c r="F667" s="320">
        <v>6544446.3600000003</v>
      </c>
      <c r="G667" s="470">
        <v>6525059.8600000003</v>
      </c>
      <c r="H667" s="320">
        <f t="shared" si="22"/>
        <v>99.703771733564949</v>
      </c>
      <c r="I667" s="149" t="str">
        <f t="shared" si="21"/>
        <v>07090130040000119</v>
      </c>
    </row>
    <row r="668" spans="1:9" ht="38.25">
      <c r="A668" s="54" t="s">
        <v>461</v>
      </c>
      <c r="B668" s="272" t="s">
        <v>252</v>
      </c>
      <c r="C668" s="272" t="s">
        <v>540</v>
      </c>
      <c r="D668" s="272" t="s">
        <v>1590</v>
      </c>
      <c r="E668" s="273" t="s">
        <v>462</v>
      </c>
      <c r="F668" s="320">
        <v>127241</v>
      </c>
      <c r="G668" s="470">
        <v>127241</v>
      </c>
      <c r="H668" s="320">
        <f t="shared" si="22"/>
        <v>100</v>
      </c>
      <c r="I668" s="149" t="str">
        <f t="shared" si="21"/>
        <v>07090130040000243</v>
      </c>
    </row>
    <row r="669" spans="1:9" ht="38.25">
      <c r="A669" s="54" t="s">
        <v>445</v>
      </c>
      <c r="B669" s="272" t="s">
        <v>252</v>
      </c>
      <c r="C669" s="272" t="s">
        <v>540</v>
      </c>
      <c r="D669" s="272" t="s">
        <v>1590</v>
      </c>
      <c r="E669" s="273" t="s">
        <v>446</v>
      </c>
      <c r="F669" s="320">
        <v>4517338.5599999996</v>
      </c>
      <c r="G669" s="470">
        <v>4098076.44</v>
      </c>
      <c r="H669" s="320">
        <f t="shared" si="22"/>
        <v>90.718824492977575</v>
      </c>
      <c r="I669" s="149" t="str">
        <f t="shared" si="21"/>
        <v>07090130040000244</v>
      </c>
    </row>
    <row r="670" spans="1:9" ht="38.25">
      <c r="A670" s="54" t="s">
        <v>1758</v>
      </c>
      <c r="B670" s="272" t="s">
        <v>252</v>
      </c>
      <c r="C670" s="272" t="s">
        <v>540</v>
      </c>
      <c r="D670" s="272" t="s">
        <v>1590</v>
      </c>
      <c r="E670" s="273" t="s">
        <v>552</v>
      </c>
      <c r="F670" s="320">
        <v>14219.63</v>
      </c>
      <c r="G670" s="470">
        <v>14219.63</v>
      </c>
      <c r="H670" s="320">
        <f t="shared" si="22"/>
        <v>100</v>
      </c>
      <c r="I670" s="149" t="str">
        <f t="shared" si="21"/>
        <v>07090130040000831</v>
      </c>
    </row>
    <row r="671" spans="1:9">
      <c r="A671" s="54" t="s">
        <v>1168</v>
      </c>
      <c r="B671" s="272" t="s">
        <v>252</v>
      </c>
      <c r="C671" s="272" t="s">
        <v>540</v>
      </c>
      <c r="D671" s="272" t="s">
        <v>1590</v>
      </c>
      <c r="E671" s="273" t="s">
        <v>626</v>
      </c>
      <c r="F671" s="320">
        <v>1600</v>
      </c>
      <c r="G671" s="470">
        <v>1600</v>
      </c>
      <c r="H671" s="320">
        <f t="shared" si="22"/>
        <v>100</v>
      </c>
      <c r="I671" s="149" t="str">
        <f t="shared" si="21"/>
        <v>07090130040000852</v>
      </c>
    </row>
    <row r="672" spans="1:9">
      <c r="A672" s="54" t="s">
        <v>1293</v>
      </c>
      <c r="B672" s="272" t="s">
        <v>252</v>
      </c>
      <c r="C672" s="272" t="s">
        <v>540</v>
      </c>
      <c r="D672" s="272" t="s">
        <v>1590</v>
      </c>
      <c r="E672" s="273" t="s">
        <v>1294</v>
      </c>
      <c r="F672" s="320">
        <v>14829.64</v>
      </c>
      <c r="G672" s="470">
        <v>13729.64</v>
      </c>
      <c r="H672" s="320">
        <f t="shared" si="22"/>
        <v>92.582422769534517</v>
      </c>
      <c r="I672" s="149" t="str">
        <f t="shared" si="21"/>
        <v>07090130040000853</v>
      </c>
    </row>
    <row r="673" spans="1:9" ht="89.25">
      <c r="A673" s="54" t="s">
        <v>779</v>
      </c>
      <c r="B673" s="272" t="s">
        <v>252</v>
      </c>
      <c r="C673" s="272" t="s">
        <v>540</v>
      </c>
      <c r="D673" s="272" t="s">
        <v>1596</v>
      </c>
      <c r="E673" s="273"/>
      <c r="F673" s="320">
        <v>613367</v>
      </c>
      <c r="G673" s="470">
        <v>603571.11</v>
      </c>
      <c r="H673" s="320">
        <f t="shared" si="22"/>
        <v>98.402931686901965</v>
      </c>
      <c r="I673" s="149" t="str">
        <f t="shared" si="21"/>
        <v>07090130040050</v>
      </c>
    </row>
    <row r="674" spans="1:9">
      <c r="A674" s="54" t="s">
        <v>1603</v>
      </c>
      <c r="B674" s="272" t="s">
        <v>252</v>
      </c>
      <c r="C674" s="272" t="s">
        <v>540</v>
      </c>
      <c r="D674" s="272" t="s">
        <v>1596</v>
      </c>
      <c r="E674" s="273" t="s">
        <v>460</v>
      </c>
      <c r="F674" s="320">
        <v>471096</v>
      </c>
      <c r="G674" s="470">
        <v>468635.64</v>
      </c>
      <c r="H674" s="320">
        <f t="shared" si="22"/>
        <v>99.477737021753526</v>
      </c>
      <c r="I674" s="149" t="str">
        <f t="shared" si="21"/>
        <v>07090130040050111</v>
      </c>
    </row>
    <row r="675" spans="1:9" ht="51">
      <c r="A675" s="54" t="s">
        <v>1604</v>
      </c>
      <c r="B675" s="272" t="s">
        <v>252</v>
      </c>
      <c r="C675" s="272" t="s">
        <v>540</v>
      </c>
      <c r="D675" s="272" t="s">
        <v>1596</v>
      </c>
      <c r="E675" s="273" t="s">
        <v>1290</v>
      </c>
      <c r="F675" s="320">
        <v>142271</v>
      </c>
      <c r="G675" s="470">
        <v>134935.47</v>
      </c>
      <c r="H675" s="320">
        <f t="shared" si="22"/>
        <v>94.843973824602344</v>
      </c>
      <c r="I675" s="149" t="str">
        <f t="shared" si="21"/>
        <v>07090130040050119</v>
      </c>
    </row>
    <row r="676" spans="1:9" ht="114.75">
      <c r="A676" s="54" t="s">
        <v>792</v>
      </c>
      <c r="B676" s="272" t="s">
        <v>252</v>
      </c>
      <c r="C676" s="272" t="s">
        <v>540</v>
      </c>
      <c r="D676" s="272" t="s">
        <v>1591</v>
      </c>
      <c r="E676" s="273"/>
      <c r="F676" s="320">
        <v>1060000</v>
      </c>
      <c r="G676" s="470">
        <v>934898.79</v>
      </c>
      <c r="H676" s="320">
        <f t="shared" si="22"/>
        <v>88.197999056603777</v>
      </c>
      <c r="I676" s="149" t="str">
        <f t="shared" si="21"/>
        <v>07090130041000</v>
      </c>
    </row>
    <row r="677" spans="1:9">
      <c r="A677" s="54" t="s">
        <v>1603</v>
      </c>
      <c r="B677" s="272" t="s">
        <v>252</v>
      </c>
      <c r="C677" s="272" t="s">
        <v>540</v>
      </c>
      <c r="D677" s="272" t="s">
        <v>1591</v>
      </c>
      <c r="E677" s="273" t="s">
        <v>460</v>
      </c>
      <c r="F677" s="320">
        <v>815000</v>
      </c>
      <c r="G677" s="470">
        <v>722675.89</v>
      </c>
      <c r="H677" s="320">
        <f t="shared" si="22"/>
        <v>88.67188834355828</v>
      </c>
      <c r="I677" s="149" t="str">
        <f t="shared" si="21"/>
        <v>07090130041000111</v>
      </c>
    </row>
    <row r="678" spans="1:9" ht="51">
      <c r="A678" s="54" t="s">
        <v>1604</v>
      </c>
      <c r="B678" s="272" t="s">
        <v>252</v>
      </c>
      <c r="C678" s="272" t="s">
        <v>540</v>
      </c>
      <c r="D678" s="272" t="s">
        <v>1591</v>
      </c>
      <c r="E678" s="273" t="s">
        <v>1290</v>
      </c>
      <c r="F678" s="320">
        <v>245000</v>
      </c>
      <c r="G678" s="470">
        <v>212222.9</v>
      </c>
      <c r="H678" s="320">
        <f t="shared" si="22"/>
        <v>86.621591836734694</v>
      </c>
      <c r="I678" s="149" t="str">
        <f t="shared" si="21"/>
        <v>07090130041000119</v>
      </c>
    </row>
    <row r="679" spans="1:9" ht="102">
      <c r="A679" s="54" t="s">
        <v>780</v>
      </c>
      <c r="B679" s="272" t="s">
        <v>252</v>
      </c>
      <c r="C679" s="272" t="s">
        <v>540</v>
      </c>
      <c r="D679" s="272" t="s">
        <v>1592</v>
      </c>
      <c r="E679" s="273"/>
      <c r="F679" s="320">
        <v>349589.37</v>
      </c>
      <c r="G679" s="470">
        <v>349589.37</v>
      </c>
      <c r="H679" s="320">
        <f t="shared" si="22"/>
        <v>100</v>
      </c>
      <c r="I679" s="149" t="str">
        <f t="shared" si="21"/>
        <v>07090130047000</v>
      </c>
    </row>
    <row r="680" spans="1:9" ht="25.5">
      <c r="A680" s="54" t="s">
        <v>1617</v>
      </c>
      <c r="B680" s="272" t="s">
        <v>252</v>
      </c>
      <c r="C680" s="272" t="s">
        <v>540</v>
      </c>
      <c r="D680" s="272" t="s">
        <v>1592</v>
      </c>
      <c r="E680" s="273" t="s">
        <v>509</v>
      </c>
      <c r="F680" s="320">
        <v>349589.37</v>
      </c>
      <c r="G680" s="470">
        <v>349589.37</v>
      </c>
      <c r="H680" s="320">
        <f t="shared" si="22"/>
        <v>100</v>
      </c>
      <c r="I680" s="149" t="str">
        <f t="shared" ref="I680:I743" si="23">CONCATENATE(C680,D680,E680)</f>
        <v>07090130047000112</v>
      </c>
    </row>
    <row r="681" spans="1:9" ht="89.25">
      <c r="A681" s="54" t="s">
        <v>781</v>
      </c>
      <c r="B681" s="272" t="s">
        <v>252</v>
      </c>
      <c r="C681" s="272" t="s">
        <v>540</v>
      </c>
      <c r="D681" s="272" t="s">
        <v>1593</v>
      </c>
      <c r="E681" s="273"/>
      <c r="F681" s="320">
        <v>161802.51999999999</v>
      </c>
      <c r="G681" s="470">
        <v>114632.99</v>
      </c>
      <c r="H681" s="320">
        <f t="shared" si="22"/>
        <v>70.847468877493398</v>
      </c>
      <c r="I681" s="149" t="str">
        <f t="shared" si="23"/>
        <v>0709013004Г000</v>
      </c>
    </row>
    <row r="682" spans="1:9" ht="38.25">
      <c r="A682" s="54" t="s">
        <v>445</v>
      </c>
      <c r="B682" s="272" t="s">
        <v>252</v>
      </c>
      <c r="C682" s="272" t="s">
        <v>540</v>
      </c>
      <c r="D682" s="272" t="s">
        <v>1593</v>
      </c>
      <c r="E682" s="273" t="s">
        <v>446</v>
      </c>
      <c r="F682" s="320">
        <v>161802.51999999999</v>
      </c>
      <c r="G682" s="470">
        <v>114632.99</v>
      </c>
      <c r="H682" s="320">
        <f t="shared" si="22"/>
        <v>70.847468877493398</v>
      </c>
      <c r="I682" s="149" t="str">
        <f t="shared" si="23"/>
        <v>0709013004Г000244</v>
      </c>
    </row>
    <row r="683" spans="1:9" ht="76.5">
      <c r="A683" s="54" t="s">
        <v>1192</v>
      </c>
      <c r="B683" s="272" t="s">
        <v>252</v>
      </c>
      <c r="C683" s="272" t="s">
        <v>540</v>
      </c>
      <c r="D683" s="272" t="s">
        <v>1626</v>
      </c>
      <c r="E683" s="273"/>
      <c r="F683" s="320">
        <v>1142000</v>
      </c>
      <c r="G683" s="470">
        <v>1141640</v>
      </c>
      <c r="H683" s="320">
        <f t="shared" si="22"/>
        <v>99.96847635726796</v>
      </c>
      <c r="I683" s="149" t="str">
        <f t="shared" si="23"/>
        <v>0709013004Э000</v>
      </c>
    </row>
    <row r="684" spans="1:9" ht="38.25">
      <c r="A684" s="54" t="s">
        <v>445</v>
      </c>
      <c r="B684" s="272" t="s">
        <v>252</v>
      </c>
      <c r="C684" s="272" t="s">
        <v>540</v>
      </c>
      <c r="D684" s="272" t="s">
        <v>1626</v>
      </c>
      <c r="E684" s="273" t="s">
        <v>446</v>
      </c>
      <c r="F684" s="320">
        <v>1142000</v>
      </c>
      <c r="G684" s="470">
        <v>1141640</v>
      </c>
      <c r="H684" s="320">
        <f t="shared" si="22"/>
        <v>99.96847635726796</v>
      </c>
      <c r="I684" s="149" t="str">
        <f t="shared" si="23"/>
        <v>0709013004Э000244</v>
      </c>
    </row>
    <row r="685" spans="1:9" ht="89.25">
      <c r="A685" s="54" t="s">
        <v>782</v>
      </c>
      <c r="B685" s="272" t="s">
        <v>252</v>
      </c>
      <c r="C685" s="272" t="s">
        <v>540</v>
      </c>
      <c r="D685" s="272" t="s">
        <v>1594</v>
      </c>
      <c r="E685" s="273"/>
      <c r="F685" s="320">
        <v>4433230</v>
      </c>
      <c r="G685" s="470">
        <v>4238759.21</v>
      </c>
      <c r="H685" s="320">
        <f t="shared" si="22"/>
        <v>95.61333858157596</v>
      </c>
      <c r="I685" s="149" t="str">
        <f t="shared" si="23"/>
        <v>07090130060000</v>
      </c>
    </row>
    <row r="686" spans="1:9" ht="25.5">
      <c r="A686" s="54" t="s">
        <v>1165</v>
      </c>
      <c r="B686" s="272" t="s">
        <v>252</v>
      </c>
      <c r="C686" s="272" t="s">
        <v>540</v>
      </c>
      <c r="D686" s="272" t="s">
        <v>1594</v>
      </c>
      <c r="E686" s="273" t="s">
        <v>440</v>
      </c>
      <c r="F686" s="320">
        <v>3198410</v>
      </c>
      <c r="G686" s="470">
        <v>3197364.29</v>
      </c>
      <c r="H686" s="320">
        <f t="shared" si="22"/>
        <v>99.967305317329547</v>
      </c>
      <c r="I686" s="149" t="str">
        <f t="shared" si="23"/>
        <v>07090130060000121</v>
      </c>
    </row>
    <row r="687" spans="1:9" ht="38.25">
      <c r="A687" s="54" t="s">
        <v>441</v>
      </c>
      <c r="B687" s="272" t="s">
        <v>252</v>
      </c>
      <c r="C687" s="272" t="s">
        <v>540</v>
      </c>
      <c r="D687" s="272" t="s">
        <v>1594</v>
      </c>
      <c r="E687" s="273" t="s">
        <v>442</v>
      </c>
      <c r="F687" s="320">
        <v>80000</v>
      </c>
      <c r="G687" s="470">
        <v>79097.52</v>
      </c>
      <c r="H687" s="320">
        <f t="shared" si="22"/>
        <v>98.871899999999997</v>
      </c>
      <c r="I687" s="149" t="str">
        <f t="shared" si="23"/>
        <v>07090130060000122</v>
      </c>
    </row>
    <row r="688" spans="1:9" ht="51">
      <c r="A688" s="54" t="s">
        <v>1288</v>
      </c>
      <c r="B688" s="272" t="s">
        <v>252</v>
      </c>
      <c r="C688" s="272" t="s">
        <v>540</v>
      </c>
      <c r="D688" s="272" t="s">
        <v>1594</v>
      </c>
      <c r="E688" s="273" t="s">
        <v>1289</v>
      </c>
      <c r="F688" s="320">
        <v>965920</v>
      </c>
      <c r="G688" s="470">
        <v>909987.4</v>
      </c>
      <c r="H688" s="320">
        <f t="shared" si="22"/>
        <v>94.209396223289716</v>
      </c>
      <c r="I688" s="149" t="str">
        <f t="shared" si="23"/>
        <v>07090130060000129</v>
      </c>
    </row>
    <row r="689" spans="1:9" ht="38.25">
      <c r="A689" s="54" t="s">
        <v>445</v>
      </c>
      <c r="B689" s="272" t="s">
        <v>252</v>
      </c>
      <c r="C689" s="272" t="s">
        <v>540</v>
      </c>
      <c r="D689" s="272" t="s">
        <v>1594</v>
      </c>
      <c r="E689" s="273" t="s">
        <v>446</v>
      </c>
      <c r="F689" s="320">
        <v>188900</v>
      </c>
      <c r="G689" s="470">
        <v>52310</v>
      </c>
      <c r="H689" s="320">
        <f t="shared" si="22"/>
        <v>27.691900476442559</v>
      </c>
      <c r="I689" s="149" t="str">
        <f t="shared" si="23"/>
        <v>07090130060000244</v>
      </c>
    </row>
    <row r="690" spans="1:9" ht="114.75">
      <c r="A690" s="54" t="s">
        <v>783</v>
      </c>
      <c r="B690" s="272" t="s">
        <v>252</v>
      </c>
      <c r="C690" s="272" t="s">
        <v>540</v>
      </c>
      <c r="D690" s="272" t="s">
        <v>1595</v>
      </c>
      <c r="E690" s="273"/>
      <c r="F690" s="320">
        <v>50000</v>
      </c>
      <c r="G690" s="470">
        <v>38519</v>
      </c>
      <c r="H690" s="320">
        <f t="shared" si="22"/>
        <v>77.037999999999997</v>
      </c>
      <c r="I690" s="149" t="str">
        <f t="shared" si="23"/>
        <v>07090130067000</v>
      </c>
    </row>
    <row r="691" spans="1:9" ht="38.25">
      <c r="A691" s="54" t="s">
        <v>441</v>
      </c>
      <c r="B691" s="272" t="s">
        <v>252</v>
      </c>
      <c r="C691" s="272" t="s">
        <v>540</v>
      </c>
      <c r="D691" s="272" t="s">
        <v>1595</v>
      </c>
      <c r="E691" s="273" t="s">
        <v>442</v>
      </c>
      <c r="F691" s="320">
        <v>50000</v>
      </c>
      <c r="G691" s="470">
        <v>38519</v>
      </c>
      <c r="H691" s="320">
        <f t="shared" si="22"/>
        <v>77.037999999999997</v>
      </c>
      <c r="I691" s="149" t="str">
        <f t="shared" si="23"/>
        <v>07090130067000122</v>
      </c>
    </row>
    <row r="692" spans="1:9" ht="89.25">
      <c r="A692" s="54" t="s">
        <v>1963</v>
      </c>
      <c r="B692" s="272" t="s">
        <v>252</v>
      </c>
      <c r="C692" s="272" t="s">
        <v>540</v>
      </c>
      <c r="D692" s="272" t="s">
        <v>1964</v>
      </c>
      <c r="E692" s="273"/>
      <c r="F692" s="320">
        <v>375000</v>
      </c>
      <c r="G692" s="470">
        <v>223011</v>
      </c>
      <c r="H692" s="320">
        <f t="shared" si="22"/>
        <v>59.4696</v>
      </c>
      <c r="I692" s="149" t="str">
        <f t="shared" si="23"/>
        <v>0709013006Ф000</v>
      </c>
    </row>
    <row r="693" spans="1:9" ht="38.25">
      <c r="A693" s="54" t="s">
        <v>445</v>
      </c>
      <c r="B693" s="272" t="s">
        <v>252</v>
      </c>
      <c r="C693" s="272" t="s">
        <v>540</v>
      </c>
      <c r="D693" s="272" t="s">
        <v>1964</v>
      </c>
      <c r="E693" s="273" t="s">
        <v>446</v>
      </c>
      <c r="F693" s="320">
        <v>375000</v>
      </c>
      <c r="G693" s="470">
        <v>223011</v>
      </c>
      <c r="H693" s="320">
        <f t="shared" si="22"/>
        <v>59.4696</v>
      </c>
      <c r="I693" s="149" t="str">
        <f t="shared" si="23"/>
        <v>0709013006Ф000244</v>
      </c>
    </row>
    <row r="694" spans="1:9">
      <c r="A694" s="54" t="s">
        <v>174</v>
      </c>
      <c r="B694" s="272" t="s">
        <v>252</v>
      </c>
      <c r="C694" s="272" t="s">
        <v>1609</v>
      </c>
      <c r="D694" s="272"/>
      <c r="E694" s="273"/>
      <c r="F694" s="320">
        <v>35745400</v>
      </c>
      <c r="G694" s="470">
        <v>32562644.23</v>
      </c>
      <c r="H694" s="320">
        <f t="shared" si="22"/>
        <v>91.096040973104238</v>
      </c>
      <c r="I694" s="149" t="str">
        <f t="shared" si="23"/>
        <v>1000</v>
      </c>
    </row>
    <row r="695" spans="1:9">
      <c r="A695" s="54" t="s">
        <v>127</v>
      </c>
      <c r="B695" s="272" t="s">
        <v>252</v>
      </c>
      <c r="C695" s="272" t="s">
        <v>496</v>
      </c>
      <c r="D695" s="272"/>
      <c r="E695" s="273"/>
      <c r="F695" s="320">
        <v>25386000</v>
      </c>
      <c r="G695" s="470">
        <v>24877599.670000002</v>
      </c>
      <c r="H695" s="320">
        <f t="shared" si="22"/>
        <v>97.997320058299849</v>
      </c>
      <c r="I695" s="149" t="str">
        <f t="shared" si="23"/>
        <v>1003</v>
      </c>
    </row>
    <row r="696" spans="1:9" ht="165.75">
      <c r="A696" s="54" t="s">
        <v>663</v>
      </c>
      <c r="B696" s="272" t="s">
        <v>252</v>
      </c>
      <c r="C696" s="272" t="s">
        <v>496</v>
      </c>
      <c r="D696" s="272" t="s">
        <v>994</v>
      </c>
      <c r="E696" s="273"/>
      <c r="F696" s="320">
        <v>382100</v>
      </c>
      <c r="G696" s="470">
        <v>370588</v>
      </c>
      <c r="H696" s="320">
        <f t="shared" si="22"/>
        <v>96.987176131902643</v>
      </c>
      <c r="I696" s="149" t="str">
        <f t="shared" si="23"/>
        <v>10030110075540</v>
      </c>
    </row>
    <row r="697" spans="1:9" ht="38.25">
      <c r="A697" s="54" t="s">
        <v>445</v>
      </c>
      <c r="B697" s="272" t="s">
        <v>252</v>
      </c>
      <c r="C697" s="272" t="s">
        <v>496</v>
      </c>
      <c r="D697" s="272" t="s">
        <v>994</v>
      </c>
      <c r="E697" s="273" t="s">
        <v>446</v>
      </c>
      <c r="F697" s="320">
        <v>382100</v>
      </c>
      <c r="G697" s="470">
        <v>370588</v>
      </c>
      <c r="H697" s="320">
        <f t="shared" si="22"/>
        <v>96.987176131902643</v>
      </c>
      <c r="I697" s="149" t="str">
        <f t="shared" si="23"/>
        <v>10030110075540244</v>
      </c>
    </row>
    <row r="698" spans="1:9" ht="127.5">
      <c r="A698" s="54" t="s">
        <v>542</v>
      </c>
      <c r="B698" s="272" t="s">
        <v>252</v>
      </c>
      <c r="C698" s="272" t="s">
        <v>496</v>
      </c>
      <c r="D698" s="272" t="s">
        <v>995</v>
      </c>
      <c r="E698" s="273"/>
      <c r="F698" s="320">
        <v>25003900</v>
      </c>
      <c r="G698" s="470">
        <v>24507011.670000002</v>
      </c>
      <c r="H698" s="320">
        <f t="shared" si="22"/>
        <v>98.012756689956376</v>
      </c>
      <c r="I698" s="149" t="str">
        <f t="shared" si="23"/>
        <v>10030110075660</v>
      </c>
    </row>
    <row r="699" spans="1:9">
      <c r="A699" s="54" t="s">
        <v>1603</v>
      </c>
      <c r="B699" s="272" t="s">
        <v>252</v>
      </c>
      <c r="C699" s="272" t="s">
        <v>496</v>
      </c>
      <c r="D699" s="272" t="s">
        <v>995</v>
      </c>
      <c r="E699" s="273" t="s">
        <v>460</v>
      </c>
      <c r="F699" s="320">
        <v>1413.17</v>
      </c>
      <c r="G699" s="470">
        <v>1413.17</v>
      </c>
      <c r="H699" s="320">
        <f t="shared" si="22"/>
        <v>100</v>
      </c>
      <c r="I699" s="149" t="str">
        <f t="shared" si="23"/>
        <v>10030110075660111</v>
      </c>
    </row>
    <row r="700" spans="1:9" ht="51">
      <c r="A700" s="54" t="s">
        <v>1604</v>
      </c>
      <c r="B700" s="272" t="s">
        <v>252</v>
      </c>
      <c r="C700" s="272" t="s">
        <v>496</v>
      </c>
      <c r="D700" s="272" t="s">
        <v>995</v>
      </c>
      <c r="E700" s="273" t="s">
        <v>1290</v>
      </c>
      <c r="F700" s="320">
        <v>30000</v>
      </c>
      <c r="G700" s="470">
        <v>0</v>
      </c>
      <c r="H700" s="320">
        <f t="shared" si="22"/>
        <v>0</v>
      </c>
      <c r="I700" s="149" t="str">
        <f t="shared" si="23"/>
        <v>10030110075660119</v>
      </c>
    </row>
    <row r="701" spans="1:9" ht="38.25">
      <c r="A701" s="54" t="s">
        <v>445</v>
      </c>
      <c r="B701" s="272" t="s">
        <v>252</v>
      </c>
      <c r="C701" s="272" t="s">
        <v>496</v>
      </c>
      <c r="D701" s="272" t="s">
        <v>995</v>
      </c>
      <c r="E701" s="273" t="s">
        <v>446</v>
      </c>
      <c r="F701" s="320">
        <v>24378493.949999999</v>
      </c>
      <c r="G701" s="470">
        <v>24083356.629999999</v>
      </c>
      <c r="H701" s="320">
        <f t="shared" si="22"/>
        <v>98.789353761535381</v>
      </c>
      <c r="I701" s="149" t="str">
        <f t="shared" si="23"/>
        <v>10030110075660244</v>
      </c>
    </row>
    <row r="702" spans="1:9" ht="38.25">
      <c r="A702" s="54" t="s">
        <v>497</v>
      </c>
      <c r="B702" s="272" t="s">
        <v>252</v>
      </c>
      <c r="C702" s="272" t="s">
        <v>496</v>
      </c>
      <c r="D702" s="272" t="s">
        <v>995</v>
      </c>
      <c r="E702" s="273" t="s">
        <v>498</v>
      </c>
      <c r="F702" s="320">
        <v>593992.88</v>
      </c>
      <c r="G702" s="470">
        <v>422241.87</v>
      </c>
      <c r="H702" s="320">
        <f t="shared" si="22"/>
        <v>71.085341965715145</v>
      </c>
      <c r="I702" s="149" t="str">
        <f t="shared" si="23"/>
        <v>10030110075660321</v>
      </c>
    </row>
    <row r="703" spans="1:9">
      <c r="A703" s="54" t="s">
        <v>25</v>
      </c>
      <c r="B703" s="272" t="s">
        <v>252</v>
      </c>
      <c r="C703" s="272" t="s">
        <v>543</v>
      </c>
      <c r="D703" s="272"/>
      <c r="E703" s="273"/>
      <c r="F703" s="320">
        <v>10359400</v>
      </c>
      <c r="G703" s="470">
        <v>7685044.5599999996</v>
      </c>
      <c r="H703" s="320">
        <f t="shared" si="22"/>
        <v>74.184263181265322</v>
      </c>
      <c r="I703" s="149" t="str">
        <f t="shared" si="23"/>
        <v>1004</v>
      </c>
    </row>
    <row r="704" spans="1:9" ht="127.5">
      <c r="A704" s="54" t="s">
        <v>544</v>
      </c>
      <c r="B704" s="272" t="s">
        <v>252</v>
      </c>
      <c r="C704" s="272" t="s">
        <v>543</v>
      </c>
      <c r="D704" s="272" t="s">
        <v>996</v>
      </c>
      <c r="E704" s="273"/>
      <c r="F704" s="320">
        <v>10359400</v>
      </c>
      <c r="G704" s="470">
        <v>7685044.5599999996</v>
      </c>
      <c r="H704" s="320">
        <f t="shared" si="22"/>
        <v>74.184263181265322</v>
      </c>
      <c r="I704" s="149" t="str">
        <f t="shared" si="23"/>
        <v>10040110075560</v>
      </c>
    </row>
    <row r="705" spans="1:9" ht="38.25">
      <c r="A705" s="54" t="s">
        <v>445</v>
      </c>
      <c r="B705" s="272" t="s">
        <v>252</v>
      </c>
      <c r="C705" s="272" t="s">
        <v>543</v>
      </c>
      <c r="D705" s="272" t="s">
        <v>996</v>
      </c>
      <c r="E705" s="273" t="s">
        <v>446</v>
      </c>
      <c r="F705" s="320">
        <v>263100</v>
      </c>
      <c r="G705" s="470">
        <v>143100</v>
      </c>
      <c r="H705" s="320">
        <f t="shared" si="22"/>
        <v>54.389965792474349</v>
      </c>
      <c r="I705" s="149" t="str">
        <f t="shared" si="23"/>
        <v>10040110075560244</v>
      </c>
    </row>
    <row r="706" spans="1:9" ht="38.25">
      <c r="A706" s="54" t="s">
        <v>497</v>
      </c>
      <c r="B706" s="272" t="s">
        <v>252</v>
      </c>
      <c r="C706" s="272" t="s">
        <v>543</v>
      </c>
      <c r="D706" s="272" t="s">
        <v>996</v>
      </c>
      <c r="E706" s="273" t="s">
        <v>498</v>
      </c>
      <c r="F706" s="320">
        <v>10096300</v>
      </c>
      <c r="G706" s="470">
        <v>7541944.5599999996</v>
      </c>
      <c r="H706" s="320">
        <f t="shared" si="22"/>
        <v>74.700083793072707</v>
      </c>
      <c r="I706" s="149" t="str">
        <f t="shared" si="23"/>
        <v>10040110075560321</v>
      </c>
    </row>
    <row r="707" spans="1:9" ht="25.5">
      <c r="A707" s="54" t="s">
        <v>1824</v>
      </c>
      <c r="B707" s="272" t="s">
        <v>1164</v>
      </c>
      <c r="C707" s="272"/>
      <c r="D707" s="272"/>
      <c r="E707" s="273"/>
      <c r="F707" s="320">
        <v>24169276</v>
      </c>
      <c r="G707" s="470">
        <v>22219876.280000001</v>
      </c>
      <c r="H707" s="320">
        <f t="shared" si="22"/>
        <v>91.934389263459948</v>
      </c>
      <c r="I707" s="149" t="str">
        <f t="shared" si="23"/>
        <v/>
      </c>
    </row>
    <row r="708" spans="1:9" ht="25.5">
      <c r="A708" s="54" t="s">
        <v>286</v>
      </c>
      <c r="B708" s="272" t="s">
        <v>1164</v>
      </c>
      <c r="C708" s="272" t="s">
        <v>1602</v>
      </c>
      <c r="D708" s="272"/>
      <c r="E708" s="273"/>
      <c r="F708" s="320">
        <v>22640877</v>
      </c>
      <c r="G708" s="470">
        <v>20902191.5</v>
      </c>
      <c r="H708" s="320">
        <f t="shared" si="22"/>
        <v>92.320591203247119</v>
      </c>
      <c r="I708" s="149" t="str">
        <f t="shared" si="23"/>
        <v>0300</v>
      </c>
    </row>
    <row r="709" spans="1:9">
      <c r="A709" s="54" t="s">
        <v>133</v>
      </c>
      <c r="B709" s="272" t="s">
        <v>1164</v>
      </c>
      <c r="C709" s="272" t="s">
        <v>463</v>
      </c>
      <c r="D709" s="272"/>
      <c r="E709" s="273"/>
      <c r="F709" s="320">
        <v>22640877</v>
      </c>
      <c r="G709" s="470">
        <v>20902191.5</v>
      </c>
      <c r="H709" s="320">
        <f t="shared" si="22"/>
        <v>92.320591203247119</v>
      </c>
      <c r="I709" s="149" t="str">
        <f t="shared" si="23"/>
        <v>0310</v>
      </c>
    </row>
    <row r="710" spans="1:9" ht="140.25">
      <c r="A710" s="54" t="s">
        <v>464</v>
      </c>
      <c r="B710" s="272" t="s">
        <v>1164</v>
      </c>
      <c r="C710" s="272" t="s">
        <v>463</v>
      </c>
      <c r="D710" s="272" t="s">
        <v>867</v>
      </c>
      <c r="E710" s="273"/>
      <c r="F710" s="320">
        <v>16671913.24</v>
      </c>
      <c r="G710" s="470">
        <v>16349831.130000001</v>
      </c>
      <c r="H710" s="320">
        <f t="shared" si="22"/>
        <v>98.068115486426322</v>
      </c>
      <c r="I710" s="149" t="str">
        <f t="shared" si="23"/>
        <v>03100420040010</v>
      </c>
    </row>
    <row r="711" spans="1:9">
      <c r="A711" s="54" t="s">
        <v>1603</v>
      </c>
      <c r="B711" s="272" t="s">
        <v>1164</v>
      </c>
      <c r="C711" s="272" t="s">
        <v>463</v>
      </c>
      <c r="D711" s="272" t="s">
        <v>867</v>
      </c>
      <c r="E711" s="273" t="s">
        <v>460</v>
      </c>
      <c r="F711" s="320">
        <v>11409658</v>
      </c>
      <c r="G711" s="470">
        <v>11409631</v>
      </c>
      <c r="H711" s="320">
        <f t="shared" ref="H711:H774" si="24">G711/F711*100</f>
        <v>99.999763358375859</v>
      </c>
      <c r="I711" s="149" t="str">
        <f t="shared" si="23"/>
        <v>03100420040010111</v>
      </c>
    </row>
    <row r="712" spans="1:9" ht="25.5">
      <c r="A712" s="54" t="s">
        <v>1617</v>
      </c>
      <c r="B712" s="272" t="s">
        <v>1164</v>
      </c>
      <c r="C712" s="272" t="s">
        <v>463</v>
      </c>
      <c r="D712" s="272" t="s">
        <v>867</v>
      </c>
      <c r="E712" s="273" t="s">
        <v>509</v>
      </c>
      <c r="F712" s="320">
        <v>6450</v>
      </c>
      <c r="G712" s="470">
        <v>6450</v>
      </c>
      <c r="H712" s="320">
        <f t="shared" si="24"/>
        <v>100</v>
      </c>
      <c r="I712" s="149" t="str">
        <f t="shared" si="23"/>
        <v>03100420040010112</v>
      </c>
    </row>
    <row r="713" spans="1:9" ht="51">
      <c r="A713" s="54" t="s">
        <v>1604</v>
      </c>
      <c r="B713" s="272" t="s">
        <v>1164</v>
      </c>
      <c r="C713" s="272" t="s">
        <v>463</v>
      </c>
      <c r="D713" s="272" t="s">
        <v>867</v>
      </c>
      <c r="E713" s="273" t="s">
        <v>1290</v>
      </c>
      <c r="F713" s="320">
        <v>3445716</v>
      </c>
      <c r="G713" s="470">
        <v>3445716</v>
      </c>
      <c r="H713" s="320">
        <f t="shared" si="24"/>
        <v>100</v>
      </c>
      <c r="I713" s="149" t="str">
        <f t="shared" si="23"/>
        <v>03100420040010119</v>
      </c>
    </row>
    <row r="714" spans="1:9" ht="38.25">
      <c r="A714" s="54" t="s">
        <v>445</v>
      </c>
      <c r="B714" s="272" t="s">
        <v>1164</v>
      </c>
      <c r="C714" s="272" t="s">
        <v>463</v>
      </c>
      <c r="D714" s="272" t="s">
        <v>867</v>
      </c>
      <c r="E714" s="273" t="s">
        <v>446</v>
      </c>
      <c r="F714" s="320">
        <v>1756539.24</v>
      </c>
      <c r="G714" s="470">
        <v>1462227.33</v>
      </c>
      <c r="H714" s="320">
        <f t="shared" si="24"/>
        <v>83.244785923484415</v>
      </c>
      <c r="I714" s="149" t="str">
        <f t="shared" si="23"/>
        <v>03100420040010244</v>
      </c>
    </row>
    <row r="715" spans="1:9">
      <c r="A715" s="54" t="s">
        <v>1168</v>
      </c>
      <c r="B715" s="272" t="s">
        <v>1164</v>
      </c>
      <c r="C715" s="272" t="s">
        <v>463</v>
      </c>
      <c r="D715" s="272" t="s">
        <v>867</v>
      </c>
      <c r="E715" s="273" t="s">
        <v>626</v>
      </c>
      <c r="F715" s="320">
        <v>49050</v>
      </c>
      <c r="G715" s="470">
        <v>22046</v>
      </c>
      <c r="H715" s="320">
        <f t="shared" si="24"/>
        <v>44.94597349643221</v>
      </c>
      <c r="I715" s="149" t="str">
        <f t="shared" si="23"/>
        <v>03100420040010852</v>
      </c>
    </row>
    <row r="716" spans="1:9">
      <c r="A716" s="54" t="s">
        <v>1293</v>
      </c>
      <c r="B716" s="272" t="s">
        <v>1164</v>
      </c>
      <c r="C716" s="272" t="s">
        <v>463</v>
      </c>
      <c r="D716" s="272" t="s">
        <v>867</v>
      </c>
      <c r="E716" s="273" t="s">
        <v>1294</v>
      </c>
      <c r="F716" s="320">
        <v>4500</v>
      </c>
      <c r="G716" s="470">
        <v>3760.8</v>
      </c>
      <c r="H716" s="320">
        <f t="shared" si="24"/>
        <v>83.573333333333338</v>
      </c>
      <c r="I716" s="149" t="str">
        <f t="shared" si="23"/>
        <v>03100420040010853</v>
      </c>
    </row>
    <row r="717" spans="1:9" ht="178.5">
      <c r="A717" s="54" t="s">
        <v>872</v>
      </c>
      <c r="B717" s="272" t="s">
        <v>1164</v>
      </c>
      <c r="C717" s="272" t="s">
        <v>463</v>
      </c>
      <c r="D717" s="272" t="s">
        <v>873</v>
      </c>
      <c r="E717" s="273"/>
      <c r="F717" s="320">
        <v>3232840</v>
      </c>
      <c r="G717" s="470">
        <v>2466424.85</v>
      </c>
      <c r="H717" s="320">
        <f t="shared" si="24"/>
        <v>76.292821482040566</v>
      </c>
      <c r="I717" s="149" t="str">
        <f t="shared" si="23"/>
        <v>03100420040090</v>
      </c>
    </row>
    <row r="718" spans="1:9">
      <c r="A718" s="54" t="s">
        <v>1603</v>
      </c>
      <c r="B718" s="272" t="s">
        <v>1164</v>
      </c>
      <c r="C718" s="272" t="s">
        <v>463</v>
      </c>
      <c r="D718" s="272" t="s">
        <v>873</v>
      </c>
      <c r="E718" s="273" t="s">
        <v>460</v>
      </c>
      <c r="F718" s="320">
        <v>1787140</v>
      </c>
      <c r="G718" s="470">
        <v>1236686.6100000001</v>
      </c>
      <c r="H718" s="320">
        <f t="shared" si="24"/>
        <v>69.199201517508428</v>
      </c>
      <c r="I718" s="149" t="str">
        <f t="shared" si="23"/>
        <v>03100420040090111</v>
      </c>
    </row>
    <row r="719" spans="1:9" ht="25.5">
      <c r="A719" s="54" t="s">
        <v>1617</v>
      </c>
      <c r="B719" s="272" t="s">
        <v>1164</v>
      </c>
      <c r="C719" s="272" t="s">
        <v>463</v>
      </c>
      <c r="D719" s="272" t="s">
        <v>873</v>
      </c>
      <c r="E719" s="273" t="s">
        <v>509</v>
      </c>
      <c r="F719" s="320">
        <v>2935.88</v>
      </c>
      <c r="G719" s="470">
        <v>2935.88</v>
      </c>
      <c r="H719" s="320">
        <f t="shared" si="24"/>
        <v>100</v>
      </c>
      <c r="I719" s="149" t="str">
        <f t="shared" si="23"/>
        <v>03100420040090112</v>
      </c>
    </row>
    <row r="720" spans="1:9" ht="51">
      <c r="A720" s="54" t="s">
        <v>1604</v>
      </c>
      <c r="B720" s="272" t="s">
        <v>1164</v>
      </c>
      <c r="C720" s="272" t="s">
        <v>463</v>
      </c>
      <c r="D720" s="272" t="s">
        <v>873</v>
      </c>
      <c r="E720" s="273" t="s">
        <v>1290</v>
      </c>
      <c r="F720" s="320">
        <v>539710</v>
      </c>
      <c r="G720" s="470">
        <v>447225.87</v>
      </c>
      <c r="H720" s="320">
        <f t="shared" si="24"/>
        <v>82.864106649867523</v>
      </c>
      <c r="I720" s="149" t="str">
        <f t="shared" si="23"/>
        <v>03100420040090119</v>
      </c>
    </row>
    <row r="721" spans="1:9" ht="38.25">
      <c r="A721" s="54" t="s">
        <v>445</v>
      </c>
      <c r="B721" s="272" t="s">
        <v>1164</v>
      </c>
      <c r="C721" s="272" t="s">
        <v>463</v>
      </c>
      <c r="D721" s="272" t="s">
        <v>873</v>
      </c>
      <c r="E721" s="273" t="s">
        <v>446</v>
      </c>
      <c r="F721" s="320">
        <v>794364.12</v>
      </c>
      <c r="G721" s="470">
        <v>676052.87</v>
      </c>
      <c r="H721" s="320">
        <f t="shared" si="24"/>
        <v>85.106168944287163</v>
      </c>
      <c r="I721" s="149" t="str">
        <f t="shared" si="23"/>
        <v>03100420040090244</v>
      </c>
    </row>
    <row r="722" spans="1:9">
      <c r="A722" s="54" t="s">
        <v>1168</v>
      </c>
      <c r="B722" s="272" t="s">
        <v>1164</v>
      </c>
      <c r="C722" s="272" t="s">
        <v>463</v>
      </c>
      <c r="D722" s="272" t="s">
        <v>873</v>
      </c>
      <c r="E722" s="273" t="s">
        <v>626</v>
      </c>
      <c r="F722" s="320">
        <v>105000</v>
      </c>
      <c r="G722" s="470">
        <v>102049</v>
      </c>
      <c r="H722" s="320">
        <f t="shared" si="24"/>
        <v>97.18952380952382</v>
      </c>
      <c r="I722" s="149" t="str">
        <f t="shared" si="23"/>
        <v>03100420040090852</v>
      </c>
    </row>
    <row r="723" spans="1:9">
      <c r="A723" s="54" t="s">
        <v>1293</v>
      </c>
      <c r="B723" s="272" t="s">
        <v>1164</v>
      </c>
      <c r="C723" s="272" t="s">
        <v>463</v>
      </c>
      <c r="D723" s="272" t="s">
        <v>873</v>
      </c>
      <c r="E723" s="273" t="s">
        <v>1294</v>
      </c>
      <c r="F723" s="320">
        <v>3690</v>
      </c>
      <c r="G723" s="470">
        <v>1474.62</v>
      </c>
      <c r="H723" s="320">
        <f t="shared" si="24"/>
        <v>39.962601626016259</v>
      </c>
      <c r="I723" s="149" t="str">
        <f t="shared" si="23"/>
        <v>03100420040090853</v>
      </c>
    </row>
    <row r="724" spans="1:9" ht="140.25">
      <c r="A724" s="54" t="s">
        <v>1906</v>
      </c>
      <c r="B724" s="272" t="s">
        <v>1164</v>
      </c>
      <c r="C724" s="272" t="s">
        <v>463</v>
      </c>
      <c r="D724" s="272" t="s">
        <v>1907</v>
      </c>
      <c r="E724" s="273"/>
      <c r="F724" s="320">
        <v>108008.9</v>
      </c>
      <c r="G724" s="470">
        <v>108008.9</v>
      </c>
      <c r="H724" s="320">
        <f t="shared" si="24"/>
        <v>100</v>
      </c>
      <c r="I724" s="149" t="str">
        <f t="shared" si="23"/>
        <v>03100420047010</v>
      </c>
    </row>
    <row r="725" spans="1:9" ht="25.5">
      <c r="A725" s="54" t="s">
        <v>1617</v>
      </c>
      <c r="B725" s="272" t="s">
        <v>1164</v>
      </c>
      <c r="C725" s="272" t="s">
        <v>463</v>
      </c>
      <c r="D725" s="272" t="s">
        <v>1907</v>
      </c>
      <c r="E725" s="273" t="s">
        <v>509</v>
      </c>
      <c r="F725" s="320">
        <v>108008.9</v>
      </c>
      <c r="G725" s="470">
        <v>108008.9</v>
      </c>
      <c r="H725" s="320">
        <f t="shared" si="24"/>
        <v>100</v>
      </c>
      <c r="I725" s="149" t="str">
        <f t="shared" si="23"/>
        <v>03100420047010112</v>
      </c>
    </row>
    <row r="726" spans="1:9" ht="153">
      <c r="A726" s="54" t="s">
        <v>1628</v>
      </c>
      <c r="B726" s="272" t="s">
        <v>1164</v>
      </c>
      <c r="C726" s="272" t="s">
        <v>463</v>
      </c>
      <c r="D726" s="272" t="s">
        <v>869</v>
      </c>
      <c r="E726" s="273"/>
      <c r="F726" s="320">
        <v>1613287.86</v>
      </c>
      <c r="G726" s="470">
        <v>1362715.69</v>
      </c>
      <c r="H726" s="320">
        <f t="shared" si="24"/>
        <v>84.468229371043549</v>
      </c>
      <c r="I726" s="149" t="str">
        <f t="shared" si="23"/>
        <v>0310042004Г010</v>
      </c>
    </row>
    <row r="727" spans="1:9" ht="38.25">
      <c r="A727" s="54" t="s">
        <v>445</v>
      </c>
      <c r="B727" s="272" t="s">
        <v>1164</v>
      </c>
      <c r="C727" s="272" t="s">
        <v>463</v>
      </c>
      <c r="D727" s="272" t="s">
        <v>869</v>
      </c>
      <c r="E727" s="273" t="s">
        <v>446</v>
      </c>
      <c r="F727" s="320">
        <v>1613287.86</v>
      </c>
      <c r="G727" s="470">
        <v>1362715.69</v>
      </c>
      <c r="H727" s="320">
        <f t="shared" si="24"/>
        <v>84.468229371043549</v>
      </c>
      <c r="I727" s="149" t="str">
        <f t="shared" si="23"/>
        <v>0310042004Г010244</v>
      </c>
    </row>
    <row r="728" spans="1:9" ht="191.25">
      <c r="A728" s="54" t="s">
        <v>1629</v>
      </c>
      <c r="B728" s="272" t="s">
        <v>1164</v>
      </c>
      <c r="C728" s="272" t="s">
        <v>463</v>
      </c>
      <c r="D728" s="272" t="s">
        <v>875</v>
      </c>
      <c r="E728" s="273"/>
      <c r="F728" s="320">
        <v>554660</v>
      </c>
      <c r="G728" s="470">
        <v>216685.15</v>
      </c>
      <c r="H728" s="320">
        <f t="shared" si="24"/>
        <v>39.066301878628344</v>
      </c>
      <c r="I728" s="149" t="str">
        <f t="shared" si="23"/>
        <v>0310042004Г090</v>
      </c>
    </row>
    <row r="729" spans="1:9" ht="38.25">
      <c r="A729" s="54" t="s">
        <v>445</v>
      </c>
      <c r="B729" s="272" t="s">
        <v>1164</v>
      </c>
      <c r="C729" s="272" t="s">
        <v>463</v>
      </c>
      <c r="D729" s="272" t="s">
        <v>875</v>
      </c>
      <c r="E729" s="273" t="s">
        <v>446</v>
      </c>
      <c r="F729" s="320">
        <v>554660</v>
      </c>
      <c r="G729" s="470">
        <v>216685.15</v>
      </c>
      <c r="H729" s="320">
        <f t="shared" si="24"/>
        <v>39.066301878628344</v>
      </c>
      <c r="I729" s="149" t="str">
        <f t="shared" si="23"/>
        <v>0310042004Г090244</v>
      </c>
    </row>
    <row r="730" spans="1:9" ht="140.25">
      <c r="A730" s="54" t="s">
        <v>1193</v>
      </c>
      <c r="B730" s="272" t="s">
        <v>1164</v>
      </c>
      <c r="C730" s="272" t="s">
        <v>463</v>
      </c>
      <c r="D730" s="272" t="s">
        <v>1194</v>
      </c>
      <c r="E730" s="273"/>
      <c r="F730" s="320">
        <v>460167</v>
      </c>
      <c r="G730" s="470">
        <v>398525.78</v>
      </c>
      <c r="H730" s="320">
        <f t="shared" si="24"/>
        <v>86.604597895981243</v>
      </c>
      <c r="I730" s="149" t="str">
        <f t="shared" si="23"/>
        <v>0310042004Э010</v>
      </c>
    </row>
    <row r="731" spans="1:9" ht="38.25">
      <c r="A731" s="54" t="s">
        <v>445</v>
      </c>
      <c r="B731" s="272" t="s">
        <v>1164</v>
      </c>
      <c r="C731" s="272" t="s">
        <v>463</v>
      </c>
      <c r="D731" s="272" t="s">
        <v>1194</v>
      </c>
      <c r="E731" s="273" t="s">
        <v>446</v>
      </c>
      <c r="F731" s="320">
        <v>460167</v>
      </c>
      <c r="G731" s="470">
        <v>398525.78</v>
      </c>
      <c r="H731" s="320">
        <f t="shared" si="24"/>
        <v>86.604597895981243</v>
      </c>
      <c r="I731" s="149" t="str">
        <f t="shared" si="23"/>
        <v>0310042004Э010244</v>
      </c>
    </row>
    <row r="732" spans="1:9">
      <c r="A732" s="54" t="s">
        <v>287</v>
      </c>
      <c r="B732" s="272" t="s">
        <v>1164</v>
      </c>
      <c r="C732" s="272" t="s">
        <v>1607</v>
      </c>
      <c r="D732" s="272"/>
      <c r="E732" s="273"/>
      <c r="F732" s="320">
        <v>1528399</v>
      </c>
      <c r="G732" s="470">
        <v>1317684.78</v>
      </c>
      <c r="H732" s="320">
        <f t="shared" si="24"/>
        <v>86.213402390344413</v>
      </c>
      <c r="I732" s="149" t="str">
        <f t="shared" si="23"/>
        <v>0500</v>
      </c>
    </row>
    <row r="733" spans="1:9">
      <c r="A733" s="54" t="s">
        <v>181</v>
      </c>
      <c r="B733" s="272" t="s">
        <v>1164</v>
      </c>
      <c r="C733" s="272" t="s">
        <v>482</v>
      </c>
      <c r="D733" s="272"/>
      <c r="E733" s="273"/>
      <c r="F733" s="320">
        <v>1528399</v>
      </c>
      <c r="G733" s="470">
        <v>1317684.78</v>
      </c>
      <c r="H733" s="320">
        <f t="shared" si="24"/>
        <v>86.213402390344413</v>
      </c>
      <c r="I733" s="149" t="str">
        <f t="shared" si="23"/>
        <v>0502</v>
      </c>
    </row>
    <row r="734" spans="1:9" ht="127.5">
      <c r="A734" s="54" t="s">
        <v>1742</v>
      </c>
      <c r="B734" s="272" t="s">
        <v>1164</v>
      </c>
      <c r="C734" s="272" t="s">
        <v>482</v>
      </c>
      <c r="D734" s="272" t="s">
        <v>888</v>
      </c>
      <c r="E734" s="273"/>
      <c r="F734" s="320">
        <v>1528399</v>
      </c>
      <c r="G734" s="470">
        <v>1317684.78</v>
      </c>
      <c r="H734" s="320">
        <f t="shared" si="24"/>
        <v>86.213402390344413</v>
      </c>
      <c r="I734" s="149" t="str">
        <f t="shared" si="23"/>
        <v>05020320075700</v>
      </c>
    </row>
    <row r="735" spans="1:9">
      <c r="A735" s="54" t="s">
        <v>1603</v>
      </c>
      <c r="B735" s="272" t="s">
        <v>1164</v>
      </c>
      <c r="C735" s="272" t="s">
        <v>482</v>
      </c>
      <c r="D735" s="272" t="s">
        <v>888</v>
      </c>
      <c r="E735" s="273" t="s">
        <v>460</v>
      </c>
      <c r="F735" s="320">
        <v>800853.58</v>
      </c>
      <c r="G735" s="470">
        <v>653512.30000000005</v>
      </c>
      <c r="H735" s="320">
        <f t="shared" si="24"/>
        <v>81.601970237805531</v>
      </c>
      <c r="I735" s="149" t="str">
        <f t="shared" si="23"/>
        <v>05020320075700111</v>
      </c>
    </row>
    <row r="736" spans="1:9" ht="51">
      <c r="A736" s="54" t="s">
        <v>1604</v>
      </c>
      <c r="B736" s="272" t="s">
        <v>1164</v>
      </c>
      <c r="C736" s="272" t="s">
        <v>482</v>
      </c>
      <c r="D736" s="272" t="s">
        <v>888</v>
      </c>
      <c r="E736" s="273" t="s">
        <v>1290</v>
      </c>
      <c r="F736" s="320">
        <v>241124.55</v>
      </c>
      <c r="G736" s="470">
        <v>178286.61</v>
      </c>
      <c r="H736" s="320">
        <f t="shared" si="24"/>
        <v>73.939634101960991</v>
      </c>
      <c r="I736" s="149" t="str">
        <f t="shared" si="23"/>
        <v>05020320075700119</v>
      </c>
    </row>
    <row r="737" spans="1:9" ht="38.25">
      <c r="A737" s="54" t="s">
        <v>445</v>
      </c>
      <c r="B737" s="272" t="s">
        <v>1164</v>
      </c>
      <c r="C737" s="272" t="s">
        <v>482</v>
      </c>
      <c r="D737" s="272" t="s">
        <v>888</v>
      </c>
      <c r="E737" s="273" t="s">
        <v>446</v>
      </c>
      <c r="F737" s="320">
        <v>443168.5</v>
      </c>
      <c r="G737" s="470">
        <v>442633.5</v>
      </c>
      <c r="H737" s="320">
        <f t="shared" si="24"/>
        <v>99.879278423443907</v>
      </c>
      <c r="I737" s="149" t="str">
        <f t="shared" si="23"/>
        <v>05020320075700244</v>
      </c>
    </row>
    <row r="738" spans="1:9">
      <c r="A738" s="54" t="s">
        <v>1168</v>
      </c>
      <c r="B738" s="272" t="s">
        <v>1164</v>
      </c>
      <c r="C738" s="272" t="s">
        <v>482</v>
      </c>
      <c r="D738" s="272" t="s">
        <v>888</v>
      </c>
      <c r="E738" s="273" t="s">
        <v>626</v>
      </c>
      <c r="F738" s="320">
        <v>43123</v>
      </c>
      <c r="G738" s="470">
        <v>43123</v>
      </c>
      <c r="H738" s="320">
        <f t="shared" si="24"/>
        <v>100</v>
      </c>
      <c r="I738" s="149" t="str">
        <f t="shared" si="23"/>
        <v>05020320075700852</v>
      </c>
    </row>
    <row r="739" spans="1:9">
      <c r="A739" s="54" t="s">
        <v>1293</v>
      </c>
      <c r="B739" s="272" t="s">
        <v>1164</v>
      </c>
      <c r="C739" s="272" t="s">
        <v>482</v>
      </c>
      <c r="D739" s="272" t="s">
        <v>888</v>
      </c>
      <c r="E739" s="273" t="s">
        <v>1294</v>
      </c>
      <c r="F739" s="320">
        <v>129.37</v>
      </c>
      <c r="G739" s="470">
        <v>129.37</v>
      </c>
      <c r="H739" s="320">
        <f t="shared" si="24"/>
        <v>100</v>
      </c>
      <c r="I739" s="149" t="str">
        <f t="shared" si="23"/>
        <v>05020320075700853</v>
      </c>
    </row>
    <row r="740" spans="1:9" ht="25.5">
      <c r="A740" s="54" t="s">
        <v>43</v>
      </c>
      <c r="B740" s="272" t="s">
        <v>253</v>
      </c>
      <c r="C740" s="272"/>
      <c r="D740" s="272"/>
      <c r="E740" s="273"/>
      <c r="F740" s="320">
        <v>176534682.03999999</v>
      </c>
      <c r="G740" s="470">
        <v>172254395.38999999</v>
      </c>
      <c r="H740" s="320">
        <f t="shared" si="24"/>
        <v>97.575384847590357</v>
      </c>
      <c r="I740" s="149" t="str">
        <f t="shared" si="23"/>
        <v/>
      </c>
    </row>
    <row r="741" spans="1:9">
      <c r="A741" s="54" t="s">
        <v>282</v>
      </c>
      <c r="B741" s="272" t="s">
        <v>253</v>
      </c>
      <c r="C741" s="272" t="s">
        <v>1598</v>
      </c>
      <c r="D741" s="272"/>
      <c r="E741" s="273"/>
      <c r="F741" s="320">
        <v>13656275.630000001</v>
      </c>
      <c r="G741" s="470">
        <v>12907631.51</v>
      </c>
      <c r="H741" s="320">
        <f t="shared" si="24"/>
        <v>94.517948082745306</v>
      </c>
      <c r="I741" s="149" t="str">
        <f t="shared" si="23"/>
        <v>0100</v>
      </c>
    </row>
    <row r="742" spans="1:9" ht="38.25">
      <c r="A742" s="54" t="s">
        <v>264</v>
      </c>
      <c r="B742" s="272" t="s">
        <v>253</v>
      </c>
      <c r="C742" s="272" t="s">
        <v>448</v>
      </c>
      <c r="D742" s="272"/>
      <c r="E742" s="273"/>
      <c r="F742" s="320">
        <v>12691028.550000001</v>
      </c>
      <c r="G742" s="470">
        <v>12691028.550000001</v>
      </c>
      <c r="H742" s="320">
        <f t="shared" si="24"/>
        <v>100</v>
      </c>
      <c r="I742" s="149" t="str">
        <f t="shared" si="23"/>
        <v>0106</v>
      </c>
    </row>
    <row r="743" spans="1:9" ht="76.5">
      <c r="A743" s="54" t="s">
        <v>545</v>
      </c>
      <c r="B743" s="272" t="s">
        <v>253</v>
      </c>
      <c r="C743" s="272" t="s">
        <v>448</v>
      </c>
      <c r="D743" s="272" t="s">
        <v>997</v>
      </c>
      <c r="E743" s="273"/>
      <c r="F743" s="320">
        <v>9555823.7400000002</v>
      </c>
      <c r="G743" s="470">
        <v>9555823.7400000002</v>
      </c>
      <c r="H743" s="320">
        <f t="shared" si="24"/>
        <v>100</v>
      </c>
      <c r="I743" s="149" t="str">
        <f t="shared" si="23"/>
        <v>01061120060000</v>
      </c>
    </row>
    <row r="744" spans="1:9" ht="25.5">
      <c r="A744" s="54" t="s">
        <v>1165</v>
      </c>
      <c r="B744" s="272" t="s">
        <v>253</v>
      </c>
      <c r="C744" s="272" t="s">
        <v>448</v>
      </c>
      <c r="D744" s="272" t="s">
        <v>997</v>
      </c>
      <c r="E744" s="273" t="s">
        <v>440</v>
      </c>
      <c r="F744" s="320">
        <v>6034386.9000000004</v>
      </c>
      <c r="G744" s="470">
        <v>6034386.9000000004</v>
      </c>
      <c r="H744" s="320">
        <f t="shared" si="24"/>
        <v>100</v>
      </c>
      <c r="I744" s="149" t="str">
        <f t="shared" ref="I744:I807" si="25">CONCATENATE(C744,D744,E744)</f>
        <v>01061120060000121</v>
      </c>
    </row>
    <row r="745" spans="1:9" ht="38.25">
      <c r="A745" s="54" t="s">
        <v>441</v>
      </c>
      <c r="B745" s="272" t="s">
        <v>253</v>
      </c>
      <c r="C745" s="272" t="s">
        <v>448</v>
      </c>
      <c r="D745" s="272" t="s">
        <v>997</v>
      </c>
      <c r="E745" s="273" t="s">
        <v>442</v>
      </c>
      <c r="F745" s="320">
        <v>57113.06</v>
      </c>
      <c r="G745" s="470">
        <v>57113.06</v>
      </c>
      <c r="H745" s="320">
        <f t="shared" si="24"/>
        <v>100</v>
      </c>
      <c r="I745" s="149" t="str">
        <f t="shared" si="25"/>
        <v>01061120060000122</v>
      </c>
    </row>
    <row r="746" spans="1:9" ht="51">
      <c r="A746" s="54" t="s">
        <v>1288</v>
      </c>
      <c r="B746" s="272" t="s">
        <v>253</v>
      </c>
      <c r="C746" s="272" t="s">
        <v>448</v>
      </c>
      <c r="D746" s="272" t="s">
        <v>997</v>
      </c>
      <c r="E746" s="273" t="s">
        <v>1289</v>
      </c>
      <c r="F746" s="320">
        <v>1832394.21</v>
      </c>
      <c r="G746" s="470">
        <v>1832394.21</v>
      </c>
      <c r="H746" s="320">
        <f t="shared" si="24"/>
        <v>100</v>
      </c>
      <c r="I746" s="149" t="str">
        <f t="shared" si="25"/>
        <v>01061120060000129</v>
      </c>
    </row>
    <row r="747" spans="1:9" ht="38.25">
      <c r="A747" s="54" t="s">
        <v>445</v>
      </c>
      <c r="B747" s="272" t="s">
        <v>253</v>
      </c>
      <c r="C747" s="272" t="s">
        <v>448</v>
      </c>
      <c r="D747" s="272" t="s">
        <v>997</v>
      </c>
      <c r="E747" s="273" t="s">
        <v>446</v>
      </c>
      <c r="F747" s="320">
        <v>1623921.85</v>
      </c>
      <c r="G747" s="470">
        <v>1623921.85</v>
      </c>
      <c r="H747" s="320">
        <f t="shared" si="24"/>
        <v>100</v>
      </c>
      <c r="I747" s="149" t="str">
        <f t="shared" si="25"/>
        <v>01061120060000244</v>
      </c>
    </row>
    <row r="748" spans="1:9">
      <c r="A748" s="54" t="s">
        <v>1168</v>
      </c>
      <c r="B748" s="272" t="s">
        <v>253</v>
      </c>
      <c r="C748" s="272" t="s">
        <v>448</v>
      </c>
      <c r="D748" s="272" t="s">
        <v>997</v>
      </c>
      <c r="E748" s="273" t="s">
        <v>626</v>
      </c>
      <c r="F748" s="320">
        <v>8007.72</v>
      </c>
      <c r="G748" s="470">
        <v>8007.72</v>
      </c>
      <c r="H748" s="320">
        <f t="shared" si="24"/>
        <v>100</v>
      </c>
      <c r="I748" s="149" t="str">
        <f t="shared" si="25"/>
        <v>01061120060000852</v>
      </c>
    </row>
    <row r="749" spans="1:9" ht="102">
      <c r="A749" s="54" t="s">
        <v>664</v>
      </c>
      <c r="B749" s="272" t="s">
        <v>253</v>
      </c>
      <c r="C749" s="272" t="s">
        <v>448</v>
      </c>
      <c r="D749" s="272" t="s">
        <v>998</v>
      </c>
      <c r="E749" s="273"/>
      <c r="F749" s="320">
        <v>474210.54</v>
      </c>
      <c r="G749" s="470">
        <v>474210.54</v>
      </c>
      <c r="H749" s="320">
        <f t="shared" si="24"/>
        <v>100</v>
      </c>
      <c r="I749" s="149" t="str">
        <f t="shared" si="25"/>
        <v>01061120061000</v>
      </c>
    </row>
    <row r="750" spans="1:9" ht="25.5">
      <c r="A750" s="54" t="s">
        <v>1165</v>
      </c>
      <c r="B750" s="272" t="s">
        <v>253</v>
      </c>
      <c r="C750" s="272" t="s">
        <v>448</v>
      </c>
      <c r="D750" s="272" t="s">
        <v>998</v>
      </c>
      <c r="E750" s="273" t="s">
        <v>440</v>
      </c>
      <c r="F750" s="320">
        <v>365144.12</v>
      </c>
      <c r="G750" s="470">
        <v>365144.12</v>
      </c>
      <c r="H750" s="320">
        <f t="shared" si="24"/>
        <v>100</v>
      </c>
      <c r="I750" s="149" t="str">
        <f t="shared" si="25"/>
        <v>01061120061000121</v>
      </c>
    </row>
    <row r="751" spans="1:9" ht="51">
      <c r="A751" s="54" t="s">
        <v>1288</v>
      </c>
      <c r="B751" s="272" t="s">
        <v>253</v>
      </c>
      <c r="C751" s="272" t="s">
        <v>448</v>
      </c>
      <c r="D751" s="272" t="s">
        <v>998</v>
      </c>
      <c r="E751" s="273" t="s">
        <v>1289</v>
      </c>
      <c r="F751" s="320">
        <v>109066.42</v>
      </c>
      <c r="G751" s="470">
        <v>109066.42</v>
      </c>
      <c r="H751" s="320">
        <f t="shared" si="24"/>
        <v>100</v>
      </c>
      <c r="I751" s="149" t="str">
        <f t="shared" si="25"/>
        <v>01061120061000129</v>
      </c>
    </row>
    <row r="752" spans="1:9" ht="102">
      <c r="A752" s="54" t="s">
        <v>750</v>
      </c>
      <c r="B752" s="272" t="s">
        <v>253</v>
      </c>
      <c r="C752" s="272" t="s">
        <v>448</v>
      </c>
      <c r="D752" s="272" t="s">
        <v>999</v>
      </c>
      <c r="E752" s="273"/>
      <c r="F752" s="320">
        <v>191034.12</v>
      </c>
      <c r="G752" s="470">
        <v>191034.12</v>
      </c>
      <c r="H752" s="320">
        <f t="shared" si="24"/>
        <v>100</v>
      </c>
      <c r="I752" s="149" t="str">
        <f t="shared" si="25"/>
        <v>01061120067000</v>
      </c>
    </row>
    <row r="753" spans="1:9" ht="38.25">
      <c r="A753" s="54" t="s">
        <v>441</v>
      </c>
      <c r="B753" s="272" t="s">
        <v>253</v>
      </c>
      <c r="C753" s="272" t="s">
        <v>448</v>
      </c>
      <c r="D753" s="272" t="s">
        <v>999</v>
      </c>
      <c r="E753" s="273" t="s">
        <v>442</v>
      </c>
      <c r="F753" s="320">
        <v>191034.12</v>
      </c>
      <c r="G753" s="470">
        <v>191034.12</v>
      </c>
      <c r="H753" s="320">
        <f t="shared" si="24"/>
        <v>100</v>
      </c>
      <c r="I753" s="149" t="str">
        <f t="shared" si="25"/>
        <v>01061120067000122</v>
      </c>
    </row>
    <row r="754" spans="1:9" ht="89.25">
      <c r="A754" s="54" t="s">
        <v>1144</v>
      </c>
      <c r="B754" s="272" t="s">
        <v>253</v>
      </c>
      <c r="C754" s="272" t="s">
        <v>448</v>
      </c>
      <c r="D754" s="272" t="s">
        <v>1143</v>
      </c>
      <c r="E754" s="273"/>
      <c r="F754" s="320">
        <v>1393060.12</v>
      </c>
      <c r="G754" s="470">
        <v>1393060.12</v>
      </c>
      <c r="H754" s="320">
        <f t="shared" si="24"/>
        <v>100</v>
      </c>
      <c r="I754" s="149" t="str">
        <f t="shared" si="25"/>
        <v>0106112006Б000</v>
      </c>
    </row>
    <row r="755" spans="1:9" ht="25.5">
      <c r="A755" s="54" t="s">
        <v>1165</v>
      </c>
      <c r="B755" s="272" t="s">
        <v>253</v>
      </c>
      <c r="C755" s="272" t="s">
        <v>448</v>
      </c>
      <c r="D755" s="272" t="s">
        <v>1143</v>
      </c>
      <c r="E755" s="273" t="s">
        <v>440</v>
      </c>
      <c r="F755" s="320">
        <v>1069011.53</v>
      </c>
      <c r="G755" s="470">
        <v>1069011.53</v>
      </c>
      <c r="H755" s="320">
        <f t="shared" si="24"/>
        <v>100</v>
      </c>
      <c r="I755" s="149" t="str">
        <f t="shared" si="25"/>
        <v>0106112006Б000121</v>
      </c>
    </row>
    <row r="756" spans="1:9" ht="51">
      <c r="A756" s="54" t="s">
        <v>1288</v>
      </c>
      <c r="B756" s="272" t="s">
        <v>253</v>
      </c>
      <c r="C756" s="272" t="s">
        <v>448</v>
      </c>
      <c r="D756" s="272" t="s">
        <v>1143</v>
      </c>
      <c r="E756" s="273" t="s">
        <v>1289</v>
      </c>
      <c r="F756" s="320">
        <v>324048.59000000003</v>
      </c>
      <c r="G756" s="470">
        <v>324048.59000000003</v>
      </c>
      <c r="H756" s="320">
        <f t="shared" si="24"/>
        <v>100</v>
      </c>
      <c r="I756" s="149" t="str">
        <f t="shared" si="25"/>
        <v>0106112006Б000129</v>
      </c>
    </row>
    <row r="757" spans="1:9" ht="76.5">
      <c r="A757" s="54" t="s">
        <v>751</v>
      </c>
      <c r="B757" s="272" t="s">
        <v>253</v>
      </c>
      <c r="C757" s="272" t="s">
        <v>448</v>
      </c>
      <c r="D757" s="272" t="s">
        <v>1000</v>
      </c>
      <c r="E757" s="273"/>
      <c r="F757" s="320">
        <v>369477.32</v>
      </c>
      <c r="G757" s="470">
        <v>369477.32</v>
      </c>
      <c r="H757" s="320">
        <f t="shared" si="24"/>
        <v>100</v>
      </c>
      <c r="I757" s="149" t="str">
        <f t="shared" si="25"/>
        <v>0106112006Г000</v>
      </c>
    </row>
    <row r="758" spans="1:9" ht="38.25">
      <c r="A758" s="54" t="s">
        <v>445</v>
      </c>
      <c r="B758" s="272" t="s">
        <v>253</v>
      </c>
      <c r="C758" s="272" t="s">
        <v>448</v>
      </c>
      <c r="D758" s="272" t="s">
        <v>1000</v>
      </c>
      <c r="E758" s="273" t="s">
        <v>446</v>
      </c>
      <c r="F758" s="320">
        <v>369477.32</v>
      </c>
      <c r="G758" s="470">
        <v>369477.32</v>
      </c>
      <c r="H758" s="320">
        <f t="shared" si="24"/>
        <v>100</v>
      </c>
      <c r="I758" s="149" t="str">
        <f t="shared" si="25"/>
        <v>0106112006Г000244</v>
      </c>
    </row>
    <row r="759" spans="1:9" ht="63.75">
      <c r="A759" s="54" t="s">
        <v>1771</v>
      </c>
      <c r="B759" s="272" t="s">
        <v>253</v>
      </c>
      <c r="C759" s="272" t="s">
        <v>448</v>
      </c>
      <c r="D759" s="272" t="s">
        <v>1772</v>
      </c>
      <c r="E759" s="273"/>
      <c r="F759" s="320">
        <v>136750</v>
      </c>
      <c r="G759" s="470">
        <v>136750</v>
      </c>
      <c r="H759" s="320">
        <f t="shared" si="24"/>
        <v>100</v>
      </c>
      <c r="I759" s="149" t="str">
        <f t="shared" si="25"/>
        <v>0106112006Ф000</v>
      </c>
    </row>
    <row r="760" spans="1:9" ht="38.25">
      <c r="A760" s="54" t="s">
        <v>445</v>
      </c>
      <c r="B760" s="272" t="s">
        <v>253</v>
      </c>
      <c r="C760" s="272" t="s">
        <v>448</v>
      </c>
      <c r="D760" s="272" t="s">
        <v>1772</v>
      </c>
      <c r="E760" s="273" t="s">
        <v>446</v>
      </c>
      <c r="F760" s="320">
        <v>136750</v>
      </c>
      <c r="G760" s="470">
        <v>136750</v>
      </c>
      <c r="H760" s="320">
        <f t="shared" si="24"/>
        <v>100</v>
      </c>
      <c r="I760" s="149" t="str">
        <f t="shared" si="25"/>
        <v>0106112006Ф000244</v>
      </c>
    </row>
    <row r="761" spans="1:9" ht="63.75">
      <c r="A761" s="54" t="s">
        <v>1195</v>
      </c>
      <c r="B761" s="272" t="s">
        <v>253</v>
      </c>
      <c r="C761" s="272" t="s">
        <v>448</v>
      </c>
      <c r="D761" s="272" t="s">
        <v>1196</v>
      </c>
      <c r="E761" s="273"/>
      <c r="F761" s="320">
        <v>157211.71</v>
      </c>
      <c r="G761" s="470">
        <v>157211.71</v>
      </c>
      <c r="H761" s="320">
        <f t="shared" si="24"/>
        <v>100</v>
      </c>
      <c r="I761" s="149" t="str">
        <f t="shared" si="25"/>
        <v>0106112006Э000</v>
      </c>
    </row>
    <row r="762" spans="1:9" ht="38.25">
      <c r="A762" s="54" t="s">
        <v>445</v>
      </c>
      <c r="B762" s="272" t="s">
        <v>253</v>
      </c>
      <c r="C762" s="272" t="s">
        <v>448</v>
      </c>
      <c r="D762" s="272" t="s">
        <v>1196</v>
      </c>
      <c r="E762" s="273" t="s">
        <v>446</v>
      </c>
      <c r="F762" s="320">
        <v>157211.71</v>
      </c>
      <c r="G762" s="470">
        <v>157211.71</v>
      </c>
      <c r="H762" s="320">
        <f t="shared" si="24"/>
        <v>100</v>
      </c>
      <c r="I762" s="149" t="str">
        <f t="shared" si="25"/>
        <v>0106112006Э000244</v>
      </c>
    </row>
    <row r="763" spans="1:9" ht="114.75">
      <c r="A763" s="54" t="s">
        <v>2012</v>
      </c>
      <c r="B763" s="272" t="s">
        <v>253</v>
      </c>
      <c r="C763" s="272" t="s">
        <v>448</v>
      </c>
      <c r="D763" s="272" t="s">
        <v>2013</v>
      </c>
      <c r="E763" s="273"/>
      <c r="F763" s="320">
        <v>13020</v>
      </c>
      <c r="G763" s="470">
        <v>13020</v>
      </c>
      <c r="H763" s="320">
        <f t="shared" si="24"/>
        <v>100</v>
      </c>
      <c r="I763" s="149" t="str">
        <f t="shared" si="25"/>
        <v>01061120077440</v>
      </c>
    </row>
    <row r="764" spans="1:9" ht="25.5">
      <c r="A764" s="54" t="s">
        <v>1165</v>
      </c>
      <c r="B764" s="272" t="s">
        <v>253</v>
      </c>
      <c r="C764" s="272" t="s">
        <v>448</v>
      </c>
      <c r="D764" s="272" t="s">
        <v>2013</v>
      </c>
      <c r="E764" s="273" t="s">
        <v>440</v>
      </c>
      <c r="F764" s="320">
        <v>10000</v>
      </c>
      <c r="G764" s="470">
        <v>10000</v>
      </c>
      <c r="H764" s="320">
        <f t="shared" si="24"/>
        <v>100</v>
      </c>
      <c r="I764" s="149" t="str">
        <f t="shared" si="25"/>
        <v>01061120077440121</v>
      </c>
    </row>
    <row r="765" spans="1:9" ht="51">
      <c r="A765" s="54" t="s">
        <v>1288</v>
      </c>
      <c r="B765" s="272" t="s">
        <v>253</v>
      </c>
      <c r="C765" s="272" t="s">
        <v>448</v>
      </c>
      <c r="D765" s="272" t="s">
        <v>2013</v>
      </c>
      <c r="E765" s="273" t="s">
        <v>1289</v>
      </c>
      <c r="F765" s="320">
        <v>3020</v>
      </c>
      <c r="G765" s="470">
        <v>3020</v>
      </c>
      <c r="H765" s="320">
        <f t="shared" si="24"/>
        <v>100</v>
      </c>
      <c r="I765" s="149" t="str">
        <f t="shared" si="25"/>
        <v>01061120077440129</v>
      </c>
    </row>
    <row r="766" spans="1:9" ht="76.5">
      <c r="A766" s="54" t="s">
        <v>665</v>
      </c>
      <c r="B766" s="272" t="s">
        <v>253</v>
      </c>
      <c r="C766" s="272" t="s">
        <v>448</v>
      </c>
      <c r="D766" s="272" t="s">
        <v>1001</v>
      </c>
      <c r="E766" s="273"/>
      <c r="F766" s="320">
        <v>400441</v>
      </c>
      <c r="G766" s="470">
        <v>400441</v>
      </c>
      <c r="H766" s="320">
        <f t="shared" si="24"/>
        <v>100</v>
      </c>
      <c r="I766" s="149" t="str">
        <f t="shared" si="25"/>
        <v>010611200Ч0060</v>
      </c>
    </row>
    <row r="767" spans="1:9" ht="25.5">
      <c r="A767" s="54" t="s">
        <v>1165</v>
      </c>
      <c r="B767" s="272" t="s">
        <v>253</v>
      </c>
      <c r="C767" s="272" t="s">
        <v>448</v>
      </c>
      <c r="D767" s="272" t="s">
        <v>1001</v>
      </c>
      <c r="E767" s="273" t="s">
        <v>440</v>
      </c>
      <c r="F767" s="320">
        <v>295308</v>
      </c>
      <c r="G767" s="470">
        <v>295308</v>
      </c>
      <c r="H767" s="320">
        <f t="shared" si="24"/>
        <v>100</v>
      </c>
      <c r="I767" s="149" t="str">
        <f t="shared" si="25"/>
        <v>010611200Ч0060121</v>
      </c>
    </row>
    <row r="768" spans="1:9" ht="38.25">
      <c r="A768" s="54" t="s">
        <v>441</v>
      </c>
      <c r="B768" s="272" t="s">
        <v>253</v>
      </c>
      <c r="C768" s="272" t="s">
        <v>448</v>
      </c>
      <c r="D768" s="272" t="s">
        <v>1001</v>
      </c>
      <c r="E768" s="273" t="s">
        <v>442</v>
      </c>
      <c r="F768" s="320">
        <v>7450</v>
      </c>
      <c r="G768" s="470">
        <v>7450</v>
      </c>
      <c r="H768" s="320">
        <f t="shared" si="24"/>
        <v>100</v>
      </c>
      <c r="I768" s="149" t="str">
        <f t="shared" si="25"/>
        <v>010611200Ч0060122</v>
      </c>
    </row>
    <row r="769" spans="1:9" ht="51">
      <c r="A769" s="54" t="s">
        <v>1288</v>
      </c>
      <c r="B769" s="272" t="s">
        <v>253</v>
      </c>
      <c r="C769" s="272" t="s">
        <v>448</v>
      </c>
      <c r="D769" s="272" t="s">
        <v>1001</v>
      </c>
      <c r="E769" s="273" t="s">
        <v>1289</v>
      </c>
      <c r="F769" s="320">
        <v>89183</v>
      </c>
      <c r="G769" s="470">
        <v>89183</v>
      </c>
      <c r="H769" s="320">
        <f t="shared" si="24"/>
        <v>100</v>
      </c>
      <c r="I769" s="149" t="str">
        <f t="shared" si="25"/>
        <v>010611200Ч0060129</v>
      </c>
    </row>
    <row r="770" spans="1:9" ht="38.25">
      <c r="A770" s="54" t="s">
        <v>445</v>
      </c>
      <c r="B770" s="272" t="s">
        <v>253</v>
      </c>
      <c r="C770" s="272" t="s">
        <v>448</v>
      </c>
      <c r="D770" s="272" t="s">
        <v>1001</v>
      </c>
      <c r="E770" s="273" t="s">
        <v>446</v>
      </c>
      <c r="F770" s="320">
        <v>8500</v>
      </c>
      <c r="G770" s="470">
        <v>8500</v>
      </c>
      <c r="H770" s="320">
        <f t="shared" si="24"/>
        <v>100</v>
      </c>
      <c r="I770" s="149" t="str">
        <f t="shared" si="25"/>
        <v>010611200Ч0060244</v>
      </c>
    </row>
    <row r="771" spans="1:9">
      <c r="A771" s="54" t="s">
        <v>69</v>
      </c>
      <c r="B771" s="272" t="s">
        <v>253</v>
      </c>
      <c r="C771" s="272" t="s">
        <v>546</v>
      </c>
      <c r="D771" s="272"/>
      <c r="E771" s="273"/>
      <c r="F771" s="320">
        <v>679646</v>
      </c>
      <c r="G771" s="470">
        <v>0</v>
      </c>
      <c r="H771" s="320">
        <f t="shared" si="24"/>
        <v>0</v>
      </c>
      <c r="I771" s="149" t="str">
        <f t="shared" si="25"/>
        <v>0111</v>
      </c>
    </row>
    <row r="772" spans="1:9" ht="38.25">
      <c r="A772" s="54" t="s">
        <v>547</v>
      </c>
      <c r="B772" s="272" t="s">
        <v>253</v>
      </c>
      <c r="C772" s="272" t="s">
        <v>546</v>
      </c>
      <c r="D772" s="272" t="s">
        <v>1002</v>
      </c>
      <c r="E772" s="273"/>
      <c r="F772" s="320">
        <v>679646</v>
      </c>
      <c r="G772" s="470">
        <v>0</v>
      </c>
      <c r="H772" s="320">
        <f t="shared" si="24"/>
        <v>0</v>
      </c>
      <c r="I772" s="149" t="str">
        <f t="shared" si="25"/>
        <v>01119010080000</v>
      </c>
    </row>
    <row r="773" spans="1:9">
      <c r="A773" s="54" t="s">
        <v>548</v>
      </c>
      <c r="B773" s="272" t="s">
        <v>253</v>
      </c>
      <c r="C773" s="272" t="s">
        <v>546</v>
      </c>
      <c r="D773" s="272" t="s">
        <v>1002</v>
      </c>
      <c r="E773" s="273" t="s">
        <v>549</v>
      </c>
      <c r="F773" s="320">
        <v>679646</v>
      </c>
      <c r="G773" s="470">
        <v>0</v>
      </c>
      <c r="H773" s="320">
        <f t="shared" si="24"/>
        <v>0</v>
      </c>
      <c r="I773" s="149" t="str">
        <f t="shared" si="25"/>
        <v>01119010080000870</v>
      </c>
    </row>
    <row r="774" spans="1:9">
      <c r="A774" s="54" t="s">
        <v>265</v>
      </c>
      <c r="B774" s="272" t="s">
        <v>253</v>
      </c>
      <c r="C774" s="272" t="s">
        <v>454</v>
      </c>
      <c r="D774" s="272"/>
      <c r="E774" s="273"/>
      <c r="F774" s="320">
        <v>285601.08</v>
      </c>
      <c r="G774" s="470">
        <v>216602.96</v>
      </c>
      <c r="H774" s="320">
        <f t="shared" si="24"/>
        <v>75.841085754997835</v>
      </c>
      <c r="I774" s="149" t="str">
        <f t="shared" si="25"/>
        <v>0113</v>
      </c>
    </row>
    <row r="775" spans="1:9" ht="127.5">
      <c r="A775" s="54" t="s">
        <v>666</v>
      </c>
      <c r="B775" s="272" t="s">
        <v>253</v>
      </c>
      <c r="C775" s="272" t="s">
        <v>454</v>
      </c>
      <c r="D775" s="272" t="s">
        <v>1003</v>
      </c>
      <c r="E775" s="273"/>
      <c r="F775" s="320">
        <v>178100</v>
      </c>
      <c r="G775" s="470">
        <v>178100</v>
      </c>
      <c r="H775" s="320">
        <f t="shared" ref="H775:H838" si="26">G775/F775*100</f>
        <v>100</v>
      </c>
      <c r="I775" s="149" t="str">
        <f t="shared" si="25"/>
        <v>01131110075140</v>
      </c>
    </row>
    <row r="776" spans="1:9">
      <c r="A776" s="54" t="s">
        <v>554</v>
      </c>
      <c r="B776" s="272" t="s">
        <v>253</v>
      </c>
      <c r="C776" s="272" t="s">
        <v>454</v>
      </c>
      <c r="D776" s="272" t="s">
        <v>1003</v>
      </c>
      <c r="E776" s="273" t="s">
        <v>555</v>
      </c>
      <c r="F776" s="320">
        <v>178100</v>
      </c>
      <c r="G776" s="470">
        <v>178100</v>
      </c>
      <c r="H776" s="320">
        <f t="shared" si="26"/>
        <v>100</v>
      </c>
      <c r="I776" s="149" t="str">
        <f t="shared" si="25"/>
        <v>01131110075140530</v>
      </c>
    </row>
    <row r="777" spans="1:9" ht="38.25">
      <c r="A777" s="54" t="s">
        <v>551</v>
      </c>
      <c r="B777" s="272" t="s">
        <v>253</v>
      </c>
      <c r="C777" s="272" t="s">
        <v>454</v>
      </c>
      <c r="D777" s="272" t="s">
        <v>1004</v>
      </c>
      <c r="E777" s="273"/>
      <c r="F777" s="320">
        <v>107501.08</v>
      </c>
      <c r="G777" s="470">
        <v>38502.959999999999</v>
      </c>
      <c r="H777" s="320">
        <f t="shared" si="26"/>
        <v>35.816347147396101</v>
      </c>
      <c r="I777" s="149" t="str">
        <f t="shared" si="25"/>
        <v>01139090080000</v>
      </c>
    </row>
    <row r="778" spans="1:9" ht="38.25">
      <c r="A778" s="54" t="s">
        <v>1758</v>
      </c>
      <c r="B778" s="272" t="s">
        <v>253</v>
      </c>
      <c r="C778" s="272" t="s">
        <v>454</v>
      </c>
      <c r="D778" s="272" t="s">
        <v>1004</v>
      </c>
      <c r="E778" s="273" t="s">
        <v>552</v>
      </c>
      <c r="F778" s="320">
        <v>107501.08</v>
      </c>
      <c r="G778" s="470">
        <v>38502.959999999999</v>
      </c>
      <c r="H778" s="320">
        <f t="shared" si="26"/>
        <v>35.816347147396101</v>
      </c>
      <c r="I778" s="149" t="str">
        <f t="shared" si="25"/>
        <v>01139090080000831</v>
      </c>
    </row>
    <row r="779" spans="1:9">
      <c r="A779" s="54" t="s">
        <v>232</v>
      </c>
      <c r="B779" s="272" t="s">
        <v>253</v>
      </c>
      <c r="C779" s="272" t="s">
        <v>1630</v>
      </c>
      <c r="D779" s="272"/>
      <c r="E779" s="273"/>
      <c r="F779" s="320">
        <v>4131005</v>
      </c>
      <c r="G779" s="470">
        <v>4076645.37</v>
      </c>
      <c r="H779" s="320">
        <f t="shared" si="26"/>
        <v>98.684106409941407</v>
      </c>
      <c r="I779" s="149" t="str">
        <f t="shared" si="25"/>
        <v>0200</v>
      </c>
    </row>
    <row r="780" spans="1:9">
      <c r="A780" s="54" t="s">
        <v>233</v>
      </c>
      <c r="B780" s="272" t="s">
        <v>253</v>
      </c>
      <c r="C780" s="272" t="s">
        <v>553</v>
      </c>
      <c r="D780" s="272"/>
      <c r="E780" s="273"/>
      <c r="F780" s="320">
        <v>4131005</v>
      </c>
      <c r="G780" s="470">
        <v>4076645.37</v>
      </c>
      <c r="H780" s="320">
        <f t="shared" si="26"/>
        <v>98.684106409941407</v>
      </c>
      <c r="I780" s="149" t="str">
        <f t="shared" si="25"/>
        <v>0203</v>
      </c>
    </row>
    <row r="781" spans="1:9" ht="127.5">
      <c r="A781" s="54" t="s">
        <v>667</v>
      </c>
      <c r="B781" s="272" t="s">
        <v>253</v>
      </c>
      <c r="C781" s="272" t="s">
        <v>553</v>
      </c>
      <c r="D781" s="272" t="s">
        <v>1005</v>
      </c>
      <c r="E781" s="273"/>
      <c r="F781" s="320">
        <v>4131005</v>
      </c>
      <c r="G781" s="470">
        <v>4076645.37</v>
      </c>
      <c r="H781" s="320">
        <f t="shared" si="26"/>
        <v>98.684106409941407</v>
      </c>
      <c r="I781" s="149" t="str">
        <f t="shared" si="25"/>
        <v>02031110051180</v>
      </c>
    </row>
    <row r="782" spans="1:9">
      <c r="A782" s="54" t="s">
        <v>554</v>
      </c>
      <c r="B782" s="272" t="s">
        <v>253</v>
      </c>
      <c r="C782" s="272" t="s">
        <v>553</v>
      </c>
      <c r="D782" s="272" t="s">
        <v>1005</v>
      </c>
      <c r="E782" s="273" t="s">
        <v>555</v>
      </c>
      <c r="F782" s="320">
        <v>4131005</v>
      </c>
      <c r="G782" s="470">
        <v>4076645.37</v>
      </c>
      <c r="H782" s="320">
        <f t="shared" si="26"/>
        <v>98.684106409941407</v>
      </c>
      <c r="I782" s="149" t="str">
        <f t="shared" si="25"/>
        <v>02031110051180530</v>
      </c>
    </row>
    <row r="783" spans="1:9" ht="25.5">
      <c r="A783" s="54" t="s">
        <v>286</v>
      </c>
      <c r="B783" s="272" t="s">
        <v>253</v>
      </c>
      <c r="C783" s="272" t="s">
        <v>1602</v>
      </c>
      <c r="D783" s="272"/>
      <c r="E783" s="273"/>
      <c r="F783" s="320">
        <v>1173571</v>
      </c>
      <c r="G783" s="470">
        <v>1173571</v>
      </c>
      <c r="H783" s="320">
        <f t="shared" si="26"/>
        <v>100</v>
      </c>
      <c r="I783" s="149" t="str">
        <f t="shared" si="25"/>
        <v>0300</v>
      </c>
    </row>
    <row r="784" spans="1:9">
      <c r="A784" s="54" t="s">
        <v>133</v>
      </c>
      <c r="B784" s="272" t="s">
        <v>253</v>
      </c>
      <c r="C784" s="272" t="s">
        <v>463</v>
      </c>
      <c r="D784" s="272"/>
      <c r="E784" s="273"/>
      <c r="F784" s="320">
        <v>1173571</v>
      </c>
      <c r="G784" s="470">
        <v>1173571</v>
      </c>
      <c r="H784" s="320">
        <f t="shared" si="26"/>
        <v>100</v>
      </c>
      <c r="I784" s="149" t="str">
        <f t="shared" si="25"/>
        <v>0310</v>
      </c>
    </row>
    <row r="785" spans="1:9" ht="102">
      <c r="A785" s="54" t="s">
        <v>1735</v>
      </c>
      <c r="B785" s="272" t="s">
        <v>253</v>
      </c>
      <c r="C785" s="272" t="s">
        <v>463</v>
      </c>
      <c r="D785" s="272" t="s">
        <v>1736</v>
      </c>
      <c r="E785" s="273"/>
      <c r="F785" s="320">
        <v>1173571</v>
      </c>
      <c r="G785" s="470">
        <v>1173571</v>
      </c>
      <c r="H785" s="320">
        <f t="shared" si="26"/>
        <v>100</v>
      </c>
      <c r="I785" s="149" t="str">
        <f t="shared" si="25"/>
        <v>03100420074120</v>
      </c>
    </row>
    <row r="786" spans="1:9">
      <c r="A786" s="54" t="s">
        <v>93</v>
      </c>
      <c r="B786" s="272" t="s">
        <v>253</v>
      </c>
      <c r="C786" s="272" t="s">
        <v>463</v>
      </c>
      <c r="D786" s="272" t="s">
        <v>1736</v>
      </c>
      <c r="E786" s="273" t="s">
        <v>550</v>
      </c>
      <c r="F786" s="320">
        <v>1173571</v>
      </c>
      <c r="G786" s="470">
        <v>1173571</v>
      </c>
      <c r="H786" s="320">
        <f t="shared" si="26"/>
        <v>100</v>
      </c>
      <c r="I786" s="149" t="str">
        <f t="shared" si="25"/>
        <v>03100420074120540</v>
      </c>
    </row>
    <row r="787" spans="1:9">
      <c r="A787" s="54" t="s">
        <v>222</v>
      </c>
      <c r="B787" s="272" t="s">
        <v>253</v>
      </c>
      <c r="C787" s="272" t="s">
        <v>1605</v>
      </c>
      <c r="D787" s="272"/>
      <c r="E787" s="273"/>
      <c r="F787" s="320">
        <v>45659630</v>
      </c>
      <c r="G787" s="470">
        <v>45408466.649999999</v>
      </c>
      <c r="H787" s="320">
        <f t="shared" si="26"/>
        <v>99.449922502657159</v>
      </c>
      <c r="I787" s="149" t="str">
        <f t="shared" si="25"/>
        <v>0400</v>
      </c>
    </row>
    <row r="788" spans="1:9">
      <c r="A788" s="54" t="s">
        <v>224</v>
      </c>
      <c r="B788" s="272" t="s">
        <v>253</v>
      </c>
      <c r="C788" s="272" t="s">
        <v>474</v>
      </c>
      <c r="D788" s="272"/>
      <c r="E788" s="273"/>
      <c r="F788" s="320">
        <v>10400000</v>
      </c>
      <c r="G788" s="470">
        <v>10400000</v>
      </c>
      <c r="H788" s="320">
        <f t="shared" si="26"/>
        <v>100</v>
      </c>
      <c r="I788" s="149" t="str">
        <f t="shared" si="25"/>
        <v>0408</v>
      </c>
    </row>
    <row r="789" spans="1:9" ht="76.5">
      <c r="A789" s="54" t="s">
        <v>1006</v>
      </c>
      <c r="B789" s="272" t="s">
        <v>253</v>
      </c>
      <c r="C789" s="272" t="s">
        <v>474</v>
      </c>
      <c r="D789" s="272" t="s">
        <v>1007</v>
      </c>
      <c r="E789" s="273"/>
      <c r="F789" s="320">
        <v>10400000</v>
      </c>
      <c r="G789" s="470">
        <v>10400000</v>
      </c>
      <c r="H789" s="320">
        <f t="shared" si="26"/>
        <v>100</v>
      </c>
      <c r="I789" s="149" t="str">
        <f t="shared" si="25"/>
        <v>040809200Ч0090</v>
      </c>
    </row>
    <row r="790" spans="1:9">
      <c r="A790" s="54" t="s">
        <v>93</v>
      </c>
      <c r="B790" s="272" t="s">
        <v>253</v>
      </c>
      <c r="C790" s="272" t="s">
        <v>474</v>
      </c>
      <c r="D790" s="272" t="s">
        <v>1007</v>
      </c>
      <c r="E790" s="273" t="s">
        <v>550</v>
      </c>
      <c r="F790" s="320">
        <v>10400000</v>
      </c>
      <c r="G790" s="470">
        <v>10400000</v>
      </c>
      <c r="H790" s="320">
        <f t="shared" si="26"/>
        <v>100</v>
      </c>
      <c r="I790" s="149" t="str">
        <f t="shared" si="25"/>
        <v>040809200Ч0090540</v>
      </c>
    </row>
    <row r="791" spans="1:9">
      <c r="A791" s="54" t="s">
        <v>303</v>
      </c>
      <c r="B791" s="272" t="s">
        <v>253</v>
      </c>
      <c r="C791" s="272" t="s">
        <v>476</v>
      </c>
      <c r="D791" s="272"/>
      <c r="E791" s="273"/>
      <c r="F791" s="320">
        <v>35259630</v>
      </c>
      <c r="G791" s="470">
        <v>35008466.649999999</v>
      </c>
      <c r="H791" s="320">
        <f t="shared" si="26"/>
        <v>99.287674459431358</v>
      </c>
      <c r="I791" s="149" t="str">
        <f t="shared" si="25"/>
        <v>0409</v>
      </c>
    </row>
    <row r="792" spans="1:9" ht="89.25">
      <c r="A792" s="54" t="s">
        <v>1773</v>
      </c>
      <c r="B792" s="272" t="s">
        <v>253</v>
      </c>
      <c r="C792" s="272" t="s">
        <v>476</v>
      </c>
      <c r="D792" s="272" t="s">
        <v>1121</v>
      </c>
      <c r="E792" s="273"/>
      <c r="F792" s="320">
        <v>5912130</v>
      </c>
      <c r="G792" s="470">
        <v>5912130</v>
      </c>
      <c r="H792" s="320">
        <f t="shared" si="26"/>
        <v>100</v>
      </c>
      <c r="I792" s="149" t="str">
        <f t="shared" si="25"/>
        <v>04090910075080</v>
      </c>
    </row>
    <row r="793" spans="1:9">
      <c r="A793" s="54" t="s">
        <v>93</v>
      </c>
      <c r="B793" s="272" t="s">
        <v>253</v>
      </c>
      <c r="C793" s="272" t="s">
        <v>476</v>
      </c>
      <c r="D793" s="272" t="s">
        <v>1121</v>
      </c>
      <c r="E793" s="273" t="s">
        <v>550</v>
      </c>
      <c r="F793" s="320">
        <v>5912130</v>
      </c>
      <c r="G793" s="470">
        <v>5912130</v>
      </c>
      <c r="H793" s="320">
        <f t="shared" si="26"/>
        <v>100</v>
      </c>
      <c r="I793" s="149" t="str">
        <f t="shared" si="25"/>
        <v>04090910075080540</v>
      </c>
    </row>
    <row r="794" spans="1:9" ht="89.25">
      <c r="A794" s="54" t="s">
        <v>1774</v>
      </c>
      <c r="B794" s="272" t="s">
        <v>253</v>
      </c>
      <c r="C794" s="272" t="s">
        <v>476</v>
      </c>
      <c r="D794" s="272" t="s">
        <v>1775</v>
      </c>
      <c r="E794" s="273"/>
      <c r="F794" s="320">
        <v>29068700</v>
      </c>
      <c r="G794" s="470">
        <v>28817536.649999999</v>
      </c>
      <c r="H794" s="320">
        <f t="shared" si="26"/>
        <v>99.13596634868432</v>
      </c>
      <c r="I794" s="149" t="str">
        <f t="shared" si="25"/>
        <v>04090910075090</v>
      </c>
    </row>
    <row r="795" spans="1:9">
      <c r="A795" s="54" t="s">
        <v>93</v>
      </c>
      <c r="B795" s="272" t="s">
        <v>253</v>
      </c>
      <c r="C795" s="272" t="s">
        <v>476</v>
      </c>
      <c r="D795" s="272" t="s">
        <v>1775</v>
      </c>
      <c r="E795" s="273" t="s">
        <v>550</v>
      </c>
      <c r="F795" s="320">
        <v>29068700</v>
      </c>
      <c r="G795" s="470">
        <v>28817536.649999999</v>
      </c>
      <c r="H795" s="320">
        <f t="shared" si="26"/>
        <v>99.13596634868432</v>
      </c>
      <c r="I795" s="149" t="str">
        <f t="shared" si="25"/>
        <v>04090910075090540</v>
      </c>
    </row>
    <row r="796" spans="1:9" ht="102">
      <c r="A796" s="54" t="s">
        <v>1776</v>
      </c>
      <c r="B796" s="272" t="s">
        <v>253</v>
      </c>
      <c r="C796" s="272" t="s">
        <v>476</v>
      </c>
      <c r="D796" s="272" t="s">
        <v>1777</v>
      </c>
      <c r="E796" s="273"/>
      <c r="F796" s="320">
        <v>278800</v>
      </c>
      <c r="G796" s="470">
        <v>278800</v>
      </c>
      <c r="H796" s="320">
        <f t="shared" si="26"/>
        <v>100</v>
      </c>
      <c r="I796" s="149" t="str">
        <f t="shared" si="25"/>
        <v>04090930074920</v>
      </c>
    </row>
    <row r="797" spans="1:9">
      <c r="A797" s="54" t="s">
        <v>93</v>
      </c>
      <c r="B797" s="272" t="s">
        <v>253</v>
      </c>
      <c r="C797" s="272" t="s">
        <v>476</v>
      </c>
      <c r="D797" s="272" t="s">
        <v>1777</v>
      </c>
      <c r="E797" s="273" t="s">
        <v>550</v>
      </c>
      <c r="F797" s="320">
        <v>278800</v>
      </c>
      <c r="G797" s="470">
        <v>278800</v>
      </c>
      <c r="H797" s="320">
        <f t="shared" si="26"/>
        <v>100</v>
      </c>
      <c r="I797" s="149" t="str">
        <f t="shared" si="25"/>
        <v>04090930074920540</v>
      </c>
    </row>
    <row r="798" spans="1:9">
      <c r="A798" s="54" t="s">
        <v>287</v>
      </c>
      <c r="B798" s="272" t="s">
        <v>253</v>
      </c>
      <c r="C798" s="272" t="s">
        <v>1607</v>
      </c>
      <c r="D798" s="272"/>
      <c r="E798" s="273"/>
      <c r="F798" s="320">
        <v>6200152.1200000001</v>
      </c>
      <c r="G798" s="470">
        <v>5850833.6600000001</v>
      </c>
      <c r="H798" s="320">
        <f t="shared" si="26"/>
        <v>94.365969523986465</v>
      </c>
      <c r="I798" s="149" t="str">
        <f t="shared" si="25"/>
        <v>0500</v>
      </c>
    </row>
    <row r="799" spans="1:9">
      <c r="A799" s="54" t="s">
        <v>3</v>
      </c>
      <c r="B799" s="272" t="s">
        <v>253</v>
      </c>
      <c r="C799" s="272" t="s">
        <v>504</v>
      </c>
      <c r="D799" s="272"/>
      <c r="E799" s="273"/>
      <c r="F799" s="320">
        <v>2069412.12</v>
      </c>
      <c r="G799" s="470">
        <v>2069412.12</v>
      </c>
      <c r="H799" s="320">
        <f t="shared" si="26"/>
        <v>100</v>
      </c>
      <c r="I799" s="149" t="str">
        <f t="shared" si="25"/>
        <v>0501</v>
      </c>
    </row>
    <row r="800" spans="1:9" ht="204">
      <c r="A800" s="54" t="s">
        <v>1778</v>
      </c>
      <c r="B800" s="272" t="s">
        <v>253</v>
      </c>
      <c r="C800" s="272" t="s">
        <v>504</v>
      </c>
      <c r="D800" s="272" t="s">
        <v>1779</v>
      </c>
      <c r="E800" s="273"/>
      <c r="F800" s="320">
        <v>1935165.09</v>
      </c>
      <c r="G800" s="470">
        <v>1935165.09</v>
      </c>
      <c r="H800" s="320">
        <f t="shared" si="26"/>
        <v>100</v>
      </c>
      <c r="I800" s="149" t="str">
        <f t="shared" si="25"/>
        <v>05011010009502</v>
      </c>
    </row>
    <row r="801" spans="1:9">
      <c r="A801" s="54" t="s">
        <v>93</v>
      </c>
      <c r="B801" s="272" t="s">
        <v>253</v>
      </c>
      <c r="C801" s="272" t="s">
        <v>504</v>
      </c>
      <c r="D801" s="272" t="s">
        <v>1779</v>
      </c>
      <c r="E801" s="273" t="s">
        <v>550</v>
      </c>
      <c r="F801" s="320">
        <v>1935165.09</v>
      </c>
      <c r="G801" s="470">
        <v>1935165.09</v>
      </c>
      <c r="H801" s="320">
        <f t="shared" si="26"/>
        <v>100</v>
      </c>
      <c r="I801" s="149" t="str">
        <f t="shared" si="25"/>
        <v>05011010009502540</v>
      </c>
    </row>
    <row r="802" spans="1:9" ht="191.25">
      <c r="A802" s="54" t="s">
        <v>1780</v>
      </c>
      <c r="B802" s="272" t="s">
        <v>253</v>
      </c>
      <c r="C802" s="272" t="s">
        <v>504</v>
      </c>
      <c r="D802" s="272" t="s">
        <v>1781</v>
      </c>
      <c r="E802" s="273"/>
      <c r="F802" s="320">
        <v>134247.03</v>
      </c>
      <c r="G802" s="470">
        <v>134247.03</v>
      </c>
      <c r="H802" s="320">
        <f t="shared" si="26"/>
        <v>100</v>
      </c>
      <c r="I802" s="149" t="str">
        <f t="shared" si="25"/>
        <v>05011010009602</v>
      </c>
    </row>
    <row r="803" spans="1:9">
      <c r="A803" s="54" t="s">
        <v>93</v>
      </c>
      <c r="B803" s="272" t="s">
        <v>253</v>
      </c>
      <c r="C803" s="272" t="s">
        <v>504</v>
      </c>
      <c r="D803" s="272" t="s">
        <v>1781</v>
      </c>
      <c r="E803" s="273" t="s">
        <v>550</v>
      </c>
      <c r="F803" s="320">
        <v>134247.03</v>
      </c>
      <c r="G803" s="470">
        <v>134247.03</v>
      </c>
      <c r="H803" s="320">
        <f t="shared" si="26"/>
        <v>100</v>
      </c>
      <c r="I803" s="149" t="str">
        <f t="shared" si="25"/>
        <v>05011010009602540</v>
      </c>
    </row>
    <row r="804" spans="1:9">
      <c r="A804" s="54" t="s">
        <v>45</v>
      </c>
      <c r="B804" s="272" t="s">
        <v>253</v>
      </c>
      <c r="C804" s="272" t="s">
        <v>506</v>
      </c>
      <c r="D804" s="272"/>
      <c r="E804" s="273"/>
      <c r="F804" s="320">
        <v>4130740</v>
      </c>
      <c r="G804" s="470">
        <v>3781421.54</v>
      </c>
      <c r="H804" s="320">
        <f t="shared" si="26"/>
        <v>91.543441126771469</v>
      </c>
      <c r="I804" s="149" t="str">
        <f t="shared" si="25"/>
        <v>0503</v>
      </c>
    </row>
    <row r="805" spans="1:9" ht="114.75">
      <c r="A805" s="54" t="s">
        <v>1142</v>
      </c>
      <c r="B805" s="272" t="s">
        <v>253</v>
      </c>
      <c r="C805" s="272" t="s">
        <v>506</v>
      </c>
      <c r="D805" s="272" t="s">
        <v>1141</v>
      </c>
      <c r="E805" s="273"/>
      <c r="F805" s="320">
        <v>3780740</v>
      </c>
      <c r="G805" s="470">
        <v>3431421.54</v>
      </c>
      <c r="H805" s="320">
        <f t="shared" si="26"/>
        <v>90.760579674878457</v>
      </c>
      <c r="I805" s="149" t="str">
        <f t="shared" si="25"/>
        <v>05031110077410</v>
      </c>
    </row>
    <row r="806" spans="1:9">
      <c r="A806" s="54" t="s">
        <v>93</v>
      </c>
      <c r="B806" s="272" t="s">
        <v>253</v>
      </c>
      <c r="C806" s="272" t="s">
        <v>506</v>
      </c>
      <c r="D806" s="272" t="s">
        <v>1141</v>
      </c>
      <c r="E806" s="273" t="s">
        <v>550</v>
      </c>
      <c r="F806" s="320">
        <v>3780740</v>
      </c>
      <c r="G806" s="470">
        <v>3431421.54</v>
      </c>
      <c r="H806" s="320">
        <f t="shared" si="26"/>
        <v>90.760579674878457</v>
      </c>
      <c r="I806" s="149" t="str">
        <f t="shared" si="25"/>
        <v>05031110077410540</v>
      </c>
    </row>
    <row r="807" spans="1:9" ht="114.75">
      <c r="A807" s="54" t="s">
        <v>1859</v>
      </c>
      <c r="B807" s="272" t="s">
        <v>253</v>
      </c>
      <c r="C807" s="272" t="s">
        <v>506</v>
      </c>
      <c r="D807" s="272" t="s">
        <v>1860</v>
      </c>
      <c r="E807" s="273"/>
      <c r="F807" s="320">
        <v>350000</v>
      </c>
      <c r="G807" s="470">
        <v>350000</v>
      </c>
      <c r="H807" s="320">
        <f t="shared" si="26"/>
        <v>100</v>
      </c>
      <c r="I807" s="149" t="str">
        <f t="shared" si="25"/>
        <v>05031110077490</v>
      </c>
    </row>
    <row r="808" spans="1:9">
      <c r="A808" s="54" t="s">
        <v>93</v>
      </c>
      <c r="B808" s="272" t="s">
        <v>253</v>
      </c>
      <c r="C808" s="272" t="s">
        <v>506</v>
      </c>
      <c r="D808" s="272" t="s">
        <v>1860</v>
      </c>
      <c r="E808" s="273" t="s">
        <v>550</v>
      </c>
      <c r="F808" s="320">
        <v>350000</v>
      </c>
      <c r="G808" s="470">
        <v>350000</v>
      </c>
      <c r="H808" s="320">
        <f t="shared" si="26"/>
        <v>100</v>
      </c>
      <c r="I808" s="149" t="str">
        <f t="shared" ref="I808:I841" si="27">CONCATENATE(C808,D808,E808)</f>
        <v>05031110077490540</v>
      </c>
    </row>
    <row r="809" spans="1:9">
      <c r="A809" s="54" t="s">
        <v>173</v>
      </c>
      <c r="B809" s="272" t="s">
        <v>253</v>
      </c>
      <c r="C809" s="272" t="s">
        <v>1608</v>
      </c>
      <c r="D809" s="272"/>
      <c r="E809" s="273"/>
      <c r="F809" s="320">
        <v>674240</v>
      </c>
      <c r="G809" s="470">
        <v>674240</v>
      </c>
      <c r="H809" s="320">
        <f t="shared" si="26"/>
        <v>100</v>
      </c>
      <c r="I809" s="149" t="str">
        <f t="shared" si="27"/>
        <v>0700</v>
      </c>
    </row>
    <row r="810" spans="1:9">
      <c r="A810" s="54" t="s">
        <v>1440</v>
      </c>
      <c r="B810" s="272" t="s">
        <v>253</v>
      </c>
      <c r="C810" s="272" t="s">
        <v>483</v>
      </c>
      <c r="D810" s="272"/>
      <c r="E810" s="273"/>
      <c r="F810" s="320">
        <v>674240</v>
      </c>
      <c r="G810" s="470">
        <v>674240</v>
      </c>
      <c r="H810" s="320">
        <f t="shared" si="26"/>
        <v>100</v>
      </c>
      <c r="I810" s="149" t="str">
        <f t="shared" si="27"/>
        <v>0707</v>
      </c>
    </row>
    <row r="811" spans="1:9" ht="76.5">
      <c r="A811" s="54" t="s">
        <v>556</v>
      </c>
      <c r="B811" s="272" t="s">
        <v>253</v>
      </c>
      <c r="C811" s="272" t="s">
        <v>483</v>
      </c>
      <c r="D811" s="272" t="s">
        <v>1008</v>
      </c>
      <c r="E811" s="273"/>
      <c r="F811" s="320">
        <v>674240</v>
      </c>
      <c r="G811" s="470">
        <v>674240</v>
      </c>
      <c r="H811" s="320">
        <f t="shared" si="26"/>
        <v>100</v>
      </c>
      <c r="I811" s="149" t="str">
        <f t="shared" si="27"/>
        <v>070706100Ч0050</v>
      </c>
    </row>
    <row r="812" spans="1:9">
      <c r="A812" s="54" t="s">
        <v>93</v>
      </c>
      <c r="B812" s="272" t="s">
        <v>253</v>
      </c>
      <c r="C812" s="272" t="s">
        <v>483</v>
      </c>
      <c r="D812" s="272" t="s">
        <v>1008</v>
      </c>
      <c r="E812" s="273" t="s">
        <v>550</v>
      </c>
      <c r="F812" s="320">
        <v>674240</v>
      </c>
      <c r="G812" s="470">
        <v>674240</v>
      </c>
      <c r="H812" s="320">
        <f t="shared" si="26"/>
        <v>100</v>
      </c>
      <c r="I812" s="149" t="str">
        <f t="shared" si="27"/>
        <v>070706100Ч0050540</v>
      </c>
    </row>
    <row r="813" spans="1:9">
      <c r="A813" s="54" t="s">
        <v>298</v>
      </c>
      <c r="B813" s="272" t="s">
        <v>253</v>
      </c>
      <c r="C813" s="272" t="s">
        <v>1618</v>
      </c>
      <c r="D813" s="272"/>
      <c r="E813" s="273"/>
      <c r="F813" s="320">
        <v>559893.29</v>
      </c>
      <c r="G813" s="470">
        <v>557596.1</v>
      </c>
      <c r="H813" s="320">
        <f t="shared" si="26"/>
        <v>99.589709317645145</v>
      </c>
      <c r="I813" s="149" t="str">
        <f t="shared" si="27"/>
        <v>0800</v>
      </c>
    </row>
    <row r="814" spans="1:9">
      <c r="A814" s="54" t="s">
        <v>254</v>
      </c>
      <c r="B814" s="272" t="s">
        <v>253</v>
      </c>
      <c r="C814" s="272" t="s">
        <v>510</v>
      </c>
      <c r="D814" s="272"/>
      <c r="E814" s="273"/>
      <c r="F814" s="320">
        <v>559893.29</v>
      </c>
      <c r="G814" s="470">
        <v>557596.1</v>
      </c>
      <c r="H814" s="320">
        <f t="shared" si="26"/>
        <v>99.589709317645145</v>
      </c>
      <c r="I814" s="149" t="str">
        <f t="shared" si="27"/>
        <v>0801</v>
      </c>
    </row>
    <row r="815" spans="1:9" ht="89.25">
      <c r="A815" s="54" t="s">
        <v>1761</v>
      </c>
      <c r="B815" s="272" t="s">
        <v>253</v>
      </c>
      <c r="C815" s="272" t="s">
        <v>510</v>
      </c>
      <c r="D815" s="272" t="s">
        <v>1762</v>
      </c>
      <c r="E815" s="273"/>
      <c r="F815" s="320">
        <v>64209</v>
      </c>
      <c r="G815" s="470">
        <v>61911.81</v>
      </c>
      <c r="H815" s="320">
        <f t="shared" si="26"/>
        <v>96.422323973274771</v>
      </c>
      <c r="I815" s="149" t="str">
        <f t="shared" si="27"/>
        <v>08010510010440</v>
      </c>
    </row>
    <row r="816" spans="1:9">
      <c r="A816" s="54" t="s">
        <v>93</v>
      </c>
      <c r="B816" s="272" t="s">
        <v>253</v>
      </c>
      <c r="C816" s="272" t="s">
        <v>510</v>
      </c>
      <c r="D816" s="272" t="s">
        <v>1762</v>
      </c>
      <c r="E816" s="273" t="s">
        <v>550</v>
      </c>
      <c r="F816" s="320">
        <v>64209</v>
      </c>
      <c r="G816" s="470">
        <v>61911.81</v>
      </c>
      <c r="H816" s="320">
        <f t="shared" si="26"/>
        <v>96.422323973274771</v>
      </c>
      <c r="I816" s="149" t="str">
        <f t="shared" si="27"/>
        <v>08010510010440540</v>
      </c>
    </row>
    <row r="817" spans="1:9" ht="114.75">
      <c r="A817" s="54" t="s">
        <v>1900</v>
      </c>
      <c r="B817" s="272" t="s">
        <v>253</v>
      </c>
      <c r="C817" s="272" t="s">
        <v>510</v>
      </c>
      <c r="D817" s="272" t="s">
        <v>1901</v>
      </c>
      <c r="E817" s="273"/>
      <c r="F817" s="320">
        <v>106684.29</v>
      </c>
      <c r="G817" s="470">
        <v>106684.29</v>
      </c>
      <c r="H817" s="320">
        <f t="shared" si="26"/>
        <v>100</v>
      </c>
      <c r="I817" s="149" t="str">
        <f t="shared" si="27"/>
        <v>08010520010460</v>
      </c>
    </row>
    <row r="818" spans="1:9">
      <c r="A818" s="54" t="s">
        <v>93</v>
      </c>
      <c r="B818" s="272" t="s">
        <v>253</v>
      </c>
      <c r="C818" s="272" t="s">
        <v>510</v>
      </c>
      <c r="D818" s="272" t="s">
        <v>1901</v>
      </c>
      <c r="E818" s="273" t="s">
        <v>550</v>
      </c>
      <c r="F818" s="320">
        <v>106684.29</v>
      </c>
      <c r="G818" s="470">
        <v>106684.29</v>
      </c>
      <c r="H818" s="320">
        <f t="shared" si="26"/>
        <v>100</v>
      </c>
      <c r="I818" s="149" t="str">
        <f t="shared" si="27"/>
        <v>08010520010460540</v>
      </c>
    </row>
    <row r="819" spans="1:9" ht="165.75">
      <c r="A819" s="54" t="s">
        <v>1138</v>
      </c>
      <c r="B819" s="272" t="s">
        <v>253</v>
      </c>
      <c r="C819" s="272" t="s">
        <v>510</v>
      </c>
      <c r="D819" s="272" t="s">
        <v>1137</v>
      </c>
      <c r="E819" s="273"/>
      <c r="F819" s="320">
        <v>389000</v>
      </c>
      <c r="G819" s="470">
        <v>389000</v>
      </c>
      <c r="H819" s="320">
        <f t="shared" si="26"/>
        <v>100</v>
      </c>
      <c r="I819" s="149" t="str">
        <f t="shared" si="27"/>
        <v>08011110010210</v>
      </c>
    </row>
    <row r="820" spans="1:9">
      <c r="A820" s="54" t="s">
        <v>93</v>
      </c>
      <c r="B820" s="272" t="s">
        <v>253</v>
      </c>
      <c r="C820" s="272" t="s">
        <v>510</v>
      </c>
      <c r="D820" s="272" t="s">
        <v>1137</v>
      </c>
      <c r="E820" s="273" t="s">
        <v>550</v>
      </c>
      <c r="F820" s="320">
        <v>389000</v>
      </c>
      <c r="G820" s="470">
        <v>389000</v>
      </c>
      <c r="H820" s="320">
        <f t="shared" si="26"/>
        <v>100</v>
      </c>
      <c r="I820" s="149" t="str">
        <f t="shared" si="27"/>
        <v>08011110010210540</v>
      </c>
    </row>
    <row r="821" spans="1:9">
      <c r="A821" s="54" t="s">
        <v>296</v>
      </c>
      <c r="B821" s="272" t="s">
        <v>253</v>
      </c>
      <c r="C821" s="272" t="s">
        <v>1631</v>
      </c>
      <c r="D821" s="272"/>
      <c r="E821" s="273"/>
      <c r="F821" s="320">
        <v>64000</v>
      </c>
      <c r="G821" s="470">
        <v>64000</v>
      </c>
      <c r="H821" s="320">
        <f t="shared" si="26"/>
        <v>100</v>
      </c>
      <c r="I821" s="149" t="str">
        <f t="shared" si="27"/>
        <v>0900</v>
      </c>
    </row>
    <row r="822" spans="1:9">
      <c r="A822" s="54" t="s">
        <v>1632</v>
      </c>
      <c r="B822" s="272" t="s">
        <v>253</v>
      </c>
      <c r="C822" s="272" t="s">
        <v>491</v>
      </c>
      <c r="D822" s="272"/>
      <c r="E822" s="273"/>
      <c r="F822" s="320">
        <v>64000</v>
      </c>
      <c r="G822" s="470">
        <v>64000</v>
      </c>
      <c r="H822" s="320">
        <f t="shared" si="26"/>
        <v>100</v>
      </c>
      <c r="I822" s="149" t="str">
        <f t="shared" si="27"/>
        <v>0909</v>
      </c>
    </row>
    <row r="823" spans="1:9" ht="51">
      <c r="A823" s="54" t="s">
        <v>492</v>
      </c>
      <c r="B823" s="272" t="s">
        <v>253</v>
      </c>
      <c r="C823" s="272" t="s">
        <v>491</v>
      </c>
      <c r="D823" s="272" t="s">
        <v>1009</v>
      </c>
      <c r="E823" s="273"/>
      <c r="F823" s="320">
        <v>64000</v>
      </c>
      <c r="G823" s="470">
        <v>64000</v>
      </c>
      <c r="H823" s="320">
        <f t="shared" si="26"/>
        <v>100</v>
      </c>
      <c r="I823" s="149" t="str">
        <f t="shared" si="27"/>
        <v>09099090075550</v>
      </c>
    </row>
    <row r="824" spans="1:9">
      <c r="A824" s="54" t="s">
        <v>93</v>
      </c>
      <c r="B824" s="272" t="s">
        <v>253</v>
      </c>
      <c r="C824" s="272" t="s">
        <v>491</v>
      </c>
      <c r="D824" s="272" t="s">
        <v>1009</v>
      </c>
      <c r="E824" s="273" t="s">
        <v>550</v>
      </c>
      <c r="F824" s="320">
        <v>64000</v>
      </c>
      <c r="G824" s="470">
        <v>64000</v>
      </c>
      <c r="H824" s="320">
        <f t="shared" si="26"/>
        <v>100</v>
      </c>
      <c r="I824" s="149" t="str">
        <f t="shared" si="27"/>
        <v>09099090075550540</v>
      </c>
    </row>
    <row r="825" spans="1:9" ht="25.5">
      <c r="A825" s="54" t="s">
        <v>299</v>
      </c>
      <c r="B825" s="272" t="s">
        <v>253</v>
      </c>
      <c r="C825" s="272" t="s">
        <v>1633</v>
      </c>
      <c r="D825" s="272"/>
      <c r="E825" s="273"/>
      <c r="F825" s="320">
        <v>80877</v>
      </c>
      <c r="G825" s="470">
        <v>27023.279999999999</v>
      </c>
      <c r="H825" s="320">
        <f t="shared" si="26"/>
        <v>33.412812047924625</v>
      </c>
      <c r="I825" s="149" t="str">
        <f t="shared" si="27"/>
        <v>1300</v>
      </c>
    </row>
    <row r="826" spans="1:9" ht="25.5">
      <c r="A826" s="54" t="s">
        <v>300</v>
      </c>
      <c r="B826" s="272" t="s">
        <v>253</v>
      </c>
      <c r="C826" s="272" t="s">
        <v>557</v>
      </c>
      <c r="D826" s="272"/>
      <c r="E826" s="273"/>
      <c r="F826" s="320">
        <v>80877</v>
      </c>
      <c r="G826" s="470">
        <v>27023.279999999999</v>
      </c>
      <c r="H826" s="320">
        <f t="shared" si="26"/>
        <v>33.412812047924625</v>
      </c>
      <c r="I826" s="149" t="str">
        <f t="shared" si="27"/>
        <v>1301</v>
      </c>
    </row>
    <row r="827" spans="1:9" ht="38.25">
      <c r="A827" s="54" t="s">
        <v>551</v>
      </c>
      <c r="B827" s="272" t="s">
        <v>253</v>
      </c>
      <c r="C827" s="272" t="s">
        <v>557</v>
      </c>
      <c r="D827" s="272" t="s">
        <v>1004</v>
      </c>
      <c r="E827" s="273"/>
      <c r="F827" s="320">
        <v>80877</v>
      </c>
      <c r="G827" s="470">
        <v>27023.279999999999</v>
      </c>
      <c r="H827" s="320">
        <f t="shared" si="26"/>
        <v>33.412812047924625</v>
      </c>
      <c r="I827" s="149" t="str">
        <f t="shared" si="27"/>
        <v>13019090080000</v>
      </c>
    </row>
    <row r="828" spans="1:9">
      <c r="A828" s="54" t="s">
        <v>558</v>
      </c>
      <c r="B828" s="272" t="s">
        <v>253</v>
      </c>
      <c r="C828" s="272" t="s">
        <v>557</v>
      </c>
      <c r="D828" s="272" t="s">
        <v>1004</v>
      </c>
      <c r="E828" s="273" t="s">
        <v>559</v>
      </c>
      <c r="F828" s="320">
        <v>80877</v>
      </c>
      <c r="G828" s="470">
        <v>27023.279999999999</v>
      </c>
      <c r="H828" s="320">
        <f t="shared" si="26"/>
        <v>33.412812047924625</v>
      </c>
      <c r="I828" s="149" t="str">
        <f t="shared" si="27"/>
        <v>13019090080000730</v>
      </c>
    </row>
    <row r="829" spans="1:9" ht="38.25">
      <c r="A829" s="54" t="s">
        <v>1634</v>
      </c>
      <c r="B829" s="272" t="s">
        <v>253</v>
      </c>
      <c r="C829" s="272" t="s">
        <v>1635</v>
      </c>
      <c r="D829" s="272"/>
      <c r="E829" s="273"/>
      <c r="F829" s="320">
        <v>104335038</v>
      </c>
      <c r="G829" s="470">
        <v>101514387.81999999</v>
      </c>
      <c r="H829" s="320">
        <f t="shared" si="26"/>
        <v>97.296545595737456</v>
      </c>
      <c r="I829" s="149" t="str">
        <f t="shared" si="27"/>
        <v>1400</v>
      </c>
    </row>
    <row r="830" spans="1:9" ht="38.25">
      <c r="A830" s="54" t="s">
        <v>259</v>
      </c>
      <c r="B830" s="272" t="s">
        <v>253</v>
      </c>
      <c r="C830" s="272" t="s">
        <v>560</v>
      </c>
      <c r="D830" s="272"/>
      <c r="E830" s="273"/>
      <c r="F830" s="320">
        <v>64187700</v>
      </c>
      <c r="G830" s="470">
        <v>64187700</v>
      </c>
      <c r="H830" s="320">
        <f t="shared" si="26"/>
        <v>100</v>
      </c>
      <c r="I830" s="149" t="str">
        <f t="shared" si="27"/>
        <v>1401</v>
      </c>
    </row>
    <row r="831" spans="1:9" ht="165.75">
      <c r="A831" s="54" t="s">
        <v>1314</v>
      </c>
      <c r="B831" s="272" t="s">
        <v>253</v>
      </c>
      <c r="C831" s="272" t="s">
        <v>560</v>
      </c>
      <c r="D831" s="272" t="s">
        <v>1010</v>
      </c>
      <c r="E831" s="273"/>
      <c r="F831" s="320">
        <v>26666200</v>
      </c>
      <c r="G831" s="470">
        <v>26666200</v>
      </c>
      <c r="H831" s="320">
        <f t="shared" si="26"/>
        <v>100</v>
      </c>
      <c r="I831" s="149" t="str">
        <f t="shared" si="27"/>
        <v>14011110076010</v>
      </c>
    </row>
    <row r="832" spans="1:9" ht="25.5">
      <c r="A832" s="54" t="s">
        <v>680</v>
      </c>
      <c r="B832" s="272" t="s">
        <v>253</v>
      </c>
      <c r="C832" s="272" t="s">
        <v>560</v>
      </c>
      <c r="D832" s="272" t="s">
        <v>1010</v>
      </c>
      <c r="E832" s="273" t="s">
        <v>561</v>
      </c>
      <c r="F832" s="320">
        <v>26666200</v>
      </c>
      <c r="G832" s="470">
        <v>26666200</v>
      </c>
      <c r="H832" s="320">
        <f t="shared" si="26"/>
        <v>100</v>
      </c>
      <c r="I832" s="149" t="str">
        <f t="shared" si="27"/>
        <v>14011110076010511</v>
      </c>
    </row>
    <row r="833" spans="1:9" ht="114.75">
      <c r="A833" s="54" t="s">
        <v>669</v>
      </c>
      <c r="B833" s="272" t="s">
        <v>253</v>
      </c>
      <c r="C833" s="272" t="s">
        <v>560</v>
      </c>
      <c r="D833" s="272" t="s">
        <v>1011</v>
      </c>
      <c r="E833" s="273"/>
      <c r="F833" s="320">
        <v>37521500</v>
      </c>
      <c r="G833" s="470">
        <v>37521500</v>
      </c>
      <c r="H833" s="320">
        <f t="shared" si="26"/>
        <v>100</v>
      </c>
      <c r="I833" s="149" t="str">
        <f t="shared" si="27"/>
        <v>14011110080130</v>
      </c>
    </row>
    <row r="834" spans="1:9" ht="25.5">
      <c r="A834" s="54" t="s">
        <v>680</v>
      </c>
      <c r="B834" s="272" t="s">
        <v>253</v>
      </c>
      <c r="C834" s="272" t="s">
        <v>560</v>
      </c>
      <c r="D834" s="272" t="s">
        <v>1011</v>
      </c>
      <c r="E834" s="273" t="s">
        <v>561</v>
      </c>
      <c r="F834" s="320">
        <v>37521500</v>
      </c>
      <c r="G834" s="470">
        <v>37521500</v>
      </c>
      <c r="H834" s="320">
        <f t="shared" si="26"/>
        <v>100</v>
      </c>
      <c r="I834" s="149" t="str">
        <f t="shared" si="27"/>
        <v>14011110080130511</v>
      </c>
    </row>
    <row r="835" spans="1:9" ht="25.5">
      <c r="A835" s="54" t="s">
        <v>301</v>
      </c>
      <c r="B835" s="272" t="s">
        <v>253</v>
      </c>
      <c r="C835" s="272" t="s">
        <v>562</v>
      </c>
      <c r="D835" s="272"/>
      <c r="E835" s="273"/>
      <c r="F835" s="320">
        <v>40147338</v>
      </c>
      <c r="G835" s="470">
        <v>37326687.82</v>
      </c>
      <c r="H835" s="320">
        <f t="shared" si="26"/>
        <v>92.974253535813517</v>
      </c>
      <c r="I835" s="149" t="str">
        <f t="shared" si="27"/>
        <v>1403</v>
      </c>
    </row>
    <row r="836" spans="1:9" ht="165.75">
      <c r="A836" s="54" t="s">
        <v>1138</v>
      </c>
      <c r="B836" s="272" t="s">
        <v>253</v>
      </c>
      <c r="C836" s="272" t="s">
        <v>562</v>
      </c>
      <c r="D836" s="272" t="s">
        <v>1137</v>
      </c>
      <c r="E836" s="273"/>
      <c r="F836" s="320">
        <v>110000</v>
      </c>
      <c r="G836" s="470">
        <v>110000</v>
      </c>
      <c r="H836" s="320">
        <f t="shared" si="26"/>
        <v>100</v>
      </c>
      <c r="I836" s="149" t="str">
        <f t="shared" si="27"/>
        <v>14031110010210</v>
      </c>
    </row>
    <row r="837" spans="1:9">
      <c r="A837" s="54" t="s">
        <v>93</v>
      </c>
      <c r="B837" s="272" t="s">
        <v>253</v>
      </c>
      <c r="C837" s="272" t="s">
        <v>562</v>
      </c>
      <c r="D837" s="272" t="s">
        <v>1137</v>
      </c>
      <c r="E837" s="273" t="s">
        <v>550</v>
      </c>
      <c r="F837" s="320">
        <v>110000</v>
      </c>
      <c r="G837" s="470">
        <v>110000</v>
      </c>
      <c r="H837" s="320">
        <f t="shared" si="26"/>
        <v>100</v>
      </c>
      <c r="I837" s="149" t="str">
        <f t="shared" si="27"/>
        <v>14031110010210540</v>
      </c>
    </row>
    <row r="838" spans="1:9" ht="140.25">
      <c r="A838" s="54" t="s">
        <v>1861</v>
      </c>
      <c r="B838" s="272" t="s">
        <v>253</v>
      </c>
      <c r="C838" s="272" t="s">
        <v>562</v>
      </c>
      <c r="D838" s="272" t="s">
        <v>1862</v>
      </c>
      <c r="E838" s="273"/>
      <c r="F838" s="320">
        <v>3100000</v>
      </c>
      <c r="G838" s="470">
        <v>2283749.8199999998</v>
      </c>
      <c r="H838" s="320">
        <f t="shared" si="26"/>
        <v>73.669349032258054</v>
      </c>
      <c r="I838" s="149" t="str">
        <f t="shared" si="27"/>
        <v>14031110078400</v>
      </c>
    </row>
    <row r="839" spans="1:9">
      <c r="A839" s="54" t="s">
        <v>93</v>
      </c>
      <c r="B839" s="272" t="s">
        <v>253</v>
      </c>
      <c r="C839" s="272" t="s">
        <v>562</v>
      </c>
      <c r="D839" s="272" t="s">
        <v>1862</v>
      </c>
      <c r="E839" s="273" t="s">
        <v>550</v>
      </c>
      <c r="F839" s="320">
        <v>3100000</v>
      </c>
      <c r="G839" s="470">
        <v>2283749.8199999998</v>
      </c>
      <c r="H839" s="320">
        <f t="shared" ref="H839:H841" si="28">G839/F839*100</f>
        <v>73.669349032258054</v>
      </c>
      <c r="I839" s="149" t="str">
        <f t="shared" si="27"/>
        <v>14031110078400540</v>
      </c>
    </row>
    <row r="840" spans="1:9" ht="114.75">
      <c r="A840" s="54" t="s">
        <v>670</v>
      </c>
      <c r="B840" s="272" t="s">
        <v>253</v>
      </c>
      <c r="C840" s="272" t="s">
        <v>562</v>
      </c>
      <c r="D840" s="272" t="s">
        <v>1012</v>
      </c>
      <c r="E840" s="273"/>
      <c r="F840" s="320">
        <v>36937338</v>
      </c>
      <c r="G840" s="470">
        <v>34932938</v>
      </c>
      <c r="H840" s="320">
        <f t="shared" si="28"/>
        <v>94.573512579601697</v>
      </c>
      <c r="I840" s="149" t="str">
        <f t="shared" si="27"/>
        <v>14031110080120</v>
      </c>
    </row>
    <row r="841" spans="1:9">
      <c r="A841" s="54" t="s">
        <v>93</v>
      </c>
      <c r="B841" s="272" t="s">
        <v>253</v>
      </c>
      <c r="C841" s="272" t="s">
        <v>562</v>
      </c>
      <c r="D841" s="272" t="s">
        <v>1012</v>
      </c>
      <c r="E841" s="273" t="s">
        <v>550</v>
      </c>
      <c r="F841" s="320">
        <v>36937338</v>
      </c>
      <c r="G841" s="470">
        <v>34932938</v>
      </c>
      <c r="H841" s="320">
        <f t="shared" si="28"/>
        <v>94.573512579601697</v>
      </c>
      <c r="I841" s="149" t="str">
        <f t="shared" si="27"/>
        <v>14031110080120540</v>
      </c>
    </row>
    <row r="842" spans="1:9">
      <c r="G842" s="476"/>
      <c r="H842" s="476"/>
    </row>
    <row r="843" spans="1:9">
      <c r="G843" s="476"/>
      <c r="H843" s="476"/>
    </row>
  </sheetData>
  <autoFilter ref="A5:J841">
    <filterColumn colId="0"/>
    <filterColumn colId="1"/>
    <filterColumn colId="2"/>
    <filterColumn colId="3"/>
    <filterColumn colId="4"/>
    <filterColumn colId="6"/>
    <filterColumn colId="7"/>
  </autoFilter>
  <mergeCells count="8">
    <mergeCell ref="H4:H5"/>
    <mergeCell ref="A1:H1"/>
    <mergeCell ref="A2:H2"/>
    <mergeCell ref="A6:E6"/>
    <mergeCell ref="A4:A5"/>
    <mergeCell ref="B4:E4"/>
    <mergeCell ref="F4:F5"/>
    <mergeCell ref="G4:G5"/>
  </mergeCells>
  <phoneticPr fontId="3" type="noConversion"/>
  <pageMargins left="0.85" right="0.24" top="0.19" bottom="0.19685039370078741" header="0.15748031496062992" footer="0.15748031496062992"/>
  <pageSetup paperSize="9" scale="80" fitToHeight="0" orientation="portrait" r:id="rId1"/>
  <headerFooter alignWithMargins="0"/>
</worksheet>
</file>

<file path=xl/worksheets/sheet12.xml><?xml version="1.0" encoding="utf-8"?>
<worksheet xmlns="http://schemas.openxmlformats.org/spreadsheetml/2006/main" xmlns:r="http://schemas.openxmlformats.org/officeDocument/2006/relationships">
  <sheetPr>
    <tabColor theme="6" tint="-0.249977111117893"/>
  </sheetPr>
  <dimension ref="A1:I695"/>
  <sheetViews>
    <sheetView workbookViewId="0">
      <selection activeCell="C598" sqref="C598"/>
    </sheetView>
  </sheetViews>
  <sheetFormatPr defaultRowHeight="12.75"/>
  <cols>
    <col min="1" max="1" width="38.85546875" style="152" customWidth="1"/>
    <col min="2" max="2" width="7.28515625" style="152" customWidth="1"/>
    <col min="3" max="3" width="8" style="152" customWidth="1"/>
    <col min="4" max="4" width="11.7109375" style="152" customWidth="1"/>
    <col min="5" max="5" width="9.42578125" style="152" customWidth="1"/>
    <col min="6" max="7" width="19.7109375" style="4" customWidth="1"/>
    <col min="8" max="8" width="15.5703125" style="4" customWidth="1"/>
    <col min="9" max="9" width="13.5703125" style="4" bestFit="1" customWidth="1"/>
    <col min="10" max="16384" width="9.140625" style="4"/>
  </cols>
  <sheetData>
    <row r="1" spans="1:9" ht="45.75" customHeight="1">
      <c r="A1" s="508"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508"/>
      <c r="C1" s="508"/>
      <c r="D1" s="508"/>
      <c r="E1" s="508"/>
      <c r="F1" s="508"/>
      <c r="G1" s="508"/>
    </row>
    <row r="2" spans="1:9" ht="53.25" customHeight="1">
      <c r="A2" s="508" t="str">
        <f>"Приложение №"&amp;Н1вед1&amp;" к решению
Богучанского районного Совета депутатов
от "&amp;Р1дата&amp;" года №"&amp;Р1номер</f>
        <v>Приложение № к решению
Богучанского районного Совета депутатов
от     " " 2018 года №</v>
      </c>
      <c r="B2" s="508"/>
      <c r="C2" s="508"/>
      <c r="D2" s="508"/>
      <c r="E2" s="508"/>
      <c r="F2" s="508"/>
      <c r="G2" s="508"/>
    </row>
    <row r="3" spans="1:9" ht="58.5" customHeight="1">
      <c r="A3" s="509"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2018-2019 годов</v>
      </c>
      <c r="B3" s="509"/>
      <c r="C3" s="509"/>
      <c r="D3" s="509"/>
      <c r="E3" s="509"/>
      <c r="F3" s="509"/>
      <c r="G3" s="509"/>
    </row>
    <row r="4" spans="1:9">
      <c r="G4" s="11" t="s">
        <v>94</v>
      </c>
    </row>
    <row r="5" spans="1:9">
      <c r="A5" s="564" t="s">
        <v>280</v>
      </c>
      <c r="B5" s="564" t="s">
        <v>214</v>
      </c>
      <c r="C5" s="564"/>
      <c r="D5" s="564"/>
      <c r="E5" s="564"/>
      <c r="F5" s="563" t="s">
        <v>800</v>
      </c>
      <c r="G5" s="563" t="s">
        <v>1327</v>
      </c>
    </row>
    <row r="6" spans="1:9" ht="41.25" customHeight="1">
      <c r="A6" s="564"/>
      <c r="B6" s="153" t="s">
        <v>213</v>
      </c>
      <c r="C6" s="153" t="s">
        <v>281</v>
      </c>
      <c r="D6" s="153" t="s">
        <v>215</v>
      </c>
      <c r="E6" s="153" t="s">
        <v>216</v>
      </c>
      <c r="F6" s="563"/>
      <c r="G6" s="563"/>
    </row>
    <row r="7" spans="1:9" s="14" customFormat="1">
      <c r="A7" s="562" t="s">
        <v>563</v>
      </c>
      <c r="B7" s="562"/>
      <c r="C7" s="562"/>
      <c r="D7" s="562"/>
      <c r="E7" s="562"/>
      <c r="F7" s="222">
        <v>1699837690</v>
      </c>
      <c r="G7" s="222">
        <v>1723366040</v>
      </c>
      <c r="I7" s="98"/>
    </row>
    <row r="8" spans="1:9">
      <c r="A8" s="223" t="s">
        <v>437</v>
      </c>
      <c r="B8" s="214" t="s">
        <v>217</v>
      </c>
      <c r="C8" s="214"/>
      <c r="D8" s="214"/>
      <c r="E8" s="214"/>
      <c r="F8" s="220">
        <v>3520710</v>
      </c>
      <c r="G8" s="220">
        <v>4520710</v>
      </c>
      <c r="H8" s="99"/>
    </row>
    <row r="9" spans="1:9">
      <c r="A9" s="223" t="s">
        <v>282</v>
      </c>
      <c r="B9" s="214" t="s">
        <v>217</v>
      </c>
      <c r="C9" s="214" t="s">
        <v>1598</v>
      </c>
      <c r="D9" s="214"/>
      <c r="E9" s="214"/>
      <c r="F9" s="220">
        <v>3520710</v>
      </c>
      <c r="G9" s="220">
        <v>4520710</v>
      </c>
      <c r="H9" s="149" t="str">
        <f>CONCATENATE(C9,,D9,E9)</f>
        <v>0100</v>
      </c>
    </row>
    <row r="10" spans="1:9" ht="63.75">
      <c r="A10" s="223" t="s">
        <v>92</v>
      </c>
      <c r="B10" s="214" t="s">
        <v>217</v>
      </c>
      <c r="C10" s="214" t="s">
        <v>443</v>
      </c>
      <c r="D10" s="214"/>
      <c r="E10" s="214"/>
      <c r="F10" s="220">
        <v>3520710</v>
      </c>
      <c r="G10" s="220">
        <v>4520710</v>
      </c>
      <c r="H10" s="149" t="str">
        <f t="shared" ref="H10:H73" si="0">CONCATENATE(C10,,D10,E10)</f>
        <v>0103</v>
      </c>
    </row>
    <row r="11" spans="1:9" ht="51">
      <c r="A11" s="223" t="s">
        <v>444</v>
      </c>
      <c r="B11" s="214" t="s">
        <v>217</v>
      </c>
      <c r="C11" s="214" t="s">
        <v>443</v>
      </c>
      <c r="D11" s="214" t="s">
        <v>847</v>
      </c>
      <c r="E11" s="214"/>
      <c r="F11" s="220">
        <v>1935756</v>
      </c>
      <c r="G11" s="220">
        <v>1935756</v>
      </c>
      <c r="H11" s="149" t="str">
        <f t="shared" si="0"/>
        <v>01038020060000</v>
      </c>
    </row>
    <row r="12" spans="1:9" ht="25.5">
      <c r="A12" s="223" t="s">
        <v>1165</v>
      </c>
      <c r="B12" s="214" t="s">
        <v>217</v>
      </c>
      <c r="C12" s="214" t="s">
        <v>443</v>
      </c>
      <c r="D12" s="214" t="s">
        <v>847</v>
      </c>
      <c r="E12" s="214" t="s">
        <v>440</v>
      </c>
      <c r="F12" s="220">
        <v>1199404</v>
      </c>
      <c r="G12" s="220">
        <v>1199404</v>
      </c>
      <c r="H12" s="149" t="str">
        <f t="shared" si="0"/>
        <v>01038020060000121</v>
      </c>
    </row>
    <row r="13" spans="1:9" ht="51">
      <c r="A13" s="223" t="s">
        <v>441</v>
      </c>
      <c r="B13" s="214" t="s">
        <v>217</v>
      </c>
      <c r="C13" s="214" t="s">
        <v>443</v>
      </c>
      <c r="D13" s="214" t="s">
        <v>847</v>
      </c>
      <c r="E13" s="214" t="s">
        <v>442</v>
      </c>
      <c r="F13" s="220">
        <v>90000</v>
      </c>
      <c r="G13" s="220">
        <v>90000</v>
      </c>
      <c r="H13" s="149" t="str">
        <f t="shared" si="0"/>
        <v>01038020060000122</v>
      </c>
    </row>
    <row r="14" spans="1:9" ht="63.75">
      <c r="A14" s="223" t="s">
        <v>1288</v>
      </c>
      <c r="B14" s="214" t="s">
        <v>217</v>
      </c>
      <c r="C14" s="214" t="s">
        <v>443</v>
      </c>
      <c r="D14" s="214" t="s">
        <v>847</v>
      </c>
      <c r="E14" s="214" t="s">
        <v>1289</v>
      </c>
      <c r="F14" s="220">
        <v>362220</v>
      </c>
      <c r="G14" s="220">
        <v>362220</v>
      </c>
      <c r="H14" s="149" t="str">
        <f t="shared" si="0"/>
        <v>01038020060000129</v>
      </c>
    </row>
    <row r="15" spans="1:9" ht="38.25">
      <c r="A15" s="223" t="s">
        <v>445</v>
      </c>
      <c r="B15" s="214" t="s">
        <v>217</v>
      </c>
      <c r="C15" s="214" t="s">
        <v>443</v>
      </c>
      <c r="D15" s="214" t="s">
        <v>847</v>
      </c>
      <c r="E15" s="214" t="s">
        <v>446</v>
      </c>
      <c r="F15" s="220">
        <v>284132</v>
      </c>
      <c r="G15" s="220">
        <v>284132</v>
      </c>
      <c r="H15" s="149" t="str">
        <f t="shared" si="0"/>
        <v>01038020060000244</v>
      </c>
    </row>
    <row r="16" spans="1:9" ht="76.5">
      <c r="A16" s="223" t="s">
        <v>723</v>
      </c>
      <c r="B16" s="214" t="s">
        <v>217</v>
      </c>
      <c r="C16" s="214" t="s">
        <v>443</v>
      </c>
      <c r="D16" s="214" t="s">
        <v>848</v>
      </c>
      <c r="E16" s="214"/>
      <c r="F16" s="220">
        <v>50000</v>
      </c>
      <c r="G16" s="220">
        <v>50000</v>
      </c>
      <c r="H16" s="149" t="str">
        <f t="shared" si="0"/>
        <v>01038020067000</v>
      </c>
    </row>
    <row r="17" spans="1:8" ht="51">
      <c r="A17" s="223" t="s">
        <v>441</v>
      </c>
      <c r="B17" s="214" t="s">
        <v>217</v>
      </c>
      <c r="C17" s="214" t="s">
        <v>443</v>
      </c>
      <c r="D17" s="214" t="s">
        <v>848</v>
      </c>
      <c r="E17" s="214" t="s">
        <v>442</v>
      </c>
      <c r="F17" s="220">
        <v>50000</v>
      </c>
      <c r="G17" s="220">
        <v>50000</v>
      </c>
      <c r="H17" s="149" t="str">
        <f t="shared" si="0"/>
        <v>01038020067000122</v>
      </c>
    </row>
    <row r="18" spans="1:8" ht="51">
      <c r="A18" s="223" t="s">
        <v>1166</v>
      </c>
      <c r="B18" s="214" t="s">
        <v>217</v>
      </c>
      <c r="C18" s="214" t="s">
        <v>443</v>
      </c>
      <c r="D18" s="214" t="s">
        <v>1167</v>
      </c>
      <c r="E18" s="214"/>
      <c r="F18" s="220">
        <v>31000</v>
      </c>
      <c r="G18" s="220">
        <v>31000</v>
      </c>
      <c r="H18" s="149" t="str">
        <f t="shared" si="0"/>
        <v>0103802006Ф000</v>
      </c>
    </row>
    <row r="19" spans="1:8" ht="38.25">
      <c r="A19" s="223" t="s">
        <v>445</v>
      </c>
      <c r="B19" s="214" t="s">
        <v>217</v>
      </c>
      <c r="C19" s="214" t="s">
        <v>443</v>
      </c>
      <c r="D19" s="214" t="s">
        <v>1167</v>
      </c>
      <c r="E19" s="214" t="s">
        <v>446</v>
      </c>
      <c r="F19" s="220">
        <v>31000</v>
      </c>
      <c r="G19" s="220">
        <v>31000</v>
      </c>
      <c r="H19" s="149" t="str">
        <f t="shared" si="0"/>
        <v>0103802006Ф000244</v>
      </c>
    </row>
    <row r="20" spans="1:8" ht="63.75">
      <c r="A20" s="223" t="s">
        <v>447</v>
      </c>
      <c r="B20" s="214" t="s">
        <v>217</v>
      </c>
      <c r="C20" s="214" t="s">
        <v>443</v>
      </c>
      <c r="D20" s="214" t="s">
        <v>849</v>
      </c>
      <c r="E20" s="214"/>
      <c r="F20" s="220">
        <v>1441810</v>
      </c>
      <c r="G20" s="220">
        <v>2441810</v>
      </c>
      <c r="H20" s="149" t="str">
        <f t="shared" si="0"/>
        <v>01038030060000</v>
      </c>
    </row>
    <row r="21" spans="1:8" ht="25.5">
      <c r="A21" s="223" t="s">
        <v>1165</v>
      </c>
      <c r="B21" s="214" t="s">
        <v>217</v>
      </c>
      <c r="C21" s="214" t="s">
        <v>443</v>
      </c>
      <c r="D21" s="214" t="s">
        <v>849</v>
      </c>
      <c r="E21" s="214" t="s">
        <v>440</v>
      </c>
      <c r="F21" s="220">
        <v>875046</v>
      </c>
      <c r="G21" s="220">
        <v>1675046</v>
      </c>
      <c r="H21" s="149" t="str">
        <f t="shared" si="0"/>
        <v>01038030060000121</v>
      </c>
    </row>
    <row r="22" spans="1:8" ht="51">
      <c r="A22" s="223" t="s">
        <v>441</v>
      </c>
      <c r="B22" s="214" t="s">
        <v>217</v>
      </c>
      <c r="C22" s="214" t="s">
        <v>443</v>
      </c>
      <c r="D22" s="214" t="s">
        <v>849</v>
      </c>
      <c r="E22" s="214" t="s">
        <v>442</v>
      </c>
      <c r="F22" s="220">
        <v>73752</v>
      </c>
      <c r="G22" s="220">
        <v>73752</v>
      </c>
      <c r="H22" s="149" t="str">
        <f t="shared" si="0"/>
        <v>01038030060000122</v>
      </c>
    </row>
    <row r="23" spans="1:8" ht="63.75">
      <c r="A23" s="223" t="s">
        <v>1599</v>
      </c>
      <c r="B23" s="214" t="s">
        <v>217</v>
      </c>
      <c r="C23" s="214" t="s">
        <v>443</v>
      </c>
      <c r="D23" s="214" t="s">
        <v>849</v>
      </c>
      <c r="E23" s="214" t="s">
        <v>623</v>
      </c>
      <c r="F23" s="220">
        <v>208800</v>
      </c>
      <c r="G23" s="220">
        <v>208800</v>
      </c>
      <c r="H23" s="149" t="str">
        <f t="shared" si="0"/>
        <v>01038030060000123</v>
      </c>
    </row>
    <row r="24" spans="1:8" ht="63.75">
      <c r="A24" s="223" t="s">
        <v>1288</v>
      </c>
      <c r="B24" s="214" t="s">
        <v>217</v>
      </c>
      <c r="C24" s="214" t="s">
        <v>443</v>
      </c>
      <c r="D24" s="214" t="s">
        <v>849</v>
      </c>
      <c r="E24" s="214" t="s">
        <v>1289</v>
      </c>
      <c r="F24" s="220">
        <v>284212</v>
      </c>
      <c r="G24" s="220">
        <v>484212</v>
      </c>
      <c r="H24" s="149" t="str">
        <f t="shared" si="0"/>
        <v>01038030060000129</v>
      </c>
    </row>
    <row r="25" spans="1:8" ht="76.5">
      <c r="A25" s="223" t="s">
        <v>1600</v>
      </c>
      <c r="B25" s="214" t="s">
        <v>217</v>
      </c>
      <c r="C25" s="214" t="s">
        <v>443</v>
      </c>
      <c r="D25" s="214" t="s">
        <v>850</v>
      </c>
      <c r="E25" s="214"/>
      <c r="F25" s="220">
        <v>62144</v>
      </c>
      <c r="G25" s="220">
        <v>62144</v>
      </c>
      <c r="H25" s="149" t="str">
        <f t="shared" si="0"/>
        <v>01038030067000</v>
      </c>
    </row>
    <row r="26" spans="1:8" ht="51">
      <c r="A26" s="223" t="s">
        <v>441</v>
      </c>
      <c r="B26" s="214" t="s">
        <v>217</v>
      </c>
      <c r="C26" s="214" t="s">
        <v>443</v>
      </c>
      <c r="D26" s="214" t="s">
        <v>850</v>
      </c>
      <c r="E26" s="214" t="s">
        <v>442</v>
      </c>
      <c r="F26" s="220">
        <v>62144</v>
      </c>
      <c r="G26" s="220">
        <v>62144</v>
      </c>
      <c r="H26" s="149" t="str">
        <f t="shared" si="0"/>
        <v>01038030067000122</v>
      </c>
    </row>
    <row r="27" spans="1:8" ht="25.5">
      <c r="A27" s="223" t="s">
        <v>219</v>
      </c>
      <c r="B27" s="214" t="s">
        <v>218</v>
      </c>
      <c r="C27" s="214"/>
      <c r="D27" s="214"/>
      <c r="E27" s="214"/>
      <c r="F27" s="220">
        <v>1406068</v>
      </c>
      <c r="G27" s="220">
        <v>1406068</v>
      </c>
      <c r="H27" s="149" t="str">
        <f t="shared" si="0"/>
        <v/>
      </c>
    </row>
    <row r="28" spans="1:8">
      <c r="A28" s="223" t="s">
        <v>282</v>
      </c>
      <c r="B28" s="214" t="s">
        <v>218</v>
      </c>
      <c r="C28" s="214" t="s">
        <v>1598</v>
      </c>
      <c r="D28" s="214"/>
      <c r="E28" s="214"/>
      <c r="F28" s="220">
        <v>1406068</v>
      </c>
      <c r="G28" s="220">
        <v>1406068</v>
      </c>
      <c r="H28" s="149" t="str">
        <f t="shared" si="0"/>
        <v>0100</v>
      </c>
    </row>
    <row r="29" spans="1:8" ht="51">
      <c r="A29" s="223" t="s">
        <v>264</v>
      </c>
      <c r="B29" s="214" t="s">
        <v>218</v>
      </c>
      <c r="C29" s="214" t="s">
        <v>448</v>
      </c>
      <c r="D29" s="214"/>
      <c r="E29" s="214"/>
      <c r="F29" s="220">
        <v>1406068</v>
      </c>
      <c r="G29" s="220">
        <v>1406068</v>
      </c>
      <c r="H29" s="149" t="str">
        <f t="shared" si="0"/>
        <v>0106</v>
      </c>
    </row>
    <row r="30" spans="1:8" ht="51">
      <c r="A30" s="223" t="s">
        <v>444</v>
      </c>
      <c r="B30" s="214" t="s">
        <v>218</v>
      </c>
      <c r="C30" s="214" t="s">
        <v>448</v>
      </c>
      <c r="D30" s="214" t="s">
        <v>847</v>
      </c>
      <c r="E30" s="214"/>
      <c r="F30" s="220">
        <v>576735</v>
      </c>
      <c r="G30" s="220">
        <v>576735</v>
      </c>
      <c r="H30" s="149" t="str">
        <f t="shared" si="0"/>
        <v>01068020060000</v>
      </c>
    </row>
    <row r="31" spans="1:8" ht="25.5">
      <c r="A31" s="223" t="s">
        <v>1165</v>
      </c>
      <c r="B31" s="214" t="s">
        <v>218</v>
      </c>
      <c r="C31" s="214" t="s">
        <v>448</v>
      </c>
      <c r="D31" s="214" t="s">
        <v>847</v>
      </c>
      <c r="E31" s="214" t="s">
        <v>440</v>
      </c>
      <c r="F31" s="220">
        <v>399802</v>
      </c>
      <c r="G31" s="220">
        <v>399802</v>
      </c>
      <c r="H31" s="149" t="str">
        <f t="shared" si="0"/>
        <v>01068020060000121</v>
      </c>
    </row>
    <row r="32" spans="1:8" ht="51">
      <c r="A32" s="223" t="s">
        <v>441</v>
      </c>
      <c r="B32" s="214" t="s">
        <v>218</v>
      </c>
      <c r="C32" s="214" t="s">
        <v>448</v>
      </c>
      <c r="D32" s="214" t="s">
        <v>847</v>
      </c>
      <c r="E32" s="214" t="s">
        <v>442</v>
      </c>
      <c r="F32" s="220">
        <v>17400</v>
      </c>
      <c r="G32" s="220">
        <v>17400</v>
      </c>
      <c r="H32" s="149" t="str">
        <f t="shared" si="0"/>
        <v>01068020060000122</v>
      </c>
    </row>
    <row r="33" spans="1:8" ht="63.75">
      <c r="A33" s="223" t="s">
        <v>1288</v>
      </c>
      <c r="B33" s="214" t="s">
        <v>218</v>
      </c>
      <c r="C33" s="214" t="s">
        <v>448</v>
      </c>
      <c r="D33" s="214" t="s">
        <v>847</v>
      </c>
      <c r="E33" s="214" t="s">
        <v>1289</v>
      </c>
      <c r="F33" s="220">
        <v>120740</v>
      </c>
      <c r="G33" s="220">
        <v>120740</v>
      </c>
      <c r="H33" s="149" t="str">
        <f t="shared" si="0"/>
        <v>01068020060000129</v>
      </c>
    </row>
    <row r="34" spans="1:8" ht="38.25">
      <c r="A34" s="223" t="s">
        <v>445</v>
      </c>
      <c r="B34" s="214" t="s">
        <v>218</v>
      </c>
      <c r="C34" s="214" t="s">
        <v>448</v>
      </c>
      <c r="D34" s="214" t="s">
        <v>847</v>
      </c>
      <c r="E34" s="214" t="s">
        <v>446</v>
      </c>
      <c r="F34" s="220">
        <v>38793</v>
      </c>
      <c r="G34" s="220">
        <v>38793</v>
      </c>
      <c r="H34" s="149" t="str">
        <f t="shared" si="0"/>
        <v>01068020060000244</v>
      </c>
    </row>
    <row r="35" spans="1:8" ht="76.5">
      <c r="A35" s="223" t="s">
        <v>723</v>
      </c>
      <c r="B35" s="214" t="s">
        <v>218</v>
      </c>
      <c r="C35" s="214" t="s">
        <v>448</v>
      </c>
      <c r="D35" s="214" t="s">
        <v>848</v>
      </c>
      <c r="E35" s="214"/>
      <c r="F35" s="220">
        <v>30000</v>
      </c>
      <c r="G35" s="220">
        <v>30000</v>
      </c>
      <c r="H35" s="149" t="str">
        <f t="shared" si="0"/>
        <v>01068020067000</v>
      </c>
    </row>
    <row r="36" spans="1:8" ht="51">
      <c r="A36" s="223" t="s">
        <v>441</v>
      </c>
      <c r="B36" s="214" t="s">
        <v>218</v>
      </c>
      <c r="C36" s="214" t="s">
        <v>448</v>
      </c>
      <c r="D36" s="214" t="s">
        <v>848</v>
      </c>
      <c r="E36" s="214" t="s">
        <v>442</v>
      </c>
      <c r="F36" s="220">
        <v>30000</v>
      </c>
      <c r="G36" s="220">
        <v>30000</v>
      </c>
      <c r="H36" s="149" t="str">
        <f t="shared" si="0"/>
        <v>01068020067000122</v>
      </c>
    </row>
    <row r="37" spans="1:8" ht="51">
      <c r="A37" s="223" t="s">
        <v>1166</v>
      </c>
      <c r="B37" s="214" t="s">
        <v>218</v>
      </c>
      <c r="C37" s="214" t="s">
        <v>448</v>
      </c>
      <c r="D37" s="214" t="s">
        <v>1167</v>
      </c>
      <c r="E37" s="214"/>
      <c r="F37" s="220">
        <v>7493</v>
      </c>
      <c r="G37" s="220">
        <v>7493</v>
      </c>
      <c r="H37" s="149" t="str">
        <f t="shared" si="0"/>
        <v>0106802006Ф000</v>
      </c>
    </row>
    <row r="38" spans="1:8" ht="38.25">
      <c r="A38" s="223" t="s">
        <v>445</v>
      </c>
      <c r="B38" s="214" t="s">
        <v>218</v>
      </c>
      <c r="C38" s="214" t="s">
        <v>448</v>
      </c>
      <c r="D38" s="214" t="s">
        <v>1167</v>
      </c>
      <c r="E38" s="214" t="s">
        <v>446</v>
      </c>
      <c r="F38" s="220">
        <v>7493</v>
      </c>
      <c r="G38" s="220">
        <v>7493</v>
      </c>
      <c r="H38" s="149" t="str">
        <f t="shared" si="0"/>
        <v>0106802006Ф000244</v>
      </c>
    </row>
    <row r="39" spans="1:8" ht="76.5">
      <c r="A39" s="223" t="s">
        <v>449</v>
      </c>
      <c r="B39" s="214" t="s">
        <v>218</v>
      </c>
      <c r="C39" s="214" t="s">
        <v>448</v>
      </c>
      <c r="D39" s="214" t="s">
        <v>851</v>
      </c>
      <c r="E39" s="214"/>
      <c r="F39" s="220">
        <v>761840</v>
      </c>
      <c r="G39" s="220">
        <v>761840</v>
      </c>
      <c r="H39" s="149" t="str">
        <f t="shared" si="0"/>
        <v>01068040060000</v>
      </c>
    </row>
    <row r="40" spans="1:8" ht="25.5">
      <c r="A40" s="223" t="s">
        <v>1165</v>
      </c>
      <c r="B40" s="214" t="s">
        <v>218</v>
      </c>
      <c r="C40" s="214" t="s">
        <v>448</v>
      </c>
      <c r="D40" s="214" t="s">
        <v>851</v>
      </c>
      <c r="E40" s="214" t="s">
        <v>440</v>
      </c>
      <c r="F40" s="220">
        <v>571766</v>
      </c>
      <c r="G40" s="220">
        <v>571766</v>
      </c>
      <c r="H40" s="149" t="str">
        <f t="shared" si="0"/>
        <v>01068040060000121</v>
      </c>
    </row>
    <row r="41" spans="1:8" ht="51">
      <c r="A41" s="223" t="s">
        <v>441</v>
      </c>
      <c r="B41" s="214" t="s">
        <v>218</v>
      </c>
      <c r="C41" s="214" t="s">
        <v>448</v>
      </c>
      <c r="D41" s="214" t="s">
        <v>851</v>
      </c>
      <c r="E41" s="214" t="s">
        <v>442</v>
      </c>
      <c r="F41" s="220">
        <v>17400</v>
      </c>
      <c r="G41" s="220">
        <v>17400</v>
      </c>
      <c r="H41" s="149" t="str">
        <f t="shared" si="0"/>
        <v>01068040060000122</v>
      </c>
    </row>
    <row r="42" spans="1:8" ht="63.75">
      <c r="A42" s="223" t="s">
        <v>1288</v>
      </c>
      <c r="B42" s="214" t="s">
        <v>218</v>
      </c>
      <c r="C42" s="214" t="s">
        <v>448</v>
      </c>
      <c r="D42" s="214" t="s">
        <v>851</v>
      </c>
      <c r="E42" s="214" t="s">
        <v>1289</v>
      </c>
      <c r="F42" s="220">
        <v>172674</v>
      </c>
      <c r="G42" s="220">
        <v>172674</v>
      </c>
      <c r="H42" s="149" t="str">
        <f t="shared" si="0"/>
        <v>01068040060000129</v>
      </c>
    </row>
    <row r="43" spans="1:8" ht="89.25">
      <c r="A43" s="223" t="s">
        <v>724</v>
      </c>
      <c r="B43" s="214" t="s">
        <v>218</v>
      </c>
      <c r="C43" s="214" t="s">
        <v>448</v>
      </c>
      <c r="D43" s="214" t="s">
        <v>852</v>
      </c>
      <c r="E43" s="214"/>
      <c r="F43" s="220">
        <v>30000</v>
      </c>
      <c r="G43" s="220">
        <v>30000</v>
      </c>
      <c r="H43" s="149" t="str">
        <f t="shared" si="0"/>
        <v>01068040067000</v>
      </c>
    </row>
    <row r="44" spans="1:8" ht="51">
      <c r="A44" s="223" t="s">
        <v>441</v>
      </c>
      <c r="B44" s="214" t="s">
        <v>218</v>
      </c>
      <c r="C44" s="214" t="s">
        <v>448</v>
      </c>
      <c r="D44" s="214" t="s">
        <v>852</v>
      </c>
      <c r="E44" s="214" t="s">
        <v>442</v>
      </c>
      <c r="F44" s="220">
        <v>30000</v>
      </c>
      <c r="G44" s="220">
        <v>30000</v>
      </c>
      <c r="H44" s="149" t="str">
        <f t="shared" si="0"/>
        <v>01068040067000122</v>
      </c>
    </row>
    <row r="45" spans="1:8">
      <c r="A45" s="223" t="s">
        <v>220</v>
      </c>
      <c r="B45" s="214" t="s">
        <v>5</v>
      </c>
      <c r="C45" s="214"/>
      <c r="D45" s="214"/>
      <c r="E45" s="214"/>
      <c r="F45" s="220">
        <v>268410870</v>
      </c>
      <c r="G45" s="220">
        <v>280120015</v>
      </c>
      <c r="H45" s="149" t="str">
        <f t="shared" si="0"/>
        <v/>
      </c>
    </row>
    <row r="46" spans="1:8">
      <c r="A46" s="223" t="s">
        <v>282</v>
      </c>
      <c r="B46" s="214" t="s">
        <v>5</v>
      </c>
      <c r="C46" s="214" t="s">
        <v>1598</v>
      </c>
      <c r="D46" s="214"/>
      <c r="E46" s="214"/>
      <c r="F46" s="220">
        <v>18597798</v>
      </c>
      <c r="G46" s="220">
        <v>19907243</v>
      </c>
      <c r="H46" s="149" t="str">
        <f t="shared" si="0"/>
        <v>0100</v>
      </c>
    </row>
    <row r="47" spans="1:8" ht="51">
      <c r="A47" s="223" t="s">
        <v>1601</v>
      </c>
      <c r="B47" s="214" t="s">
        <v>5</v>
      </c>
      <c r="C47" s="214" t="s">
        <v>438</v>
      </c>
      <c r="D47" s="214"/>
      <c r="E47" s="214"/>
      <c r="F47" s="220">
        <v>1274246</v>
      </c>
      <c r="G47" s="220">
        <v>1274246</v>
      </c>
      <c r="H47" s="149" t="str">
        <f t="shared" si="0"/>
        <v>0102</v>
      </c>
    </row>
    <row r="48" spans="1:8" ht="63.75">
      <c r="A48" s="223" t="s">
        <v>439</v>
      </c>
      <c r="B48" s="214" t="s">
        <v>5</v>
      </c>
      <c r="C48" s="214" t="s">
        <v>438</v>
      </c>
      <c r="D48" s="214" t="s">
        <v>853</v>
      </c>
      <c r="E48" s="214"/>
      <c r="F48" s="220">
        <v>1274246</v>
      </c>
      <c r="G48" s="220">
        <v>1274246</v>
      </c>
      <c r="H48" s="149" t="str">
        <f t="shared" si="0"/>
        <v>01028010060000</v>
      </c>
    </row>
    <row r="49" spans="1:8" ht="25.5">
      <c r="A49" s="223" t="s">
        <v>1165</v>
      </c>
      <c r="B49" s="214" t="s">
        <v>5</v>
      </c>
      <c r="C49" s="214" t="s">
        <v>438</v>
      </c>
      <c r="D49" s="214" t="s">
        <v>853</v>
      </c>
      <c r="E49" s="214" t="s">
        <v>440</v>
      </c>
      <c r="F49" s="220">
        <v>973860</v>
      </c>
      <c r="G49" s="220">
        <v>973860</v>
      </c>
      <c r="H49" s="149" t="str">
        <f t="shared" si="0"/>
        <v>01028010060000121</v>
      </c>
    </row>
    <row r="50" spans="1:8" ht="51">
      <c r="A50" s="223" t="s">
        <v>441</v>
      </c>
      <c r="B50" s="214" t="s">
        <v>5</v>
      </c>
      <c r="C50" s="214" t="s">
        <v>438</v>
      </c>
      <c r="D50" s="214" t="s">
        <v>853</v>
      </c>
      <c r="E50" s="214" t="s">
        <v>442</v>
      </c>
      <c r="F50" s="220">
        <v>41400</v>
      </c>
      <c r="G50" s="220">
        <v>41400</v>
      </c>
      <c r="H50" s="149" t="str">
        <f t="shared" si="0"/>
        <v>01028010060000122</v>
      </c>
    </row>
    <row r="51" spans="1:8" ht="63.75">
      <c r="A51" s="223" t="s">
        <v>1288</v>
      </c>
      <c r="B51" s="214" t="s">
        <v>5</v>
      </c>
      <c r="C51" s="214" t="s">
        <v>438</v>
      </c>
      <c r="D51" s="214" t="s">
        <v>853</v>
      </c>
      <c r="E51" s="214" t="s">
        <v>1289</v>
      </c>
      <c r="F51" s="220">
        <v>258986</v>
      </c>
      <c r="G51" s="220">
        <v>258986</v>
      </c>
      <c r="H51" s="149" t="str">
        <f t="shared" si="0"/>
        <v>01028010060000129</v>
      </c>
    </row>
    <row r="52" spans="1:8" ht="63.75">
      <c r="A52" s="223" t="s">
        <v>284</v>
      </c>
      <c r="B52" s="214" t="s">
        <v>5</v>
      </c>
      <c r="C52" s="214" t="s">
        <v>450</v>
      </c>
      <c r="D52" s="214"/>
      <c r="E52" s="214"/>
      <c r="F52" s="220">
        <v>17122952</v>
      </c>
      <c r="G52" s="220">
        <v>18432397</v>
      </c>
      <c r="H52" s="149" t="str">
        <f t="shared" si="0"/>
        <v>0104</v>
      </c>
    </row>
    <row r="53" spans="1:8" ht="114.75">
      <c r="A53" s="223" t="s">
        <v>451</v>
      </c>
      <c r="B53" s="214" t="s">
        <v>5</v>
      </c>
      <c r="C53" s="214" t="s">
        <v>450</v>
      </c>
      <c r="D53" s="214" t="s">
        <v>854</v>
      </c>
      <c r="E53" s="214"/>
      <c r="F53" s="220">
        <v>73395</v>
      </c>
      <c r="G53" s="220">
        <v>73395</v>
      </c>
      <c r="H53" s="149" t="str">
        <f t="shared" si="0"/>
        <v>01040420080040</v>
      </c>
    </row>
    <row r="54" spans="1:8" ht="38.25">
      <c r="A54" s="223" t="s">
        <v>445</v>
      </c>
      <c r="B54" s="214" t="s">
        <v>5</v>
      </c>
      <c r="C54" s="214" t="s">
        <v>450</v>
      </c>
      <c r="D54" s="214" t="s">
        <v>854</v>
      </c>
      <c r="E54" s="214" t="s">
        <v>446</v>
      </c>
      <c r="F54" s="220">
        <v>73395</v>
      </c>
      <c r="G54" s="220">
        <v>73395</v>
      </c>
      <c r="H54" s="149" t="str">
        <f t="shared" si="0"/>
        <v>01040420080040244</v>
      </c>
    </row>
    <row r="55" spans="1:8" ht="51">
      <c r="A55" s="223" t="s">
        <v>444</v>
      </c>
      <c r="B55" s="214" t="s">
        <v>5</v>
      </c>
      <c r="C55" s="214" t="s">
        <v>450</v>
      </c>
      <c r="D55" s="214" t="s">
        <v>847</v>
      </c>
      <c r="E55" s="214"/>
      <c r="F55" s="220">
        <v>9415213</v>
      </c>
      <c r="G55" s="220">
        <v>9501732</v>
      </c>
      <c r="H55" s="149" t="str">
        <f t="shared" si="0"/>
        <v>01048020060000</v>
      </c>
    </row>
    <row r="56" spans="1:8" ht="25.5">
      <c r="A56" s="223" t="s">
        <v>1165</v>
      </c>
      <c r="B56" s="214" t="s">
        <v>5</v>
      </c>
      <c r="C56" s="214" t="s">
        <v>450</v>
      </c>
      <c r="D56" s="214" t="s">
        <v>847</v>
      </c>
      <c r="E56" s="214" t="s">
        <v>440</v>
      </c>
      <c r="F56" s="220">
        <v>814128</v>
      </c>
      <c r="G56" s="220">
        <v>900647</v>
      </c>
      <c r="H56" s="149" t="str">
        <f t="shared" si="0"/>
        <v>01048020060000121</v>
      </c>
    </row>
    <row r="57" spans="1:8" ht="51">
      <c r="A57" s="223" t="s">
        <v>441</v>
      </c>
      <c r="B57" s="214" t="s">
        <v>5</v>
      </c>
      <c r="C57" s="214" t="s">
        <v>450</v>
      </c>
      <c r="D57" s="214" t="s">
        <v>847</v>
      </c>
      <c r="E57" s="214" t="s">
        <v>442</v>
      </c>
      <c r="F57" s="220">
        <v>581400</v>
      </c>
      <c r="G57" s="220">
        <v>581400</v>
      </c>
      <c r="H57" s="149" t="str">
        <f t="shared" si="0"/>
        <v>01048020060000122</v>
      </c>
    </row>
    <row r="58" spans="1:8" ht="63.75">
      <c r="A58" s="223" t="s">
        <v>1288</v>
      </c>
      <c r="B58" s="214" t="s">
        <v>5</v>
      </c>
      <c r="C58" s="214" t="s">
        <v>450</v>
      </c>
      <c r="D58" s="214" t="s">
        <v>847</v>
      </c>
      <c r="E58" s="214" t="s">
        <v>1289</v>
      </c>
      <c r="F58" s="220">
        <v>388822</v>
      </c>
      <c r="G58" s="220">
        <v>388822</v>
      </c>
      <c r="H58" s="149" t="str">
        <f t="shared" si="0"/>
        <v>01048020060000129</v>
      </c>
    </row>
    <row r="59" spans="1:8" ht="38.25">
      <c r="A59" s="229" t="s">
        <v>445</v>
      </c>
      <c r="B59" s="214" t="s">
        <v>5</v>
      </c>
      <c r="C59" s="214" t="s">
        <v>450</v>
      </c>
      <c r="D59" s="214" t="s">
        <v>847</v>
      </c>
      <c r="E59" s="214" t="s">
        <v>446</v>
      </c>
      <c r="F59" s="220">
        <v>7417658</v>
      </c>
      <c r="G59" s="220">
        <v>7417658</v>
      </c>
      <c r="H59" s="149" t="str">
        <f t="shared" si="0"/>
        <v>01048020060000244</v>
      </c>
    </row>
    <row r="60" spans="1:8">
      <c r="A60" s="223" t="s">
        <v>1168</v>
      </c>
      <c r="B60" s="214" t="s">
        <v>5</v>
      </c>
      <c r="C60" s="214" t="s">
        <v>450</v>
      </c>
      <c r="D60" s="214" t="s">
        <v>847</v>
      </c>
      <c r="E60" s="214" t="s">
        <v>626</v>
      </c>
      <c r="F60" s="220">
        <v>40000</v>
      </c>
      <c r="G60" s="220">
        <v>40000</v>
      </c>
      <c r="H60" s="149" t="str">
        <f t="shared" si="0"/>
        <v>01048020060000852</v>
      </c>
    </row>
    <row r="61" spans="1:8">
      <c r="A61" s="223" t="s">
        <v>1293</v>
      </c>
      <c r="B61" s="214" t="s">
        <v>5</v>
      </c>
      <c r="C61" s="214" t="s">
        <v>450</v>
      </c>
      <c r="D61" s="214" t="s">
        <v>847</v>
      </c>
      <c r="E61" s="214" t="s">
        <v>1294</v>
      </c>
      <c r="F61" s="220">
        <v>173205</v>
      </c>
      <c r="G61" s="220">
        <v>173205</v>
      </c>
      <c r="H61" s="149" t="str">
        <f t="shared" si="0"/>
        <v>01048020060000853</v>
      </c>
    </row>
    <row r="62" spans="1:8" ht="89.25">
      <c r="A62" s="223" t="s">
        <v>725</v>
      </c>
      <c r="B62" s="214" t="s">
        <v>5</v>
      </c>
      <c r="C62" s="214" t="s">
        <v>450</v>
      </c>
      <c r="D62" s="214" t="s">
        <v>857</v>
      </c>
      <c r="E62" s="214"/>
      <c r="F62" s="220">
        <v>503136</v>
      </c>
      <c r="G62" s="220">
        <v>503136</v>
      </c>
      <c r="H62" s="149" t="str">
        <f t="shared" si="0"/>
        <v>01048020061000</v>
      </c>
    </row>
    <row r="63" spans="1:8" ht="25.5">
      <c r="A63" s="223" t="s">
        <v>1165</v>
      </c>
      <c r="B63" s="214" t="s">
        <v>5</v>
      </c>
      <c r="C63" s="214" t="s">
        <v>450</v>
      </c>
      <c r="D63" s="214" t="s">
        <v>857</v>
      </c>
      <c r="E63" s="214" t="s">
        <v>440</v>
      </c>
      <c r="F63" s="220">
        <v>386433</v>
      </c>
      <c r="G63" s="220">
        <v>386433</v>
      </c>
      <c r="H63" s="149" t="str">
        <f t="shared" si="0"/>
        <v>01048020061000121</v>
      </c>
    </row>
    <row r="64" spans="1:8" ht="63.75">
      <c r="A64" s="223" t="s">
        <v>1288</v>
      </c>
      <c r="B64" s="214" t="s">
        <v>5</v>
      </c>
      <c r="C64" s="214" t="s">
        <v>450</v>
      </c>
      <c r="D64" s="214" t="s">
        <v>857</v>
      </c>
      <c r="E64" s="214" t="s">
        <v>1289</v>
      </c>
      <c r="F64" s="220">
        <v>116703</v>
      </c>
      <c r="G64" s="220">
        <v>116703</v>
      </c>
      <c r="H64" s="149" t="str">
        <f t="shared" si="0"/>
        <v>01048020061000129</v>
      </c>
    </row>
    <row r="65" spans="1:8" ht="76.5">
      <c r="A65" s="223" t="s">
        <v>723</v>
      </c>
      <c r="B65" s="214" t="s">
        <v>5</v>
      </c>
      <c r="C65" s="214" t="s">
        <v>450</v>
      </c>
      <c r="D65" s="214" t="s">
        <v>848</v>
      </c>
      <c r="E65" s="214"/>
      <c r="F65" s="220">
        <v>1000000</v>
      </c>
      <c r="G65" s="220">
        <v>1000000</v>
      </c>
      <c r="H65" s="149" t="str">
        <f t="shared" si="0"/>
        <v>01048020067000</v>
      </c>
    </row>
    <row r="66" spans="1:8" ht="51">
      <c r="A66" s="223" t="s">
        <v>441</v>
      </c>
      <c r="B66" s="214" t="s">
        <v>5</v>
      </c>
      <c r="C66" s="214" t="s">
        <v>450</v>
      </c>
      <c r="D66" s="214" t="s">
        <v>848</v>
      </c>
      <c r="E66" s="214" t="s">
        <v>442</v>
      </c>
      <c r="F66" s="220">
        <v>1000000</v>
      </c>
      <c r="G66" s="220">
        <v>1000000</v>
      </c>
      <c r="H66" s="149" t="str">
        <f t="shared" si="0"/>
        <v>01048020067000122</v>
      </c>
    </row>
    <row r="67" spans="1:8" ht="76.5">
      <c r="A67" s="223" t="s">
        <v>726</v>
      </c>
      <c r="B67" s="214" t="s">
        <v>5</v>
      </c>
      <c r="C67" s="214" t="s">
        <v>450</v>
      </c>
      <c r="D67" s="214" t="s">
        <v>858</v>
      </c>
      <c r="E67" s="214"/>
      <c r="F67" s="220">
        <v>965673</v>
      </c>
      <c r="G67" s="220">
        <v>2188599</v>
      </c>
      <c r="H67" s="149" t="str">
        <f t="shared" si="0"/>
        <v>0104802006Б000</v>
      </c>
    </row>
    <row r="68" spans="1:8" ht="25.5">
      <c r="A68" s="223" t="s">
        <v>1165</v>
      </c>
      <c r="B68" s="214" t="s">
        <v>5</v>
      </c>
      <c r="C68" s="214" t="s">
        <v>450</v>
      </c>
      <c r="D68" s="214" t="s">
        <v>858</v>
      </c>
      <c r="E68" s="214" t="s">
        <v>440</v>
      </c>
      <c r="F68" s="220">
        <v>530223</v>
      </c>
      <c r="G68" s="220">
        <v>753149</v>
      </c>
      <c r="H68" s="149" t="str">
        <f t="shared" si="0"/>
        <v>0104802006Б000121</v>
      </c>
    </row>
    <row r="69" spans="1:8" ht="63.75">
      <c r="A69" s="223" t="s">
        <v>1288</v>
      </c>
      <c r="B69" s="214" t="s">
        <v>5</v>
      </c>
      <c r="C69" s="214" t="s">
        <v>450</v>
      </c>
      <c r="D69" s="214" t="s">
        <v>858</v>
      </c>
      <c r="E69" s="214" t="s">
        <v>1289</v>
      </c>
      <c r="F69" s="220">
        <v>435450</v>
      </c>
      <c r="G69" s="220">
        <v>1435450</v>
      </c>
      <c r="H69" s="149" t="str">
        <f t="shared" si="0"/>
        <v>0104802006Б000129</v>
      </c>
    </row>
    <row r="70" spans="1:8" ht="51">
      <c r="A70" s="223" t="s">
        <v>1169</v>
      </c>
      <c r="B70" s="214" t="s">
        <v>5</v>
      </c>
      <c r="C70" s="214" t="s">
        <v>450</v>
      </c>
      <c r="D70" s="214" t="s">
        <v>1170</v>
      </c>
      <c r="E70" s="214"/>
      <c r="F70" s="220">
        <v>2382800</v>
      </c>
      <c r="G70" s="220">
        <v>2382800</v>
      </c>
      <c r="H70" s="149" t="str">
        <f t="shared" si="0"/>
        <v>0104802006Г000</v>
      </c>
    </row>
    <row r="71" spans="1:8" ht="38.25">
      <c r="A71" s="223" t="s">
        <v>445</v>
      </c>
      <c r="B71" s="214" t="s">
        <v>5</v>
      </c>
      <c r="C71" s="214" t="s">
        <v>450</v>
      </c>
      <c r="D71" s="214" t="s">
        <v>1170</v>
      </c>
      <c r="E71" s="214" t="s">
        <v>446</v>
      </c>
      <c r="F71" s="220">
        <v>2382800</v>
      </c>
      <c r="G71" s="220">
        <v>2382800</v>
      </c>
      <c r="H71" s="149" t="str">
        <f t="shared" si="0"/>
        <v>0104802006Г000244</v>
      </c>
    </row>
    <row r="72" spans="1:8" ht="38.25">
      <c r="A72" s="223" t="s">
        <v>1438</v>
      </c>
      <c r="B72" s="214" t="s">
        <v>5</v>
      </c>
      <c r="C72" s="214" t="s">
        <v>450</v>
      </c>
      <c r="D72" s="214" t="s">
        <v>1439</v>
      </c>
      <c r="E72" s="214"/>
      <c r="F72" s="220">
        <v>750540</v>
      </c>
      <c r="G72" s="220">
        <v>750540</v>
      </c>
      <c r="H72" s="149" t="str">
        <f t="shared" si="0"/>
        <v>0104802006Э000</v>
      </c>
    </row>
    <row r="73" spans="1:8" ht="38.25">
      <c r="A73" s="223" t="s">
        <v>445</v>
      </c>
      <c r="B73" s="214" t="s">
        <v>5</v>
      </c>
      <c r="C73" s="214" t="s">
        <v>450</v>
      </c>
      <c r="D73" s="214" t="s">
        <v>1439</v>
      </c>
      <c r="E73" s="214" t="s">
        <v>446</v>
      </c>
      <c r="F73" s="220">
        <v>750540</v>
      </c>
      <c r="G73" s="220">
        <v>750540</v>
      </c>
      <c r="H73" s="149" t="str">
        <f t="shared" si="0"/>
        <v>0104802006Э000244</v>
      </c>
    </row>
    <row r="74" spans="1:8" ht="102">
      <c r="A74" s="223" t="s">
        <v>452</v>
      </c>
      <c r="B74" s="214" t="s">
        <v>5</v>
      </c>
      <c r="C74" s="214" t="s">
        <v>450</v>
      </c>
      <c r="D74" s="214" t="s">
        <v>855</v>
      </c>
      <c r="E74" s="214"/>
      <c r="F74" s="220">
        <v>525200</v>
      </c>
      <c r="G74" s="220">
        <v>525200</v>
      </c>
      <c r="H74" s="149" t="str">
        <f t="shared" ref="H74:H131" si="1">CONCATENATE(C74,,D74,E74)</f>
        <v>01048020074670</v>
      </c>
    </row>
    <row r="75" spans="1:8" ht="25.5">
      <c r="A75" s="223" t="s">
        <v>1165</v>
      </c>
      <c r="B75" s="214" t="s">
        <v>5</v>
      </c>
      <c r="C75" s="214" t="s">
        <v>450</v>
      </c>
      <c r="D75" s="214" t="s">
        <v>855</v>
      </c>
      <c r="E75" s="214" t="s">
        <v>440</v>
      </c>
      <c r="F75" s="220">
        <v>370964</v>
      </c>
      <c r="G75" s="220">
        <v>370964</v>
      </c>
      <c r="H75" s="149" t="str">
        <f t="shared" si="1"/>
        <v>01048020074670121</v>
      </c>
    </row>
    <row r="76" spans="1:8" ht="51">
      <c r="A76" s="223" t="s">
        <v>441</v>
      </c>
      <c r="B76" s="214" t="s">
        <v>5</v>
      </c>
      <c r="C76" s="214" t="s">
        <v>450</v>
      </c>
      <c r="D76" s="214" t="s">
        <v>855</v>
      </c>
      <c r="E76" s="214" t="s">
        <v>442</v>
      </c>
      <c r="F76" s="220">
        <v>7000</v>
      </c>
      <c r="G76" s="220">
        <v>7000</v>
      </c>
      <c r="H76" s="149" t="str">
        <f t="shared" si="1"/>
        <v>01048020074670122</v>
      </c>
    </row>
    <row r="77" spans="1:8" ht="63.75">
      <c r="A77" s="223" t="s">
        <v>1288</v>
      </c>
      <c r="B77" s="214" t="s">
        <v>5</v>
      </c>
      <c r="C77" s="214" t="s">
        <v>450</v>
      </c>
      <c r="D77" s="214" t="s">
        <v>855</v>
      </c>
      <c r="E77" s="214" t="s">
        <v>1289</v>
      </c>
      <c r="F77" s="220">
        <v>112031</v>
      </c>
      <c r="G77" s="220">
        <v>112031</v>
      </c>
      <c r="H77" s="149" t="str">
        <f t="shared" si="1"/>
        <v>01048020074670129</v>
      </c>
    </row>
    <row r="78" spans="1:8" ht="38.25">
      <c r="A78" s="223" t="s">
        <v>445</v>
      </c>
      <c r="B78" s="214" t="s">
        <v>5</v>
      </c>
      <c r="C78" s="214" t="s">
        <v>450</v>
      </c>
      <c r="D78" s="214" t="s">
        <v>855</v>
      </c>
      <c r="E78" s="214" t="s">
        <v>446</v>
      </c>
      <c r="F78" s="220">
        <v>35205</v>
      </c>
      <c r="G78" s="220">
        <v>35205</v>
      </c>
      <c r="H78" s="149" t="str">
        <f t="shared" si="1"/>
        <v>01048020074670244</v>
      </c>
    </row>
    <row r="79" spans="1:8" ht="76.5">
      <c r="A79" s="223" t="s">
        <v>453</v>
      </c>
      <c r="B79" s="214" t="s">
        <v>5</v>
      </c>
      <c r="C79" s="214" t="s">
        <v>450</v>
      </c>
      <c r="D79" s="214" t="s">
        <v>856</v>
      </c>
      <c r="E79" s="214"/>
      <c r="F79" s="220">
        <v>1024000</v>
      </c>
      <c r="G79" s="220">
        <v>1024000</v>
      </c>
      <c r="H79" s="149" t="str">
        <f t="shared" si="1"/>
        <v>01048020076040</v>
      </c>
    </row>
    <row r="80" spans="1:8" ht="25.5">
      <c r="A80" s="223" t="s">
        <v>1165</v>
      </c>
      <c r="B80" s="214" t="s">
        <v>5</v>
      </c>
      <c r="C80" s="214" t="s">
        <v>450</v>
      </c>
      <c r="D80" s="214" t="s">
        <v>856</v>
      </c>
      <c r="E80" s="214" t="s">
        <v>440</v>
      </c>
      <c r="F80" s="220">
        <v>741928</v>
      </c>
      <c r="G80" s="220">
        <v>741928</v>
      </c>
      <c r="H80" s="149" t="str">
        <f t="shared" si="1"/>
        <v>01048020076040121</v>
      </c>
    </row>
    <row r="81" spans="1:8" ht="51">
      <c r="A81" s="223" t="s">
        <v>441</v>
      </c>
      <c r="B81" s="214" t="s">
        <v>5</v>
      </c>
      <c r="C81" s="214" t="s">
        <v>450</v>
      </c>
      <c r="D81" s="214" t="s">
        <v>856</v>
      </c>
      <c r="E81" s="214" t="s">
        <v>442</v>
      </c>
      <c r="F81" s="220">
        <v>18000</v>
      </c>
      <c r="G81" s="220">
        <v>18000</v>
      </c>
      <c r="H81" s="149" t="str">
        <f t="shared" si="1"/>
        <v>01048020076040122</v>
      </c>
    </row>
    <row r="82" spans="1:8" ht="63.75">
      <c r="A82" s="223" t="s">
        <v>1288</v>
      </c>
      <c r="B82" s="214" t="s">
        <v>5</v>
      </c>
      <c r="C82" s="214" t="s">
        <v>450</v>
      </c>
      <c r="D82" s="214" t="s">
        <v>856</v>
      </c>
      <c r="E82" s="214" t="s">
        <v>1289</v>
      </c>
      <c r="F82" s="220">
        <v>224062</v>
      </c>
      <c r="G82" s="220">
        <v>224062</v>
      </c>
      <c r="H82" s="149" t="str">
        <f t="shared" si="1"/>
        <v>01048020076040129</v>
      </c>
    </row>
    <row r="83" spans="1:8" ht="38.25">
      <c r="A83" s="223" t="s">
        <v>445</v>
      </c>
      <c r="B83" s="214" t="s">
        <v>5</v>
      </c>
      <c r="C83" s="214" t="s">
        <v>450</v>
      </c>
      <c r="D83" s="214" t="s">
        <v>856</v>
      </c>
      <c r="E83" s="214" t="s">
        <v>446</v>
      </c>
      <c r="F83" s="220">
        <v>40010</v>
      </c>
      <c r="G83" s="220">
        <v>40010</v>
      </c>
      <c r="H83" s="149" t="str">
        <f t="shared" si="1"/>
        <v>01048020076040244</v>
      </c>
    </row>
    <row r="84" spans="1:8" ht="267.75">
      <c r="A84" s="223" t="s">
        <v>627</v>
      </c>
      <c r="B84" s="214" t="s">
        <v>5</v>
      </c>
      <c r="C84" s="214" t="s">
        <v>450</v>
      </c>
      <c r="D84" s="214" t="s">
        <v>859</v>
      </c>
      <c r="E84" s="214"/>
      <c r="F84" s="220">
        <v>482995</v>
      </c>
      <c r="G84" s="220">
        <v>482995</v>
      </c>
      <c r="H84" s="149" t="str">
        <f t="shared" si="1"/>
        <v>010480200Ч0010</v>
      </c>
    </row>
    <row r="85" spans="1:8" ht="25.5">
      <c r="A85" s="223" t="s">
        <v>1165</v>
      </c>
      <c r="B85" s="214" t="s">
        <v>5</v>
      </c>
      <c r="C85" s="214" t="s">
        <v>450</v>
      </c>
      <c r="D85" s="214" t="s">
        <v>859</v>
      </c>
      <c r="E85" s="214" t="s">
        <v>440</v>
      </c>
      <c r="F85" s="220">
        <v>370965</v>
      </c>
      <c r="G85" s="220">
        <v>370965</v>
      </c>
      <c r="H85" s="149" t="str">
        <f t="shared" si="1"/>
        <v>010480200Ч0010121</v>
      </c>
    </row>
    <row r="86" spans="1:8" ht="63.75">
      <c r="A86" s="223" t="s">
        <v>1288</v>
      </c>
      <c r="B86" s="214" t="s">
        <v>5</v>
      </c>
      <c r="C86" s="214" t="s">
        <v>450</v>
      </c>
      <c r="D86" s="214" t="s">
        <v>859</v>
      </c>
      <c r="E86" s="214" t="s">
        <v>1289</v>
      </c>
      <c r="F86" s="220">
        <v>112030</v>
      </c>
      <c r="G86" s="220">
        <v>112030</v>
      </c>
      <c r="H86" s="149" t="str">
        <f t="shared" si="1"/>
        <v>010480200Ч0010129</v>
      </c>
    </row>
    <row r="87" spans="1:8">
      <c r="A87" s="223" t="s">
        <v>265</v>
      </c>
      <c r="B87" s="214" t="s">
        <v>5</v>
      </c>
      <c r="C87" s="214" t="s">
        <v>454</v>
      </c>
      <c r="D87" s="214"/>
      <c r="E87" s="214"/>
      <c r="F87" s="220">
        <v>200600</v>
      </c>
      <c r="G87" s="220">
        <v>200600</v>
      </c>
      <c r="H87" s="149" t="str">
        <f t="shared" si="1"/>
        <v>0113</v>
      </c>
    </row>
    <row r="88" spans="1:8" ht="102">
      <c r="A88" s="223" t="s">
        <v>1729</v>
      </c>
      <c r="B88" s="214" t="s">
        <v>5</v>
      </c>
      <c r="C88" s="214" t="s">
        <v>454</v>
      </c>
      <c r="D88" s="214" t="s">
        <v>1730</v>
      </c>
      <c r="E88" s="214"/>
      <c r="F88" s="220">
        <v>20000</v>
      </c>
      <c r="G88" s="220">
        <v>20000</v>
      </c>
      <c r="H88" s="149" t="str">
        <f t="shared" si="1"/>
        <v>01130430080000</v>
      </c>
    </row>
    <row r="89" spans="1:8" ht="38.25">
      <c r="A89" s="223" t="s">
        <v>445</v>
      </c>
      <c r="B89" s="214" t="s">
        <v>5</v>
      </c>
      <c r="C89" s="214" t="s">
        <v>454</v>
      </c>
      <c r="D89" s="214" t="s">
        <v>1730</v>
      </c>
      <c r="E89" s="214" t="s">
        <v>446</v>
      </c>
      <c r="F89" s="220">
        <v>20000</v>
      </c>
      <c r="G89" s="220">
        <v>20000</v>
      </c>
      <c r="H89" s="149" t="str">
        <f t="shared" si="1"/>
        <v>01130430080000244</v>
      </c>
    </row>
    <row r="90" spans="1:8" ht="89.25">
      <c r="A90" s="223" t="s">
        <v>671</v>
      </c>
      <c r="B90" s="214" t="s">
        <v>5</v>
      </c>
      <c r="C90" s="214" t="s">
        <v>454</v>
      </c>
      <c r="D90" s="214" t="s">
        <v>862</v>
      </c>
      <c r="E90" s="214"/>
      <c r="F90" s="220">
        <v>51000</v>
      </c>
      <c r="G90" s="220">
        <v>51000</v>
      </c>
      <c r="H90" s="149" t="str">
        <f t="shared" si="1"/>
        <v>01138020074290</v>
      </c>
    </row>
    <row r="91" spans="1:8" ht="25.5">
      <c r="A91" s="223" t="s">
        <v>1165</v>
      </c>
      <c r="B91" s="214" t="s">
        <v>5</v>
      </c>
      <c r="C91" s="214" t="s">
        <v>454</v>
      </c>
      <c r="D91" s="214" t="s">
        <v>862</v>
      </c>
      <c r="E91" s="214" t="s">
        <v>440</v>
      </c>
      <c r="F91" s="220">
        <v>37097</v>
      </c>
      <c r="G91" s="220">
        <v>37097</v>
      </c>
      <c r="H91" s="149" t="str">
        <f t="shared" si="1"/>
        <v>01138020074290121</v>
      </c>
    </row>
    <row r="92" spans="1:8" ht="63.75">
      <c r="A92" s="223" t="s">
        <v>1288</v>
      </c>
      <c r="B92" s="214" t="s">
        <v>5</v>
      </c>
      <c r="C92" s="214" t="s">
        <v>454</v>
      </c>
      <c r="D92" s="214" t="s">
        <v>862</v>
      </c>
      <c r="E92" s="214" t="s">
        <v>1289</v>
      </c>
      <c r="F92" s="220">
        <v>11203</v>
      </c>
      <c r="G92" s="220">
        <v>11203</v>
      </c>
      <c r="H92" s="149" t="str">
        <f t="shared" si="1"/>
        <v>01138020074290129</v>
      </c>
    </row>
    <row r="93" spans="1:8" ht="38.25">
      <c r="A93" s="223" t="s">
        <v>445</v>
      </c>
      <c r="B93" s="214" t="s">
        <v>5</v>
      </c>
      <c r="C93" s="214" t="s">
        <v>454</v>
      </c>
      <c r="D93" s="214" t="s">
        <v>862</v>
      </c>
      <c r="E93" s="214" t="s">
        <v>446</v>
      </c>
      <c r="F93" s="220">
        <v>2700</v>
      </c>
      <c r="G93" s="220">
        <v>2700</v>
      </c>
      <c r="H93" s="149" t="str">
        <f t="shared" si="1"/>
        <v>01138020074290244</v>
      </c>
    </row>
    <row r="94" spans="1:8" ht="51">
      <c r="A94" s="223" t="s">
        <v>455</v>
      </c>
      <c r="B94" s="214" t="s">
        <v>5</v>
      </c>
      <c r="C94" s="214" t="s">
        <v>454</v>
      </c>
      <c r="D94" s="214" t="s">
        <v>863</v>
      </c>
      <c r="E94" s="214"/>
      <c r="F94" s="220">
        <v>69600</v>
      </c>
      <c r="G94" s="220">
        <v>69600</v>
      </c>
      <c r="H94" s="149" t="str">
        <f t="shared" si="1"/>
        <v>01138020075190</v>
      </c>
    </row>
    <row r="95" spans="1:8" ht="25.5">
      <c r="A95" s="223" t="s">
        <v>1165</v>
      </c>
      <c r="B95" s="214" t="s">
        <v>5</v>
      </c>
      <c r="C95" s="214" t="s">
        <v>454</v>
      </c>
      <c r="D95" s="214" t="s">
        <v>863</v>
      </c>
      <c r="E95" s="214" t="s">
        <v>440</v>
      </c>
      <c r="F95" s="220">
        <v>44218</v>
      </c>
      <c r="G95" s="220">
        <v>44218</v>
      </c>
      <c r="H95" s="149" t="str">
        <f t="shared" si="1"/>
        <v>01138020075190121</v>
      </c>
    </row>
    <row r="96" spans="1:8" ht="63.75">
      <c r="A96" s="223" t="s">
        <v>1288</v>
      </c>
      <c r="B96" s="214" t="s">
        <v>5</v>
      </c>
      <c r="C96" s="214" t="s">
        <v>454</v>
      </c>
      <c r="D96" s="214" t="s">
        <v>863</v>
      </c>
      <c r="E96" s="214" t="s">
        <v>1289</v>
      </c>
      <c r="F96" s="220">
        <v>13354</v>
      </c>
      <c r="G96" s="220">
        <v>13354</v>
      </c>
      <c r="H96" s="149" t="str">
        <f t="shared" si="1"/>
        <v>01138020075190129</v>
      </c>
    </row>
    <row r="97" spans="1:8" ht="38.25">
      <c r="A97" s="223" t="s">
        <v>445</v>
      </c>
      <c r="B97" s="214" t="s">
        <v>5</v>
      </c>
      <c r="C97" s="214" t="s">
        <v>454</v>
      </c>
      <c r="D97" s="214" t="s">
        <v>863</v>
      </c>
      <c r="E97" s="214" t="s">
        <v>446</v>
      </c>
      <c r="F97" s="220">
        <v>12028</v>
      </c>
      <c r="G97" s="220">
        <v>12028</v>
      </c>
      <c r="H97" s="149" t="str">
        <f t="shared" si="1"/>
        <v>01138020075190244</v>
      </c>
    </row>
    <row r="98" spans="1:8" ht="63.75">
      <c r="A98" s="223" t="s">
        <v>629</v>
      </c>
      <c r="B98" s="214" t="s">
        <v>5</v>
      </c>
      <c r="C98" s="214" t="s">
        <v>454</v>
      </c>
      <c r="D98" s="214" t="s">
        <v>864</v>
      </c>
      <c r="E98" s="214"/>
      <c r="F98" s="220">
        <v>60000</v>
      </c>
      <c r="G98" s="220">
        <v>60000</v>
      </c>
      <c r="H98" s="149" t="str">
        <f t="shared" si="1"/>
        <v>01139060080000</v>
      </c>
    </row>
    <row r="99" spans="1:8" ht="25.5">
      <c r="A99" s="223" t="s">
        <v>456</v>
      </c>
      <c r="B99" s="214" t="s">
        <v>5</v>
      </c>
      <c r="C99" s="214" t="s">
        <v>454</v>
      </c>
      <c r="D99" s="214" t="s">
        <v>864</v>
      </c>
      <c r="E99" s="214" t="s">
        <v>457</v>
      </c>
      <c r="F99" s="220">
        <v>60000</v>
      </c>
      <c r="G99" s="220">
        <v>60000</v>
      </c>
      <c r="H99" s="149" t="str">
        <f t="shared" si="1"/>
        <v>01139060080000330</v>
      </c>
    </row>
    <row r="100" spans="1:8" ht="38.25">
      <c r="A100" s="223" t="s">
        <v>286</v>
      </c>
      <c r="B100" s="214" t="s">
        <v>5</v>
      </c>
      <c r="C100" s="214" t="s">
        <v>1602</v>
      </c>
      <c r="D100" s="214"/>
      <c r="E100" s="214"/>
      <c r="F100" s="220">
        <v>2705468</v>
      </c>
      <c r="G100" s="220">
        <v>2705468</v>
      </c>
      <c r="H100" s="149" t="str">
        <f t="shared" si="1"/>
        <v>0300</v>
      </c>
    </row>
    <row r="101" spans="1:8" ht="51">
      <c r="A101" s="223" t="s">
        <v>311</v>
      </c>
      <c r="B101" s="214" t="s">
        <v>5</v>
      </c>
      <c r="C101" s="214" t="s">
        <v>458</v>
      </c>
      <c r="D101" s="214"/>
      <c r="E101" s="214"/>
      <c r="F101" s="220">
        <v>2548363</v>
      </c>
      <c r="G101" s="220">
        <v>2548363</v>
      </c>
      <c r="H101" s="149" t="str">
        <f t="shared" si="1"/>
        <v>0309</v>
      </c>
    </row>
    <row r="102" spans="1:8" ht="165.75">
      <c r="A102" s="223" t="s">
        <v>459</v>
      </c>
      <c r="B102" s="214" t="s">
        <v>5</v>
      </c>
      <c r="C102" s="214" t="s">
        <v>458</v>
      </c>
      <c r="D102" s="214" t="s">
        <v>865</v>
      </c>
      <c r="E102" s="214"/>
      <c r="F102" s="220">
        <v>2451500</v>
      </c>
      <c r="G102" s="220">
        <v>2451500</v>
      </c>
      <c r="H102" s="149" t="str">
        <f t="shared" si="1"/>
        <v>03090410040010</v>
      </c>
    </row>
    <row r="103" spans="1:8">
      <c r="A103" s="223" t="s">
        <v>1603</v>
      </c>
      <c r="B103" s="214" t="s">
        <v>5</v>
      </c>
      <c r="C103" s="214" t="s">
        <v>458</v>
      </c>
      <c r="D103" s="137" t="s">
        <v>865</v>
      </c>
      <c r="E103" s="214" t="s">
        <v>460</v>
      </c>
      <c r="F103" s="220">
        <v>1882897</v>
      </c>
      <c r="G103" s="220">
        <v>1882897</v>
      </c>
      <c r="H103" s="149" t="str">
        <f t="shared" si="1"/>
        <v>03090410040010111</v>
      </c>
    </row>
    <row r="104" spans="1:8" ht="51">
      <c r="A104" s="223" t="s">
        <v>1604</v>
      </c>
      <c r="B104" s="214" t="s">
        <v>5</v>
      </c>
      <c r="C104" s="214" t="s">
        <v>458</v>
      </c>
      <c r="D104" s="137" t="s">
        <v>865</v>
      </c>
      <c r="E104" s="214" t="s">
        <v>1290</v>
      </c>
      <c r="F104" s="220">
        <v>568603</v>
      </c>
      <c r="G104" s="220">
        <v>568603</v>
      </c>
      <c r="H104" s="149" t="str">
        <f t="shared" si="1"/>
        <v>03090410040010119</v>
      </c>
    </row>
    <row r="105" spans="1:8" ht="204">
      <c r="A105" s="223" t="s">
        <v>797</v>
      </c>
      <c r="B105" s="214" t="s">
        <v>5</v>
      </c>
      <c r="C105" s="214" t="s">
        <v>458</v>
      </c>
      <c r="D105" s="214" t="s">
        <v>866</v>
      </c>
      <c r="E105" s="214"/>
      <c r="F105" s="220">
        <v>96863</v>
      </c>
      <c r="G105" s="220">
        <v>96863</v>
      </c>
      <c r="H105" s="149" t="str">
        <f t="shared" si="1"/>
        <v>03090410041010</v>
      </c>
    </row>
    <row r="106" spans="1:8">
      <c r="A106" s="223" t="s">
        <v>1603</v>
      </c>
      <c r="B106" s="214" t="s">
        <v>5</v>
      </c>
      <c r="C106" s="214" t="s">
        <v>458</v>
      </c>
      <c r="D106" s="214" t="s">
        <v>866</v>
      </c>
      <c r="E106" s="214" t="s">
        <v>460</v>
      </c>
      <c r="F106" s="220">
        <v>74396</v>
      </c>
      <c r="G106" s="220">
        <v>74396</v>
      </c>
      <c r="H106" s="149" t="str">
        <f t="shared" si="1"/>
        <v>03090410041010111</v>
      </c>
    </row>
    <row r="107" spans="1:8" ht="51">
      <c r="A107" s="223" t="s">
        <v>1604</v>
      </c>
      <c r="B107" s="214" t="s">
        <v>5</v>
      </c>
      <c r="C107" s="214" t="s">
        <v>458</v>
      </c>
      <c r="D107" s="214" t="s">
        <v>866</v>
      </c>
      <c r="E107" s="214" t="s">
        <v>1290</v>
      </c>
      <c r="F107" s="220">
        <v>22467</v>
      </c>
      <c r="G107" s="220">
        <v>22467</v>
      </c>
      <c r="H107" s="149" t="str">
        <f t="shared" si="1"/>
        <v>03090410041010119</v>
      </c>
    </row>
    <row r="108" spans="1:8">
      <c r="A108" s="223" t="s">
        <v>133</v>
      </c>
      <c r="B108" s="214" t="s">
        <v>5</v>
      </c>
      <c r="C108" s="214" t="s">
        <v>463</v>
      </c>
      <c r="D108" s="214"/>
      <c r="E108" s="214"/>
      <c r="F108" s="220">
        <v>157105</v>
      </c>
      <c r="G108" s="220">
        <v>157105</v>
      </c>
      <c r="H108" s="149" t="str">
        <f t="shared" si="1"/>
        <v>0310</v>
      </c>
    </row>
    <row r="109" spans="1:8" ht="127.5">
      <c r="A109" s="223" t="s">
        <v>467</v>
      </c>
      <c r="B109" s="214" t="s">
        <v>5</v>
      </c>
      <c r="C109" s="214" t="s">
        <v>463</v>
      </c>
      <c r="D109" s="214" t="s">
        <v>870</v>
      </c>
      <c r="E109" s="214"/>
      <c r="F109" s="220">
        <v>100000</v>
      </c>
      <c r="G109" s="220">
        <v>100000</v>
      </c>
      <c r="H109" s="149" t="str">
        <f t="shared" si="1"/>
        <v>03100420080020</v>
      </c>
    </row>
    <row r="110" spans="1:8" ht="38.25">
      <c r="A110" s="223" t="s">
        <v>445</v>
      </c>
      <c r="B110" s="214" t="s">
        <v>5</v>
      </c>
      <c r="C110" s="214" t="s">
        <v>463</v>
      </c>
      <c r="D110" s="214" t="s">
        <v>870</v>
      </c>
      <c r="E110" s="214" t="s">
        <v>446</v>
      </c>
      <c r="F110" s="220">
        <v>100000</v>
      </c>
      <c r="G110" s="220">
        <v>100000</v>
      </c>
      <c r="H110" s="149" t="str">
        <f t="shared" si="1"/>
        <v>03100420080020244</v>
      </c>
    </row>
    <row r="111" spans="1:8" ht="114.75">
      <c r="A111" s="223" t="s">
        <v>468</v>
      </c>
      <c r="B111" s="214" t="s">
        <v>5</v>
      </c>
      <c r="C111" s="214" t="s">
        <v>463</v>
      </c>
      <c r="D111" s="214" t="s">
        <v>871</v>
      </c>
      <c r="E111" s="214"/>
      <c r="F111" s="220">
        <v>57105</v>
      </c>
      <c r="G111" s="220">
        <v>57105</v>
      </c>
      <c r="H111" s="149" t="str">
        <f t="shared" si="1"/>
        <v>03100420080030</v>
      </c>
    </row>
    <row r="112" spans="1:8" ht="38.25">
      <c r="A112" s="223" t="s">
        <v>445</v>
      </c>
      <c r="B112" s="214" t="s">
        <v>5</v>
      </c>
      <c r="C112" s="214" t="s">
        <v>463</v>
      </c>
      <c r="D112" s="214" t="s">
        <v>871</v>
      </c>
      <c r="E112" s="214" t="s">
        <v>446</v>
      </c>
      <c r="F112" s="220">
        <v>57105</v>
      </c>
      <c r="G112" s="220">
        <v>57105</v>
      </c>
      <c r="H112" s="149" t="str">
        <f t="shared" si="1"/>
        <v>03100420080030244</v>
      </c>
    </row>
    <row r="113" spans="1:8">
      <c r="A113" s="223" t="s">
        <v>222</v>
      </c>
      <c r="B113" s="214" t="s">
        <v>5</v>
      </c>
      <c r="C113" s="214" t="s">
        <v>1605</v>
      </c>
      <c r="D113" s="214"/>
      <c r="E113" s="214"/>
      <c r="F113" s="220">
        <v>27428500</v>
      </c>
      <c r="G113" s="220">
        <v>37828200</v>
      </c>
      <c r="H113" s="149" t="str">
        <f t="shared" si="1"/>
        <v>0400</v>
      </c>
    </row>
    <row r="114" spans="1:8">
      <c r="A114" s="223" t="s">
        <v>223</v>
      </c>
      <c r="B114" s="214" t="s">
        <v>5</v>
      </c>
      <c r="C114" s="214" t="s">
        <v>470</v>
      </c>
      <c r="D114" s="214"/>
      <c r="E114" s="214"/>
      <c r="F114" s="220">
        <v>1164000</v>
      </c>
      <c r="G114" s="220">
        <v>1163700</v>
      </c>
      <c r="H114" s="149" t="str">
        <f t="shared" si="1"/>
        <v>0405</v>
      </c>
    </row>
    <row r="115" spans="1:8" ht="102">
      <c r="A115" s="229" t="s">
        <v>1291</v>
      </c>
      <c r="B115" s="214" t="s">
        <v>5</v>
      </c>
      <c r="C115" s="214" t="s">
        <v>470</v>
      </c>
      <c r="D115" s="214" t="s">
        <v>1292</v>
      </c>
      <c r="E115" s="214"/>
      <c r="F115" s="220">
        <v>2500</v>
      </c>
      <c r="G115" s="220">
        <v>2200</v>
      </c>
      <c r="H115" s="149" t="str">
        <f t="shared" si="1"/>
        <v>040512100R0550</v>
      </c>
    </row>
    <row r="116" spans="1:8" ht="63.75">
      <c r="A116" s="223" t="s">
        <v>1740</v>
      </c>
      <c r="B116" s="214" t="s">
        <v>5</v>
      </c>
      <c r="C116" s="214" t="s">
        <v>470</v>
      </c>
      <c r="D116" s="214" t="s">
        <v>1292</v>
      </c>
      <c r="E116" s="214" t="s">
        <v>1741</v>
      </c>
      <c r="F116" s="220">
        <v>2500</v>
      </c>
      <c r="G116" s="220">
        <v>2200</v>
      </c>
      <c r="H116" s="149" t="str">
        <f t="shared" si="1"/>
        <v>040512100R0550814</v>
      </c>
    </row>
    <row r="117" spans="1:8" ht="114.75">
      <c r="A117" s="229" t="s">
        <v>473</v>
      </c>
      <c r="B117" s="214" t="s">
        <v>5</v>
      </c>
      <c r="C117" s="214" t="s">
        <v>470</v>
      </c>
      <c r="D117" s="214" t="s">
        <v>878</v>
      </c>
      <c r="E117" s="214"/>
      <c r="F117" s="220">
        <v>1161500</v>
      </c>
      <c r="G117" s="220">
        <v>1161500</v>
      </c>
      <c r="H117" s="149" t="str">
        <f t="shared" si="1"/>
        <v>04051230075170</v>
      </c>
    </row>
    <row r="118" spans="1:8" ht="25.5">
      <c r="A118" s="223" t="s">
        <v>1165</v>
      </c>
      <c r="B118" s="214" t="s">
        <v>5</v>
      </c>
      <c r="C118" s="214" t="s">
        <v>470</v>
      </c>
      <c r="D118" s="214" t="s">
        <v>878</v>
      </c>
      <c r="E118" s="214" t="s">
        <v>440</v>
      </c>
      <c r="F118" s="220">
        <v>741928</v>
      </c>
      <c r="G118" s="220">
        <v>741928</v>
      </c>
      <c r="H118" s="149" t="str">
        <f t="shared" si="1"/>
        <v>04051230075170121</v>
      </c>
    </row>
    <row r="119" spans="1:8" ht="51">
      <c r="A119" s="229" t="s">
        <v>441</v>
      </c>
      <c r="B119" s="214" t="s">
        <v>5</v>
      </c>
      <c r="C119" s="214" t="s">
        <v>470</v>
      </c>
      <c r="D119" s="214" t="s">
        <v>878</v>
      </c>
      <c r="E119" s="214" t="s">
        <v>442</v>
      </c>
      <c r="F119" s="220">
        <v>114710</v>
      </c>
      <c r="G119" s="220">
        <v>114710</v>
      </c>
      <c r="H119" s="149" t="str">
        <f t="shared" si="1"/>
        <v>04051230075170122</v>
      </c>
    </row>
    <row r="120" spans="1:8" ht="63.75">
      <c r="A120" s="223" t="s">
        <v>1288</v>
      </c>
      <c r="B120" s="214" t="s">
        <v>5</v>
      </c>
      <c r="C120" s="214" t="s">
        <v>470</v>
      </c>
      <c r="D120" s="214" t="s">
        <v>878</v>
      </c>
      <c r="E120" s="214" t="s">
        <v>1289</v>
      </c>
      <c r="F120" s="220">
        <v>224062</v>
      </c>
      <c r="G120" s="220">
        <v>224062</v>
      </c>
      <c r="H120" s="149" t="str">
        <f t="shared" si="1"/>
        <v>04051230075170129</v>
      </c>
    </row>
    <row r="121" spans="1:8" ht="38.25">
      <c r="A121" s="223" t="s">
        <v>445</v>
      </c>
      <c r="B121" s="214" t="s">
        <v>5</v>
      </c>
      <c r="C121" s="214" t="s">
        <v>470</v>
      </c>
      <c r="D121" s="214" t="s">
        <v>878</v>
      </c>
      <c r="E121" s="214" t="s">
        <v>446</v>
      </c>
      <c r="F121" s="220">
        <v>80800</v>
      </c>
      <c r="G121" s="220">
        <v>80800</v>
      </c>
      <c r="H121" s="149" t="str">
        <f t="shared" si="1"/>
        <v>04051230075170244</v>
      </c>
    </row>
    <row r="122" spans="1:8">
      <c r="A122" s="223" t="s">
        <v>224</v>
      </c>
      <c r="B122" s="214" t="s">
        <v>5</v>
      </c>
      <c r="C122" s="214" t="s">
        <v>474</v>
      </c>
      <c r="D122" s="214"/>
      <c r="E122" s="214"/>
      <c r="F122" s="220">
        <v>24557000</v>
      </c>
      <c r="G122" s="220">
        <v>34957000</v>
      </c>
      <c r="H122" s="149" t="str">
        <f t="shared" si="1"/>
        <v>0408</v>
      </c>
    </row>
    <row r="123" spans="1:8" ht="89.25">
      <c r="A123" s="223" t="s">
        <v>1036</v>
      </c>
      <c r="B123" s="214" t="s">
        <v>5</v>
      </c>
      <c r="C123" s="214" t="s">
        <v>474</v>
      </c>
      <c r="D123" s="214" t="s">
        <v>1162</v>
      </c>
      <c r="E123" s="214"/>
      <c r="F123" s="220">
        <v>304800</v>
      </c>
      <c r="G123" s="220">
        <v>304800</v>
      </c>
      <c r="H123" s="149" t="str">
        <f t="shared" si="1"/>
        <v>040809200Л0000</v>
      </c>
    </row>
    <row r="124" spans="1:8" ht="63.75">
      <c r="A124" s="223" t="s">
        <v>1740</v>
      </c>
      <c r="B124" s="214" t="s">
        <v>5</v>
      </c>
      <c r="C124" s="214" t="s">
        <v>474</v>
      </c>
      <c r="D124" s="214" t="s">
        <v>1162</v>
      </c>
      <c r="E124" s="214" t="s">
        <v>1741</v>
      </c>
      <c r="F124" s="220">
        <v>304800</v>
      </c>
      <c r="G124" s="220">
        <v>304800</v>
      </c>
      <c r="H124" s="149" t="str">
        <f t="shared" si="1"/>
        <v>040809200Л0000814</v>
      </c>
    </row>
    <row r="125" spans="1:8" ht="89.25">
      <c r="A125" s="223" t="s">
        <v>475</v>
      </c>
      <c r="B125" s="214" t="s">
        <v>5</v>
      </c>
      <c r="C125" s="214" t="s">
        <v>474</v>
      </c>
      <c r="D125" s="214" t="s">
        <v>879</v>
      </c>
      <c r="E125" s="214"/>
      <c r="F125" s="220">
        <v>24252200</v>
      </c>
      <c r="G125" s="220">
        <v>34652200</v>
      </c>
      <c r="H125" s="149" t="str">
        <f t="shared" si="1"/>
        <v>040809200П0000</v>
      </c>
    </row>
    <row r="126" spans="1:8" ht="63.75">
      <c r="A126" s="223" t="s">
        <v>1740</v>
      </c>
      <c r="B126" s="214" t="s">
        <v>5</v>
      </c>
      <c r="C126" s="214" t="s">
        <v>474</v>
      </c>
      <c r="D126" s="214" t="s">
        <v>879</v>
      </c>
      <c r="E126" s="214" t="s">
        <v>1741</v>
      </c>
      <c r="F126" s="220">
        <v>24252200</v>
      </c>
      <c r="G126" s="220">
        <v>34652200</v>
      </c>
      <c r="H126" s="149" t="str">
        <f t="shared" si="1"/>
        <v>040809200П0000814</v>
      </c>
    </row>
    <row r="127" spans="1:8">
      <c r="A127" s="223" t="s">
        <v>303</v>
      </c>
      <c r="B127" s="214" t="s">
        <v>5</v>
      </c>
      <c r="C127" s="214" t="s">
        <v>476</v>
      </c>
      <c r="D127" s="214"/>
      <c r="E127" s="214"/>
      <c r="F127" s="220">
        <v>32700</v>
      </c>
      <c r="G127" s="220">
        <v>32700</v>
      </c>
      <c r="H127" s="149" t="str">
        <f t="shared" si="1"/>
        <v>0409</v>
      </c>
    </row>
    <row r="128" spans="1:8" ht="63.75">
      <c r="A128" s="223" t="s">
        <v>477</v>
      </c>
      <c r="B128" s="214" t="s">
        <v>5</v>
      </c>
      <c r="C128" s="214" t="s">
        <v>476</v>
      </c>
      <c r="D128" s="214" t="s">
        <v>880</v>
      </c>
      <c r="E128" s="214"/>
      <c r="F128" s="220">
        <v>32700</v>
      </c>
      <c r="G128" s="220">
        <v>32700</v>
      </c>
      <c r="H128" s="149" t="str">
        <f t="shared" si="1"/>
        <v>04090910080000</v>
      </c>
    </row>
    <row r="129" spans="1:8" ht="38.25">
      <c r="A129" s="229" t="s">
        <v>445</v>
      </c>
      <c r="B129" s="214" t="s">
        <v>5</v>
      </c>
      <c r="C129" s="214" t="s">
        <v>476</v>
      </c>
      <c r="D129" s="214" t="s">
        <v>880</v>
      </c>
      <c r="E129" s="214" t="s">
        <v>446</v>
      </c>
      <c r="F129" s="220">
        <v>32700</v>
      </c>
      <c r="G129" s="220">
        <v>32700</v>
      </c>
      <c r="H129" s="149" t="str">
        <f t="shared" si="1"/>
        <v>04090910080000244</v>
      </c>
    </row>
    <row r="130" spans="1:8" ht="25.5">
      <c r="A130" s="223" t="s">
        <v>180</v>
      </c>
      <c r="B130" s="214" t="s">
        <v>5</v>
      </c>
      <c r="C130" s="214" t="s">
        <v>478</v>
      </c>
      <c r="D130" s="214"/>
      <c r="E130" s="214"/>
      <c r="F130" s="220">
        <v>1674800</v>
      </c>
      <c r="G130" s="220">
        <v>1674800</v>
      </c>
      <c r="H130" s="149" t="str">
        <f t="shared" si="1"/>
        <v>0412</v>
      </c>
    </row>
    <row r="131" spans="1:8" ht="153">
      <c r="A131" s="223" t="s">
        <v>1606</v>
      </c>
      <c r="B131" s="214" t="s">
        <v>5</v>
      </c>
      <c r="C131" s="214" t="s">
        <v>478</v>
      </c>
      <c r="D131" s="214" t="s">
        <v>883</v>
      </c>
      <c r="E131" s="214"/>
      <c r="F131" s="220">
        <v>1044000</v>
      </c>
      <c r="G131" s="220">
        <v>1044000</v>
      </c>
      <c r="H131" s="149" t="str">
        <f t="shared" si="1"/>
        <v>04120810080010</v>
      </c>
    </row>
    <row r="132" spans="1:8" ht="63.75">
      <c r="A132" s="223" t="s">
        <v>1740</v>
      </c>
      <c r="B132" s="214" t="s">
        <v>5</v>
      </c>
      <c r="C132" s="214" t="s">
        <v>478</v>
      </c>
      <c r="D132" s="214" t="s">
        <v>883</v>
      </c>
      <c r="E132" s="214" t="s">
        <v>1741</v>
      </c>
      <c r="F132" s="220">
        <v>1044000</v>
      </c>
      <c r="G132" s="220">
        <v>1044000</v>
      </c>
      <c r="H132" s="149" t="str">
        <f t="shared" ref="H132:H191" si="2">CONCATENATE(C132,,D132,E132)</f>
        <v>04120810080010814</v>
      </c>
    </row>
    <row r="133" spans="1:8" ht="140.25">
      <c r="A133" s="229" t="s">
        <v>479</v>
      </c>
      <c r="B133" s="214" t="s">
        <v>5</v>
      </c>
      <c r="C133" s="214" t="s">
        <v>478</v>
      </c>
      <c r="D133" s="214" t="s">
        <v>881</v>
      </c>
      <c r="E133" s="214"/>
      <c r="F133" s="220">
        <v>10000</v>
      </c>
      <c r="G133" s="220">
        <v>10000</v>
      </c>
      <c r="H133" s="149" t="str">
        <f t="shared" si="2"/>
        <v>04120810080020</v>
      </c>
    </row>
    <row r="134" spans="1:8" ht="38.25">
      <c r="A134" s="223" t="s">
        <v>445</v>
      </c>
      <c r="B134" s="214" t="s">
        <v>5</v>
      </c>
      <c r="C134" s="214" t="s">
        <v>478</v>
      </c>
      <c r="D134" s="214" t="s">
        <v>881</v>
      </c>
      <c r="E134" s="214" t="s">
        <v>446</v>
      </c>
      <c r="F134" s="220">
        <v>10000</v>
      </c>
      <c r="G134" s="220">
        <v>10000</v>
      </c>
      <c r="H134" s="149" t="str">
        <f t="shared" si="2"/>
        <v>04120810080020244</v>
      </c>
    </row>
    <row r="135" spans="1:8" ht="140.25">
      <c r="A135" s="229" t="s">
        <v>630</v>
      </c>
      <c r="B135" s="214" t="s">
        <v>5</v>
      </c>
      <c r="C135" s="214" t="s">
        <v>478</v>
      </c>
      <c r="D135" s="214" t="s">
        <v>884</v>
      </c>
      <c r="E135" s="214"/>
      <c r="F135" s="220">
        <v>3000</v>
      </c>
      <c r="G135" s="220">
        <v>3000</v>
      </c>
      <c r="H135" s="149" t="str">
        <f t="shared" si="2"/>
        <v>04120830080030</v>
      </c>
    </row>
    <row r="136" spans="1:8" ht="38.25">
      <c r="A136" s="223" t="s">
        <v>445</v>
      </c>
      <c r="B136" s="214" t="s">
        <v>5</v>
      </c>
      <c r="C136" s="214" t="s">
        <v>478</v>
      </c>
      <c r="D136" s="214" t="s">
        <v>884</v>
      </c>
      <c r="E136" s="214" t="s">
        <v>446</v>
      </c>
      <c r="F136" s="220">
        <v>3000</v>
      </c>
      <c r="G136" s="220">
        <v>3000</v>
      </c>
      <c r="H136" s="149" t="str">
        <f t="shared" si="2"/>
        <v>04120830080030244</v>
      </c>
    </row>
    <row r="137" spans="1:8" ht="127.5">
      <c r="A137" s="229" t="s">
        <v>480</v>
      </c>
      <c r="B137" s="214" t="s">
        <v>5</v>
      </c>
      <c r="C137" s="214" t="s">
        <v>478</v>
      </c>
      <c r="D137" s="214" t="s">
        <v>885</v>
      </c>
      <c r="E137" s="214"/>
      <c r="F137" s="220">
        <v>617800</v>
      </c>
      <c r="G137" s="220">
        <v>617800</v>
      </c>
      <c r="H137" s="149" t="str">
        <f t="shared" si="2"/>
        <v>04121220075180</v>
      </c>
    </row>
    <row r="138" spans="1:8" ht="38.25">
      <c r="A138" s="223" t="s">
        <v>445</v>
      </c>
      <c r="B138" s="214" t="s">
        <v>5</v>
      </c>
      <c r="C138" s="214" t="s">
        <v>478</v>
      </c>
      <c r="D138" s="214" t="s">
        <v>885</v>
      </c>
      <c r="E138" s="214" t="s">
        <v>446</v>
      </c>
      <c r="F138" s="220">
        <v>617800</v>
      </c>
      <c r="G138" s="220">
        <v>617800</v>
      </c>
      <c r="H138" s="149" t="str">
        <f t="shared" si="2"/>
        <v>04121220075180244</v>
      </c>
    </row>
    <row r="139" spans="1:8" ht="25.5">
      <c r="A139" s="223" t="s">
        <v>287</v>
      </c>
      <c r="B139" s="214" t="s">
        <v>5</v>
      </c>
      <c r="C139" s="214" t="s">
        <v>1607</v>
      </c>
      <c r="D139" s="214"/>
      <c r="E139" s="214"/>
      <c r="F139" s="220">
        <v>211441998</v>
      </c>
      <c r="G139" s="220">
        <v>211441998</v>
      </c>
      <c r="H139" s="149" t="str">
        <f t="shared" si="2"/>
        <v>0500</v>
      </c>
    </row>
    <row r="140" spans="1:8">
      <c r="A140" s="223" t="s">
        <v>181</v>
      </c>
      <c r="B140" s="214" t="s">
        <v>5</v>
      </c>
      <c r="C140" s="214" t="s">
        <v>482</v>
      </c>
      <c r="D140" s="214"/>
      <c r="E140" s="214"/>
      <c r="F140" s="220">
        <v>210841998</v>
      </c>
      <c r="G140" s="220">
        <v>210841998</v>
      </c>
      <c r="H140" s="149" t="str">
        <f t="shared" si="2"/>
        <v>0502</v>
      </c>
    </row>
    <row r="141" spans="1:8" ht="140.25">
      <c r="A141" s="223" t="s">
        <v>1742</v>
      </c>
      <c r="B141" s="214" t="s">
        <v>5</v>
      </c>
      <c r="C141" s="214" t="s">
        <v>482</v>
      </c>
      <c r="D141" s="214" t="s">
        <v>888</v>
      </c>
      <c r="E141" s="214"/>
      <c r="F141" s="220">
        <v>190914098</v>
      </c>
      <c r="G141" s="220">
        <v>190914098</v>
      </c>
      <c r="H141" s="149" t="str">
        <f t="shared" si="2"/>
        <v>05020320075700</v>
      </c>
    </row>
    <row r="142" spans="1:8" ht="63.75">
      <c r="A142" s="223" t="s">
        <v>1740</v>
      </c>
      <c r="B142" s="214" t="s">
        <v>5</v>
      </c>
      <c r="C142" s="214" t="s">
        <v>482</v>
      </c>
      <c r="D142" s="214" t="s">
        <v>888</v>
      </c>
      <c r="E142" s="214" t="s">
        <v>1741</v>
      </c>
      <c r="F142" s="220">
        <v>190914098</v>
      </c>
      <c r="G142" s="220">
        <v>190914098</v>
      </c>
      <c r="H142" s="149" t="str">
        <f t="shared" si="2"/>
        <v>05020320075700814</v>
      </c>
    </row>
    <row r="143" spans="1:8" ht="216.75">
      <c r="A143" s="223" t="s">
        <v>1743</v>
      </c>
      <c r="B143" s="214" t="s">
        <v>5</v>
      </c>
      <c r="C143" s="214" t="s">
        <v>482</v>
      </c>
      <c r="D143" s="214" t="s">
        <v>887</v>
      </c>
      <c r="E143" s="214"/>
      <c r="F143" s="220">
        <v>19890000</v>
      </c>
      <c r="G143" s="220">
        <v>19890000</v>
      </c>
      <c r="H143" s="149" t="str">
        <f t="shared" si="2"/>
        <v>05020320075770</v>
      </c>
    </row>
    <row r="144" spans="1:8" ht="63.75">
      <c r="A144" s="223" t="s">
        <v>1740</v>
      </c>
      <c r="B144" s="214" t="s">
        <v>5</v>
      </c>
      <c r="C144" s="214" t="s">
        <v>482</v>
      </c>
      <c r="D144" s="214" t="s">
        <v>887</v>
      </c>
      <c r="E144" s="214" t="s">
        <v>1741</v>
      </c>
      <c r="F144" s="220">
        <v>19890000</v>
      </c>
      <c r="G144" s="220">
        <v>19890000</v>
      </c>
      <c r="H144" s="149" t="str">
        <f t="shared" si="2"/>
        <v>05020320075770814</v>
      </c>
    </row>
    <row r="145" spans="1:8" ht="63.75">
      <c r="A145" s="223" t="s">
        <v>889</v>
      </c>
      <c r="B145" s="214" t="s">
        <v>5</v>
      </c>
      <c r="C145" s="214" t="s">
        <v>482</v>
      </c>
      <c r="D145" s="214" t="s">
        <v>890</v>
      </c>
      <c r="E145" s="214"/>
      <c r="F145" s="220">
        <v>37900</v>
      </c>
      <c r="G145" s="220">
        <v>37900</v>
      </c>
      <c r="H145" s="149" t="str">
        <f t="shared" si="2"/>
        <v>050290900Ш0000</v>
      </c>
    </row>
    <row r="146" spans="1:8" ht="38.25">
      <c r="A146" s="229" t="s">
        <v>445</v>
      </c>
      <c r="B146" s="214" t="s">
        <v>5</v>
      </c>
      <c r="C146" s="214" t="s">
        <v>482</v>
      </c>
      <c r="D146" s="214" t="s">
        <v>890</v>
      </c>
      <c r="E146" s="214" t="s">
        <v>446</v>
      </c>
      <c r="F146" s="220">
        <v>37900</v>
      </c>
      <c r="G146" s="220">
        <v>37900</v>
      </c>
      <c r="H146" s="149" t="str">
        <f t="shared" si="2"/>
        <v>050290900Ш0000244</v>
      </c>
    </row>
    <row r="147" spans="1:8">
      <c r="A147" s="223" t="s">
        <v>45</v>
      </c>
      <c r="B147" s="214" t="s">
        <v>5</v>
      </c>
      <c r="C147" s="214" t="s">
        <v>506</v>
      </c>
      <c r="D147" s="214"/>
      <c r="E147" s="214"/>
      <c r="F147" s="220">
        <v>600000</v>
      </c>
      <c r="G147" s="220">
        <v>600000</v>
      </c>
      <c r="H147" s="149" t="str">
        <f t="shared" si="2"/>
        <v>0503</v>
      </c>
    </row>
    <row r="148" spans="1:8" ht="102">
      <c r="A148" s="223" t="s">
        <v>1158</v>
      </c>
      <c r="B148" s="214" t="s">
        <v>5</v>
      </c>
      <c r="C148" s="214" t="s">
        <v>506</v>
      </c>
      <c r="D148" s="214" t="s">
        <v>1014</v>
      </c>
      <c r="E148" s="214"/>
      <c r="F148" s="220">
        <v>600000</v>
      </c>
      <c r="G148" s="220">
        <v>600000</v>
      </c>
      <c r="H148" s="149" t="str">
        <f t="shared" si="2"/>
        <v>05030360080000</v>
      </c>
    </row>
    <row r="149" spans="1:8" ht="38.25">
      <c r="A149" s="223" t="s">
        <v>445</v>
      </c>
      <c r="B149" s="214" t="s">
        <v>5</v>
      </c>
      <c r="C149" s="214" t="s">
        <v>506</v>
      </c>
      <c r="D149" s="214" t="s">
        <v>1014</v>
      </c>
      <c r="E149" s="214" t="s">
        <v>446</v>
      </c>
      <c r="F149" s="220">
        <v>600000</v>
      </c>
      <c r="G149" s="220">
        <v>600000</v>
      </c>
      <c r="H149" s="149" t="str">
        <f t="shared" si="2"/>
        <v>05030360080000244</v>
      </c>
    </row>
    <row r="150" spans="1:8">
      <c r="A150" s="229" t="s">
        <v>173</v>
      </c>
      <c r="B150" s="214" t="s">
        <v>5</v>
      </c>
      <c r="C150" s="214" t="s">
        <v>1608</v>
      </c>
      <c r="D150" s="214"/>
      <c r="E150" s="214"/>
      <c r="F150" s="220">
        <v>7076260</v>
      </c>
      <c r="G150" s="220">
        <v>7076260</v>
      </c>
      <c r="H150" s="149" t="str">
        <f t="shared" si="2"/>
        <v>0700</v>
      </c>
    </row>
    <row r="151" spans="1:8">
      <c r="A151" s="223" t="s">
        <v>1440</v>
      </c>
      <c r="B151" s="214" t="s">
        <v>5</v>
      </c>
      <c r="C151" s="214" t="s">
        <v>483</v>
      </c>
      <c r="D151" s="214"/>
      <c r="E151" s="214"/>
      <c r="F151" s="220">
        <v>7076260</v>
      </c>
      <c r="G151" s="220">
        <v>7076260</v>
      </c>
      <c r="H151" s="149" t="str">
        <f t="shared" si="2"/>
        <v>0707</v>
      </c>
    </row>
    <row r="152" spans="1:8" ht="63.75">
      <c r="A152" s="229" t="s">
        <v>1171</v>
      </c>
      <c r="B152" s="214" t="s">
        <v>5</v>
      </c>
      <c r="C152" s="214" t="s">
        <v>483</v>
      </c>
      <c r="D152" s="214" t="s">
        <v>1172</v>
      </c>
      <c r="E152" s="214"/>
      <c r="F152" s="220">
        <v>164160</v>
      </c>
      <c r="G152" s="220">
        <v>164160</v>
      </c>
      <c r="H152" s="149" t="str">
        <f t="shared" si="2"/>
        <v>07070610080000</v>
      </c>
    </row>
    <row r="153" spans="1:8" ht="25.5">
      <c r="A153" s="223" t="s">
        <v>484</v>
      </c>
      <c r="B153" s="214" t="s">
        <v>5</v>
      </c>
      <c r="C153" s="214" t="s">
        <v>483</v>
      </c>
      <c r="D153" s="214" t="s">
        <v>1172</v>
      </c>
      <c r="E153" s="214" t="s">
        <v>485</v>
      </c>
      <c r="F153" s="220">
        <v>164160</v>
      </c>
      <c r="G153" s="220">
        <v>164160</v>
      </c>
      <c r="H153" s="149" t="str">
        <f t="shared" si="2"/>
        <v>07070610080000612</v>
      </c>
    </row>
    <row r="154" spans="1:8" ht="102">
      <c r="A154" s="229" t="s">
        <v>486</v>
      </c>
      <c r="B154" s="214" t="s">
        <v>5</v>
      </c>
      <c r="C154" s="214" t="s">
        <v>483</v>
      </c>
      <c r="D154" s="214" t="s">
        <v>891</v>
      </c>
      <c r="E154" s="214"/>
      <c r="F154" s="220">
        <v>300000</v>
      </c>
      <c r="G154" s="220">
        <v>300000</v>
      </c>
      <c r="H154" s="149" t="str">
        <f t="shared" si="2"/>
        <v>070706100S4560</v>
      </c>
    </row>
    <row r="155" spans="1:8" ht="25.5">
      <c r="A155" s="223" t="s">
        <v>484</v>
      </c>
      <c r="B155" s="214" t="s">
        <v>5</v>
      </c>
      <c r="C155" s="214" t="s">
        <v>483</v>
      </c>
      <c r="D155" s="214" t="s">
        <v>891</v>
      </c>
      <c r="E155" s="214" t="s">
        <v>485</v>
      </c>
      <c r="F155" s="220">
        <v>300000</v>
      </c>
      <c r="G155" s="220">
        <v>300000</v>
      </c>
      <c r="H155" s="149" t="str">
        <f t="shared" si="2"/>
        <v>070706100S4560612</v>
      </c>
    </row>
    <row r="156" spans="1:8" ht="63.75">
      <c r="A156" s="223" t="s">
        <v>487</v>
      </c>
      <c r="B156" s="214" t="s">
        <v>5</v>
      </c>
      <c r="C156" s="214" t="s">
        <v>483</v>
      </c>
      <c r="D156" s="214" t="s">
        <v>892</v>
      </c>
      <c r="E156" s="214"/>
      <c r="F156" s="220">
        <v>430000</v>
      </c>
      <c r="G156" s="220">
        <v>430000</v>
      </c>
      <c r="H156" s="149" t="str">
        <f t="shared" si="2"/>
        <v>07070620080000</v>
      </c>
    </row>
    <row r="157" spans="1:8" ht="25.5">
      <c r="A157" s="223" t="s">
        <v>484</v>
      </c>
      <c r="B157" s="214" t="s">
        <v>5</v>
      </c>
      <c r="C157" s="214" t="s">
        <v>483</v>
      </c>
      <c r="D157" s="214" t="s">
        <v>892</v>
      </c>
      <c r="E157" s="214" t="s">
        <v>485</v>
      </c>
      <c r="F157" s="220">
        <v>430000</v>
      </c>
      <c r="G157" s="220">
        <v>430000</v>
      </c>
      <c r="H157" s="149" t="str">
        <f t="shared" si="2"/>
        <v>07070620080000612</v>
      </c>
    </row>
    <row r="158" spans="1:8" ht="127.5">
      <c r="A158" s="223" t="s">
        <v>489</v>
      </c>
      <c r="B158" s="214" t="s">
        <v>5</v>
      </c>
      <c r="C158" s="214" t="s">
        <v>483</v>
      </c>
      <c r="D158" s="214" t="s">
        <v>894</v>
      </c>
      <c r="E158" s="214"/>
      <c r="F158" s="220">
        <v>4917400</v>
      </c>
      <c r="G158" s="220">
        <v>4917400</v>
      </c>
      <c r="H158" s="149" t="str">
        <f t="shared" si="2"/>
        <v>07070640040000</v>
      </c>
    </row>
    <row r="159" spans="1:8" ht="76.5">
      <c r="A159" s="53" t="s">
        <v>465</v>
      </c>
      <c r="B159" s="214" t="s">
        <v>5</v>
      </c>
      <c r="C159" s="214" t="s">
        <v>483</v>
      </c>
      <c r="D159" s="214" t="s">
        <v>894</v>
      </c>
      <c r="E159" s="214" t="s">
        <v>466</v>
      </c>
      <c r="F159" s="220">
        <v>4917400</v>
      </c>
      <c r="G159" s="220">
        <v>4917400</v>
      </c>
      <c r="H159" s="149" t="str">
        <f t="shared" si="2"/>
        <v>07070640040000611</v>
      </c>
    </row>
    <row r="160" spans="1:8" ht="165.75">
      <c r="A160" s="223" t="s">
        <v>490</v>
      </c>
      <c r="B160" s="214" t="s">
        <v>5</v>
      </c>
      <c r="C160" s="214" t="s">
        <v>483</v>
      </c>
      <c r="D160" s="214" t="s">
        <v>895</v>
      </c>
      <c r="E160" s="214"/>
      <c r="F160" s="220">
        <v>420000</v>
      </c>
      <c r="G160" s="220">
        <v>420000</v>
      </c>
      <c r="H160" s="149" t="str">
        <f t="shared" si="2"/>
        <v>07070640041000</v>
      </c>
    </row>
    <row r="161" spans="1:8" ht="76.5">
      <c r="A161" s="223" t="s">
        <v>465</v>
      </c>
      <c r="B161" s="214" t="s">
        <v>5</v>
      </c>
      <c r="C161" s="214" t="s">
        <v>483</v>
      </c>
      <c r="D161" s="214" t="s">
        <v>895</v>
      </c>
      <c r="E161" s="214" t="s">
        <v>466</v>
      </c>
      <c r="F161" s="220">
        <v>420000</v>
      </c>
      <c r="G161" s="220">
        <v>420000</v>
      </c>
      <c r="H161" s="149" t="str">
        <f t="shared" si="2"/>
        <v>07070640041000611</v>
      </c>
    </row>
    <row r="162" spans="1:8" ht="127.5">
      <c r="A162" s="223" t="s">
        <v>1118</v>
      </c>
      <c r="B162" s="214" t="s">
        <v>5</v>
      </c>
      <c r="C162" s="214" t="s">
        <v>483</v>
      </c>
      <c r="D162" s="214" t="s">
        <v>1117</v>
      </c>
      <c r="E162" s="214"/>
      <c r="F162" s="220">
        <v>50000</v>
      </c>
      <c r="G162" s="220">
        <v>50000</v>
      </c>
      <c r="H162" s="149" t="str">
        <f t="shared" si="2"/>
        <v>07070640047000</v>
      </c>
    </row>
    <row r="163" spans="1:8" ht="25.5">
      <c r="A163" s="223" t="s">
        <v>484</v>
      </c>
      <c r="B163" s="214" t="s">
        <v>5</v>
      </c>
      <c r="C163" s="214" t="s">
        <v>483</v>
      </c>
      <c r="D163" s="214" t="s">
        <v>1117</v>
      </c>
      <c r="E163" s="214" t="s">
        <v>485</v>
      </c>
      <c r="F163" s="220">
        <v>50000</v>
      </c>
      <c r="G163" s="220">
        <v>50000</v>
      </c>
      <c r="H163" s="149" t="str">
        <f t="shared" si="2"/>
        <v>07070640047000612</v>
      </c>
    </row>
    <row r="164" spans="1:8" ht="76.5">
      <c r="A164" s="223" t="s">
        <v>488</v>
      </c>
      <c r="B164" s="214" t="s">
        <v>5</v>
      </c>
      <c r="C164" s="214" t="s">
        <v>483</v>
      </c>
      <c r="D164" s="214" t="s">
        <v>893</v>
      </c>
      <c r="E164" s="214"/>
      <c r="F164" s="220">
        <v>794700</v>
      </c>
      <c r="G164" s="220">
        <v>794700</v>
      </c>
      <c r="H164" s="149" t="str">
        <f t="shared" si="2"/>
        <v>07070640074560</v>
      </c>
    </row>
    <row r="165" spans="1:8" ht="25.5">
      <c r="A165" s="223" t="s">
        <v>484</v>
      </c>
      <c r="B165" s="214" t="s">
        <v>5</v>
      </c>
      <c r="C165" s="214" t="s">
        <v>483</v>
      </c>
      <c r="D165" s="214" t="s">
        <v>893</v>
      </c>
      <c r="E165" s="214" t="s">
        <v>485</v>
      </c>
      <c r="F165" s="220">
        <v>794700</v>
      </c>
      <c r="G165" s="220">
        <v>794700</v>
      </c>
      <c r="H165" s="149" t="str">
        <f t="shared" si="2"/>
        <v>07070640074560612</v>
      </c>
    </row>
    <row r="166" spans="1:8">
      <c r="A166" s="223" t="s">
        <v>174</v>
      </c>
      <c r="B166" s="214" t="s">
        <v>5</v>
      </c>
      <c r="C166" s="214" t="s">
        <v>1609</v>
      </c>
      <c r="D166" s="214"/>
      <c r="E166" s="214"/>
      <c r="F166" s="220">
        <v>960846</v>
      </c>
      <c r="G166" s="220">
        <v>960846</v>
      </c>
      <c r="H166" s="149" t="str">
        <f t="shared" si="2"/>
        <v>1000</v>
      </c>
    </row>
    <row r="167" spans="1:8">
      <c r="A167" s="223" t="s">
        <v>125</v>
      </c>
      <c r="B167" s="214" t="s">
        <v>5</v>
      </c>
      <c r="C167" s="214" t="s">
        <v>493</v>
      </c>
      <c r="D167" s="214"/>
      <c r="E167" s="214"/>
      <c r="F167" s="220">
        <v>960846</v>
      </c>
      <c r="G167" s="220">
        <v>960846</v>
      </c>
      <c r="H167" s="149" t="str">
        <f t="shared" si="2"/>
        <v>1001</v>
      </c>
    </row>
    <row r="168" spans="1:8" ht="127.5">
      <c r="A168" s="223" t="s">
        <v>632</v>
      </c>
      <c r="B168" s="214" t="s">
        <v>5</v>
      </c>
      <c r="C168" s="214" t="s">
        <v>493</v>
      </c>
      <c r="D168" s="214" t="s">
        <v>896</v>
      </c>
      <c r="E168" s="214"/>
      <c r="F168" s="220">
        <v>960846</v>
      </c>
      <c r="G168" s="220">
        <v>960846</v>
      </c>
      <c r="H168" s="149" t="str">
        <f t="shared" si="2"/>
        <v>10010210080010</v>
      </c>
    </row>
    <row r="169" spans="1:8" ht="25.5">
      <c r="A169" s="223" t="s">
        <v>494</v>
      </c>
      <c r="B169" s="214" t="s">
        <v>5</v>
      </c>
      <c r="C169" s="214" t="s">
        <v>493</v>
      </c>
      <c r="D169" s="214" t="s">
        <v>896</v>
      </c>
      <c r="E169" s="214" t="s">
        <v>495</v>
      </c>
      <c r="F169" s="220">
        <v>960846</v>
      </c>
      <c r="G169" s="220">
        <v>960846</v>
      </c>
      <c r="H169" s="149" t="str">
        <f t="shared" si="2"/>
        <v>10010210080010312</v>
      </c>
    </row>
    <row r="170" spans="1:8">
      <c r="A170" s="223" t="s">
        <v>297</v>
      </c>
      <c r="B170" s="214" t="s">
        <v>5</v>
      </c>
      <c r="C170" s="214" t="s">
        <v>1610</v>
      </c>
      <c r="D170" s="214"/>
      <c r="E170" s="214"/>
      <c r="F170" s="220">
        <v>200000</v>
      </c>
      <c r="G170" s="220">
        <v>200000</v>
      </c>
      <c r="H170" s="149" t="str">
        <f t="shared" si="2"/>
        <v>1100</v>
      </c>
    </row>
    <row r="171" spans="1:8">
      <c r="A171" s="223" t="s">
        <v>258</v>
      </c>
      <c r="B171" s="214" t="s">
        <v>5</v>
      </c>
      <c r="C171" s="214" t="s">
        <v>499</v>
      </c>
      <c r="D171" s="214"/>
      <c r="E171" s="214"/>
      <c r="F171" s="220">
        <v>200000</v>
      </c>
      <c r="G171" s="220">
        <v>200000</v>
      </c>
      <c r="H171" s="149" t="str">
        <f t="shared" si="2"/>
        <v>1102</v>
      </c>
    </row>
    <row r="172" spans="1:8" ht="102">
      <c r="A172" s="229" t="s">
        <v>633</v>
      </c>
      <c r="B172" s="214" t="s">
        <v>5</v>
      </c>
      <c r="C172" s="214" t="s">
        <v>499</v>
      </c>
      <c r="D172" s="214" t="s">
        <v>899</v>
      </c>
      <c r="E172" s="214"/>
      <c r="F172" s="220">
        <v>16900</v>
      </c>
      <c r="G172" s="220">
        <v>16900</v>
      </c>
      <c r="H172" s="149" t="str">
        <f t="shared" si="2"/>
        <v>11020720080010</v>
      </c>
    </row>
    <row r="173" spans="1:8" ht="25.5">
      <c r="A173" s="223" t="s">
        <v>484</v>
      </c>
      <c r="B173" s="214" t="s">
        <v>5</v>
      </c>
      <c r="C173" s="214" t="s">
        <v>499</v>
      </c>
      <c r="D173" s="214" t="s">
        <v>899</v>
      </c>
      <c r="E173" s="214" t="s">
        <v>485</v>
      </c>
      <c r="F173" s="220">
        <v>16900</v>
      </c>
      <c r="G173" s="220">
        <v>16900</v>
      </c>
      <c r="H173" s="149" t="str">
        <f t="shared" si="2"/>
        <v>11020720080010612</v>
      </c>
    </row>
    <row r="174" spans="1:8" ht="76.5">
      <c r="A174" s="223" t="s">
        <v>502</v>
      </c>
      <c r="B174" s="214" t="s">
        <v>5</v>
      </c>
      <c r="C174" s="214" t="s">
        <v>499</v>
      </c>
      <c r="D174" s="214" t="s">
        <v>900</v>
      </c>
      <c r="E174" s="214"/>
      <c r="F174" s="220">
        <v>176400</v>
      </c>
      <c r="G174" s="220">
        <v>176400</v>
      </c>
      <c r="H174" s="149" t="str">
        <f t="shared" si="2"/>
        <v>11020720080020</v>
      </c>
    </row>
    <row r="175" spans="1:8" ht="25.5">
      <c r="A175" s="223" t="s">
        <v>484</v>
      </c>
      <c r="B175" s="214" t="s">
        <v>5</v>
      </c>
      <c r="C175" s="214" t="s">
        <v>499</v>
      </c>
      <c r="D175" s="214" t="s">
        <v>900</v>
      </c>
      <c r="E175" s="214" t="s">
        <v>485</v>
      </c>
      <c r="F175" s="220">
        <v>176400</v>
      </c>
      <c r="G175" s="220">
        <v>176400</v>
      </c>
      <c r="H175" s="149" t="str">
        <f t="shared" si="2"/>
        <v>11020720080020612</v>
      </c>
    </row>
    <row r="176" spans="1:8" ht="127.5">
      <c r="A176" s="229" t="s">
        <v>503</v>
      </c>
      <c r="B176" s="214" t="s">
        <v>5</v>
      </c>
      <c r="C176" s="214" t="s">
        <v>499</v>
      </c>
      <c r="D176" s="214" t="s">
        <v>901</v>
      </c>
      <c r="E176" s="214"/>
      <c r="F176" s="220">
        <v>6700</v>
      </c>
      <c r="G176" s="220">
        <v>6700</v>
      </c>
      <c r="H176" s="149" t="str">
        <f t="shared" si="2"/>
        <v>11020720080030</v>
      </c>
    </row>
    <row r="177" spans="1:8" ht="25.5">
      <c r="A177" s="223" t="s">
        <v>484</v>
      </c>
      <c r="B177" s="214" t="s">
        <v>5</v>
      </c>
      <c r="C177" s="214" t="s">
        <v>499</v>
      </c>
      <c r="D177" s="214" t="s">
        <v>901</v>
      </c>
      <c r="E177" s="214" t="s">
        <v>485</v>
      </c>
      <c r="F177" s="220">
        <v>6700</v>
      </c>
      <c r="G177" s="220">
        <v>6700</v>
      </c>
      <c r="H177" s="149" t="str">
        <f t="shared" si="2"/>
        <v>11020720080030612</v>
      </c>
    </row>
    <row r="178" spans="1:8" ht="25.5">
      <c r="A178" s="223" t="s">
        <v>1315</v>
      </c>
      <c r="B178" s="214" t="s">
        <v>472</v>
      </c>
      <c r="C178" s="214"/>
      <c r="D178" s="214"/>
      <c r="E178" s="214"/>
      <c r="F178" s="220">
        <v>3885100</v>
      </c>
      <c r="G178" s="220">
        <v>3885100</v>
      </c>
      <c r="H178" s="149" t="str">
        <f t="shared" si="2"/>
        <v/>
      </c>
    </row>
    <row r="179" spans="1:8">
      <c r="A179" s="229" t="s">
        <v>282</v>
      </c>
      <c r="B179" s="214" t="s">
        <v>472</v>
      </c>
      <c r="C179" s="214" t="s">
        <v>1598</v>
      </c>
      <c r="D179" s="214"/>
      <c r="E179" s="214"/>
      <c r="F179" s="220">
        <v>3885100</v>
      </c>
      <c r="G179" s="220">
        <v>3885100</v>
      </c>
      <c r="H179" s="149" t="str">
        <f t="shared" si="2"/>
        <v>0100</v>
      </c>
    </row>
    <row r="180" spans="1:8">
      <c r="A180" s="223" t="s">
        <v>265</v>
      </c>
      <c r="B180" s="214" t="s">
        <v>472</v>
      </c>
      <c r="C180" s="214" t="s">
        <v>454</v>
      </c>
      <c r="D180" s="214"/>
      <c r="E180" s="214"/>
      <c r="F180" s="220">
        <v>3885100</v>
      </c>
      <c r="G180" s="220">
        <v>3885100</v>
      </c>
      <c r="H180" s="149" t="str">
        <f t="shared" si="2"/>
        <v>0113</v>
      </c>
    </row>
    <row r="181" spans="1:8" ht="38.25">
      <c r="A181" s="223" t="s">
        <v>1316</v>
      </c>
      <c r="B181" s="214" t="s">
        <v>472</v>
      </c>
      <c r="C181" s="214" t="s">
        <v>454</v>
      </c>
      <c r="D181" s="214" t="s">
        <v>1441</v>
      </c>
      <c r="E181" s="214"/>
      <c r="F181" s="220">
        <v>199982</v>
      </c>
      <c r="G181" s="220">
        <v>199982</v>
      </c>
      <c r="H181" s="149" t="str">
        <f t="shared" si="2"/>
        <v>01139070040000</v>
      </c>
    </row>
    <row r="182" spans="1:8" ht="38.25">
      <c r="A182" s="223" t="s">
        <v>445</v>
      </c>
      <c r="B182" s="214" t="s">
        <v>472</v>
      </c>
      <c r="C182" s="214" t="s">
        <v>454</v>
      </c>
      <c r="D182" s="214" t="s">
        <v>1441</v>
      </c>
      <c r="E182" s="214" t="s">
        <v>446</v>
      </c>
      <c r="F182" s="220">
        <v>199982</v>
      </c>
      <c r="G182" s="220">
        <v>199982</v>
      </c>
      <c r="H182" s="149" t="str">
        <f t="shared" si="2"/>
        <v>01139070040000244</v>
      </c>
    </row>
    <row r="183" spans="1:8" ht="63.75">
      <c r="A183" s="223" t="s">
        <v>1611</v>
      </c>
      <c r="B183" s="214" t="s">
        <v>472</v>
      </c>
      <c r="C183" s="214" t="s">
        <v>454</v>
      </c>
      <c r="D183" s="214" t="s">
        <v>1612</v>
      </c>
      <c r="E183" s="214"/>
      <c r="F183" s="220">
        <v>260000</v>
      </c>
      <c r="G183" s="220">
        <v>260000</v>
      </c>
      <c r="H183" s="149" t="str">
        <f t="shared" si="2"/>
        <v>01139070047000</v>
      </c>
    </row>
    <row r="184" spans="1:8" ht="51">
      <c r="A184" s="223" t="s">
        <v>441</v>
      </c>
      <c r="B184" s="214" t="s">
        <v>472</v>
      </c>
      <c r="C184" s="214" t="s">
        <v>454</v>
      </c>
      <c r="D184" s="214" t="s">
        <v>1612</v>
      </c>
      <c r="E184" s="214" t="s">
        <v>442</v>
      </c>
      <c r="F184" s="220">
        <v>260000</v>
      </c>
      <c r="G184" s="220">
        <v>260000</v>
      </c>
      <c r="H184" s="149" t="str">
        <f t="shared" si="2"/>
        <v>01139070047000122</v>
      </c>
    </row>
    <row r="185" spans="1:8" ht="63.75">
      <c r="A185" s="223" t="s">
        <v>1613</v>
      </c>
      <c r="B185" s="214" t="s">
        <v>472</v>
      </c>
      <c r="C185" s="214" t="s">
        <v>454</v>
      </c>
      <c r="D185" s="214" t="s">
        <v>1614</v>
      </c>
      <c r="E185" s="214"/>
      <c r="F185" s="220">
        <v>3425118</v>
      </c>
      <c r="G185" s="220">
        <v>3425118</v>
      </c>
      <c r="H185" s="149" t="str">
        <f t="shared" si="2"/>
        <v>0113907004Б000</v>
      </c>
    </row>
    <row r="186" spans="1:8" ht="25.5">
      <c r="A186" s="223" t="s">
        <v>1165</v>
      </c>
      <c r="B186" s="214" t="s">
        <v>472</v>
      </c>
      <c r="C186" s="214" t="s">
        <v>454</v>
      </c>
      <c r="D186" s="214" t="s">
        <v>1614</v>
      </c>
      <c r="E186" s="214" t="s">
        <v>440</v>
      </c>
      <c r="F186" s="220">
        <v>2630659</v>
      </c>
      <c r="G186" s="220">
        <v>2630659</v>
      </c>
      <c r="H186" s="149" t="str">
        <f t="shared" si="2"/>
        <v>0113907004Б000121</v>
      </c>
    </row>
    <row r="187" spans="1:8" ht="63.75">
      <c r="A187" s="223" t="s">
        <v>1288</v>
      </c>
      <c r="B187" s="214" t="s">
        <v>472</v>
      </c>
      <c r="C187" s="214" t="s">
        <v>454</v>
      </c>
      <c r="D187" s="214" t="s">
        <v>1614</v>
      </c>
      <c r="E187" s="214" t="s">
        <v>1289</v>
      </c>
      <c r="F187" s="220">
        <v>794459</v>
      </c>
      <c r="G187" s="220">
        <v>794459</v>
      </c>
      <c r="H187" s="149" t="str">
        <f t="shared" si="2"/>
        <v>0113907004Б000129</v>
      </c>
    </row>
    <row r="188" spans="1:8" ht="25.5">
      <c r="A188" s="223" t="s">
        <v>304</v>
      </c>
      <c r="B188" s="214" t="s">
        <v>246</v>
      </c>
      <c r="C188" s="214"/>
      <c r="D188" s="214"/>
      <c r="E188" s="214"/>
      <c r="F188" s="220">
        <v>1544150</v>
      </c>
      <c r="G188" s="220">
        <v>1544150</v>
      </c>
      <c r="H188" s="149" t="str">
        <f t="shared" si="2"/>
        <v/>
      </c>
    </row>
    <row r="189" spans="1:8" ht="25.5">
      <c r="A189" s="223" t="s">
        <v>287</v>
      </c>
      <c r="B189" s="214" t="s">
        <v>246</v>
      </c>
      <c r="C189" s="214" t="s">
        <v>1607</v>
      </c>
      <c r="D189" s="214"/>
      <c r="E189" s="214"/>
      <c r="F189" s="220">
        <v>1544150</v>
      </c>
      <c r="G189" s="220">
        <v>1544150</v>
      </c>
      <c r="H189" s="149" t="str">
        <f t="shared" si="2"/>
        <v>0500</v>
      </c>
    </row>
    <row r="190" spans="1:8" ht="25.5">
      <c r="A190" s="223" t="s">
        <v>186</v>
      </c>
      <c r="B190" s="214" t="s">
        <v>246</v>
      </c>
      <c r="C190" s="214" t="s">
        <v>507</v>
      </c>
      <c r="D190" s="214"/>
      <c r="E190" s="214"/>
      <c r="F190" s="220">
        <v>1544150</v>
      </c>
      <c r="G190" s="220">
        <v>1544150</v>
      </c>
      <c r="H190" s="149" t="str">
        <f t="shared" si="2"/>
        <v>0505</v>
      </c>
    </row>
    <row r="191" spans="1:8" ht="51">
      <c r="A191" s="223" t="s">
        <v>508</v>
      </c>
      <c r="B191" s="214" t="s">
        <v>246</v>
      </c>
      <c r="C191" s="214" t="s">
        <v>507</v>
      </c>
      <c r="D191" s="214" t="s">
        <v>903</v>
      </c>
      <c r="E191" s="214"/>
      <c r="F191" s="220">
        <v>1414150</v>
      </c>
      <c r="G191" s="220">
        <v>1414150</v>
      </c>
      <c r="H191" s="149" t="str">
        <f t="shared" si="2"/>
        <v>05059050040000</v>
      </c>
    </row>
    <row r="192" spans="1:8">
      <c r="A192" s="223" t="s">
        <v>1603</v>
      </c>
      <c r="B192" s="214" t="s">
        <v>246</v>
      </c>
      <c r="C192" s="214" t="s">
        <v>507</v>
      </c>
      <c r="D192" s="214" t="s">
        <v>903</v>
      </c>
      <c r="E192" s="214" t="s">
        <v>460</v>
      </c>
      <c r="F192" s="220">
        <v>1250700</v>
      </c>
      <c r="G192" s="220">
        <v>1250700</v>
      </c>
      <c r="H192" s="149" t="str">
        <f t="shared" ref="H192:H243" si="3">CONCATENATE(C192,,D192,E192)</f>
        <v>05059050040000111</v>
      </c>
    </row>
    <row r="193" spans="1:8" ht="25.5">
      <c r="A193" s="223" t="s">
        <v>1617</v>
      </c>
      <c r="B193" s="214" t="s">
        <v>246</v>
      </c>
      <c r="C193" s="214" t="s">
        <v>507</v>
      </c>
      <c r="D193" s="214" t="s">
        <v>903</v>
      </c>
      <c r="E193" s="214" t="s">
        <v>509</v>
      </c>
      <c r="F193" s="220">
        <v>80000</v>
      </c>
      <c r="G193" s="220">
        <v>80000</v>
      </c>
      <c r="H193" s="149" t="str">
        <f t="shared" si="3"/>
        <v>05059050040000112</v>
      </c>
    </row>
    <row r="194" spans="1:8" ht="38.25">
      <c r="A194" s="223" t="s">
        <v>445</v>
      </c>
      <c r="B194" s="214" t="s">
        <v>246</v>
      </c>
      <c r="C194" s="214" t="s">
        <v>507</v>
      </c>
      <c r="D194" s="214" t="s">
        <v>903</v>
      </c>
      <c r="E194" s="214" t="s">
        <v>446</v>
      </c>
      <c r="F194" s="220">
        <v>83450</v>
      </c>
      <c r="G194" s="220">
        <v>83450</v>
      </c>
      <c r="H194" s="149" t="str">
        <f t="shared" si="3"/>
        <v>05059050040000244</v>
      </c>
    </row>
    <row r="195" spans="1:8" ht="76.5">
      <c r="A195" s="223" t="s">
        <v>728</v>
      </c>
      <c r="B195" s="214" t="s">
        <v>246</v>
      </c>
      <c r="C195" s="214" t="s">
        <v>507</v>
      </c>
      <c r="D195" s="214" t="s">
        <v>904</v>
      </c>
      <c r="E195" s="214"/>
      <c r="F195" s="220">
        <v>130000</v>
      </c>
      <c r="G195" s="220">
        <v>130000</v>
      </c>
      <c r="H195" s="149" t="str">
        <f t="shared" si="3"/>
        <v>05059050047000</v>
      </c>
    </row>
    <row r="196" spans="1:8" ht="25.5">
      <c r="A196" s="223" t="s">
        <v>1617</v>
      </c>
      <c r="B196" s="214" t="s">
        <v>246</v>
      </c>
      <c r="C196" s="214" t="s">
        <v>507</v>
      </c>
      <c r="D196" s="214" t="s">
        <v>904</v>
      </c>
      <c r="E196" s="214" t="s">
        <v>509</v>
      </c>
      <c r="F196" s="220">
        <v>130000</v>
      </c>
      <c r="G196" s="220">
        <v>130000</v>
      </c>
      <c r="H196" s="149" t="str">
        <f t="shared" si="3"/>
        <v>05059050047000112</v>
      </c>
    </row>
    <row r="197" spans="1:8" ht="38.25">
      <c r="A197" s="223" t="s">
        <v>511</v>
      </c>
      <c r="B197" s="214" t="s">
        <v>177</v>
      </c>
      <c r="C197" s="214"/>
      <c r="D197" s="214"/>
      <c r="E197" s="214"/>
      <c r="F197" s="220">
        <v>55908800</v>
      </c>
      <c r="G197" s="220">
        <v>55908800</v>
      </c>
      <c r="H197" s="149" t="str">
        <f t="shared" si="3"/>
        <v/>
      </c>
    </row>
    <row r="198" spans="1:8">
      <c r="A198" s="223" t="s">
        <v>174</v>
      </c>
      <c r="B198" s="214" t="s">
        <v>177</v>
      </c>
      <c r="C198" s="214" t="s">
        <v>1609</v>
      </c>
      <c r="D198" s="214"/>
      <c r="E198" s="214"/>
      <c r="F198" s="220">
        <v>55908800</v>
      </c>
      <c r="G198" s="220">
        <v>55908800</v>
      </c>
      <c r="H198" s="149" t="str">
        <f t="shared" si="3"/>
        <v>1000</v>
      </c>
    </row>
    <row r="199" spans="1:8">
      <c r="A199" s="223" t="s">
        <v>126</v>
      </c>
      <c r="B199" s="214" t="s">
        <v>177</v>
      </c>
      <c r="C199" s="214" t="s">
        <v>513</v>
      </c>
      <c r="D199" s="214"/>
      <c r="E199" s="214"/>
      <c r="F199" s="220">
        <v>38038600</v>
      </c>
      <c r="G199" s="220">
        <v>38038600</v>
      </c>
      <c r="H199" s="149" t="str">
        <f t="shared" si="3"/>
        <v>1002</v>
      </c>
    </row>
    <row r="200" spans="1:8" ht="102">
      <c r="A200" s="223" t="s">
        <v>636</v>
      </c>
      <c r="B200" s="214" t="s">
        <v>177</v>
      </c>
      <c r="C200" s="214" t="s">
        <v>513</v>
      </c>
      <c r="D200" s="214" t="s">
        <v>908</v>
      </c>
      <c r="E200" s="214"/>
      <c r="F200" s="220">
        <v>38038600</v>
      </c>
      <c r="G200" s="220">
        <v>38038600</v>
      </c>
      <c r="H200" s="149" t="str">
        <f t="shared" si="3"/>
        <v>10020240001510</v>
      </c>
    </row>
    <row r="201" spans="1:8" ht="76.5">
      <c r="A201" s="223" t="s">
        <v>465</v>
      </c>
      <c r="B201" s="214" t="s">
        <v>177</v>
      </c>
      <c r="C201" s="214" t="s">
        <v>513</v>
      </c>
      <c r="D201" s="214" t="s">
        <v>908</v>
      </c>
      <c r="E201" s="214" t="s">
        <v>466</v>
      </c>
      <c r="F201" s="220">
        <v>38038600</v>
      </c>
      <c r="G201" s="220">
        <v>38038600</v>
      </c>
      <c r="H201" s="149" t="str">
        <f t="shared" si="3"/>
        <v>10020240001510611</v>
      </c>
    </row>
    <row r="202" spans="1:8">
      <c r="A202" s="223" t="s">
        <v>127</v>
      </c>
      <c r="B202" s="214" t="s">
        <v>177</v>
      </c>
      <c r="C202" s="214" t="s">
        <v>496</v>
      </c>
      <c r="D202" s="214"/>
      <c r="E202" s="214"/>
      <c r="F202" s="220">
        <v>337500</v>
      </c>
      <c r="G202" s="220">
        <v>337500</v>
      </c>
      <c r="H202" s="149" t="str">
        <f t="shared" si="3"/>
        <v>1003</v>
      </c>
    </row>
    <row r="203" spans="1:8" ht="114.75">
      <c r="A203" s="229" t="s">
        <v>1309</v>
      </c>
      <c r="B203" s="214" t="s">
        <v>177</v>
      </c>
      <c r="C203" s="214" t="s">
        <v>496</v>
      </c>
      <c r="D203" s="214" t="s">
        <v>1310</v>
      </c>
      <c r="E203" s="214"/>
      <c r="F203" s="220">
        <v>337500</v>
      </c>
      <c r="G203" s="220">
        <v>337500</v>
      </c>
      <c r="H203" s="149" t="str">
        <f t="shared" si="3"/>
        <v>10030220006400</v>
      </c>
    </row>
    <row r="204" spans="1:8" ht="38.25">
      <c r="A204" s="223" t="s">
        <v>445</v>
      </c>
      <c r="B204" s="214" t="s">
        <v>177</v>
      </c>
      <c r="C204" s="214" t="s">
        <v>496</v>
      </c>
      <c r="D204" s="214" t="s">
        <v>1310</v>
      </c>
      <c r="E204" s="214" t="s">
        <v>446</v>
      </c>
      <c r="F204" s="220">
        <v>337500</v>
      </c>
      <c r="G204" s="220">
        <v>337500</v>
      </c>
      <c r="H204" s="149" t="str">
        <f t="shared" si="3"/>
        <v>10030220006400244</v>
      </c>
    </row>
    <row r="205" spans="1:8" ht="25.5">
      <c r="A205" s="229" t="s">
        <v>81</v>
      </c>
      <c r="B205" s="214" t="s">
        <v>177</v>
      </c>
      <c r="C205" s="214" t="s">
        <v>514</v>
      </c>
      <c r="D205" s="214"/>
      <c r="E205" s="214"/>
      <c r="F205" s="220">
        <v>17532700</v>
      </c>
      <c r="G205" s="220">
        <v>17532700</v>
      </c>
      <c r="H205" s="149" t="str">
        <f t="shared" si="3"/>
        <v>1006</v>
      </c>
    </row>
    <row r="206" spans="1:8" ht="165.75">
      <c r="A206" s="223" t="s">
        <v>730</v>
      </c>
      <c r="B206" s="214" t="s">
        <v>177</v>
      </c>
      <c r="C206" s="214" t="s">
        <v>514</v>
      </c>
      <c r="D206" s="214" t="s">
        <v>910</v>
      </c>
      <c r="E206" s="214"/>
      <c r="F206" s="220">
        <v>17532700</v>
      </c>
      <c r="G206" s="220">
        <v>17532700</v>
      </c>
      <c r="H206" s="149" t="str">
        <f t="shared" si="3"/>
        <v>10060260075130</v>
      </c>
    </row>
    <row r="207" spans="1:8" ht="25.5">
      <c r="A207" s="223" t="s">
        <v>1165</v>
      </c>
      <c r="B207" s="214" t="s">
        <v>177</v>
      </c>
      <c r="C207" s="214" t="s">
        <v>514</v>
      </c>
      <c r="D207" s="214" t="s">
        <v>910</v>
      </c>
      <c r="E207" s="214" t="s">
        <v>440</v>
      </c>
      <c r="F207" s="220">
        <v>11608100</v>
      </c>
      <c r="G207" s="220">
        <v>11608100</v>
      </c>
      <c r="H207" s="149" t="str">
        <f t="shared" si="3"/>
        <v>10060260075130121</v>
      </c>
    </row>
    <row r="208" spans="1:8" ht="51">
      <c r="A208" s="223" t="s">
        <v>441</v>
      </c>
      <c r="B208" s="214" t="s">
        <v>177</v>
      </c>
      <c r="C208" s="214" t="s">
        <v>514</v>
      </c>
      <c r="D208" s="214" t="s">
        <v>910</v>
      </c>
      <c r="E208" s="214" t="s">
        <v>442</v>
      </c>
      <c r="F208" s="220">
        <v>161900</v>
      </c>
      <c r="G208" s="220">
        <v>161900</v>
      </c>
      <c r="H208" s="149" t="str">
        <f t="shared" si="3"/>
        <v>10060260075130122</v>
      </c>
    </row>
    <row r="209" spans="1:8" ht="63.75">
      <c r="A209" s="229" t="s">
        <v>1288</v>
      </c>
      <c r="B209" s="214" t="s">
        <v>177</v>
      </c>
      <c r="C209" s="214" t="s">
        <v>514</v>
      </c>
      <c r="D209" s="214" t="s">
        <v>910</v>
      </c>
      <c r="E209" s="214" t="s">
        <v>1289</v>
      </c>
      <c r="F209" s="220">
        <v>3505600</v>
      </c>
      <c r="G209" s="220">
        <v>3505600</v>
      </c>
      <c r="H209" s="149" t="str">
        <f t="shared" si="3"/>
        <v>10060260075130129</v>
      </c>
    </row>
    <row r="210" spans="1:8" ht="38.25">
      <c r="A210" s="223" t="s">
        <v>445</v>
      </c>
      <c r="B210" s="214" t="s">
        <v>177</v>
      </c>
      <c r="C210" s="214" t="s">
        <v>514</v>
      </c>
      <c r="D210" s="214" t="s">
        <v>910</v>
      </c>
      <c r="E210" s="214" t="s">
        <v>446</v>
      </c>
      <c r="F210" s="220">
        <v>2257100</v>
      </c>
      <c r="G210" s="220">
        <v>2257100</v>
      </c>
      <c r="H210" s="149" t="str">
        <f t="shared" si="3"/>
        <v>10060260075130244</v>
      </c>
    </row>
    <row r="211" spans="1:8" ht="38.25">
      <c r="A211" s="223" t="s">
        <v>305</v>
      </c>
      <c r="B211" s="214" t="s">
        <v>278</v>
      </c>
      <c r="C211" s="214"/>
      <c r="D211" s="214"/>
      <c r="E211" s="214"/>
      <c r="F211" s="220">
        <v>177037290</v>
      </c>
      <c r="G211" s="220">
        <v>177037290</v>
      </c>
      <c r="H211" s="149" t="str">
        <f t="shared" si="3"/>
        <v/>
      </c>
    </row>
    <row r="212" spans="1:8">
      <c r="A212" s="223" t="s">
        <v>173</v>
      </c>
      <c r="B212" s="214" t="s">
        <v>278</v>
      </c>
      <c r="C212" s="214" t="s">
        <v>1608</v>
      </c>
      <c r="D212" s="214"/>
      <c r="E212" s="214"/>
      <c r="F212" s="220">
        <v>37904343</v>
      </c>
      <c r="G212" s="220">
        <v>37904343</v>
      </c>
      <c r="H212" s="149" t="str">
        <f t="shared" si="3"/>
        <v>0700</v>
      </c>
    </row>
    <row r="213" spans="1:8">
      <c r="A213" s="223" t="s">
        <v>1442</v>
      </c>
      <c r="B213" s="214" t="s">
        <v>278</v>
      </c>
      <c r="C213" s="214" t="s">
        <v>1443</v>
      </c>
      <c r="D213" s="214"/>
      <c r="E213" s="214"/>
      <c r="F213" s="220">
        <v>37904343</v>
      </c>
      <c r="G213" s="220">
        <v>37904343</v>
      </c>
      <c r="H213" s="149" t="str">
        <f t="shared" si="3"/>
        <v>0703</v>
      </c>
    </row>
    <row r="214" spans="1:8" ht="63.75">
      <c r="A214" s="223" t="s">
        <v>637</v>
      </c>
      <c r="B214" s="214" t="s">
        <v>278</v>
      </c>
      <c r="C214" s="214" t="s">
        <v>1443</v>
      </c>
      <c r="D214" s="214" t="s">
        <v>911</v>
      </c>
      <c r="E214" s="214"/>
      <c r="F214" s="220">
        <v>194000</v>
      </c>
      <c r="G214" s="220">
        <v>194000</v>
      </c>
      <c r="H214" s="149" t="str">
        <f t="shared" si="3"/>
        <v>07030520080520</v>
      </c>
    </row>
    <row r="215" spans="1:8" ht="25.5">
      <c r="A215" s="223" t="s">
        <v>484</v>
      </c>
      <c r="B215" s="214" t="s">
        <v>278</v>
      </c>
      <c r="C215" s="214" t="s">
        <v>1443</v>
      </c>
      <c r="D215" s="214" t="s">
        <v>911</v>
      </c>
      <c r="E215" s="214" t="s">
        <v>485</v>
      </c>
      <c r="F215" s="220">
        <v>194000</v>
      </c>
      <c r="G215" s="220">
        <v>194000</v>
      </c>
      <c r="H215" s="149" t="str">
        <f t="shared" si="3"/>
        <v>07030520080520612</v>
      </c>
    </row>
    <row r="216" spans="1:8" ht="127.5">
      <c r="A216" s="223" t="s">
        <v>638</v>
      </c>
      <c r="B216" s="214" t="s">
        <v>278</v>
      </c>
      <c r="C216" s="214" t="s">
        <v>1443</v>
      </c>
      <c r="D216" s="214" t="s">
        <v>912</v>
      </c>
      <c r="E216" s="214"/>
      <c r="F216" s="220">
        <v>31270416</v>
      </c>
      <c r="G216" s="220">
        <v>31270416</v>
      </c>
      <c r="H216" s="149" t="str">
        <f t="shared" si="3"/>
        <v>07030530040000</v>
      </c>
    </row>
    <row r="217" spans="1:8" ht="76.5">
      <c r="A217" s="229" t="s">
        <v>465</v>
      </c>
      <c r="B217" s="214" t="s">
        <v>278</v>
      </c>
      <c r="C217" s="214" t="s">
        <v>1443</v>
      </c>
      <c r="D217" s="214" t="s">
        <v>912</v>
      </c>
      <c r="E217" s="214" t="s">
        <v>466</v>
      </c>
      <c r="F217" s="220">
        <v>31270416</v>
      </c>
      <c r="G217" s="220">
        <v>31270416</v>
      </c>
      <c r="H217" s="149" t="str">
        <f t="shared" si="3"/>
        <v>07030530040000611</v>
      </c>
    </row>
    <row r="218" spans="1:8" ht="165.75">
      <c r="A218" s="223" t="s">
        <v>639</v>
      </c>
      <c r="B218" s="214" t="s">
        <v>278</v>
      </c>
      <c r="C218" s="214" t="s">
        <v>1443</v>
      </c>
      <c r="D218" s="214" t="s">
        <v>913</v>
      </c>
      <c r="E218" s="214"/>
      <c r="F218" s="220">
        <v>3357500</v>
      </c>
      <c r="G218" s="220">
        <v>3357500</v>
      </c>
      <c r="H218" s="149" t="str">
        <f t="shared" si="3"/>
        <v>07030530041000</v>
      </c>
    </row>
    <row r="219" spans="1:8" ht="76.5">
      <c r="A219" s="229" t="s">
        <v>465</v>
      </c>
      <c r="B219" s="214" t="s">
        <v>278</v>
      </c>
      <c r="C219" s="214" t="s">
        <v>1443</v>
      </c>
      <c r="D219" s="214" t="s">
        <v>913</v>
      </c>
      <c r="E219" s="214" t="s">
        <v>466</v>
      </c>
      <c r="F219" s="220">
        <v>3357500</v>
      </c>
      <c r="G219" s="220">
        <v>3357500</v>
      </c>
      <c r="H219" s="149" t="str">
        <f t="shared" si="3"/>
        <v>07030530041000611</v>
      </c>
    </row>
    <row r="220" spans="1:8" ht="140.25">
      <c r="A220" s="223" t="s">
        <v>731</v>
      </c>
      <c r="B220" s="214" t="s">
        <v>278</v>
      </c>
      <c r="C220" s="214" t="s">
        <v>1443</v>
      </c>
      <c r="D220" s="214" t="s">
        <v>914</v>
      </c>
      <c r="E220" s="214"/>
      <c r="F220" s="220">
        <v>174900</v>
      </c>
      <c r="G220" s="220">
        <v>174900</v>
      </c>
      <c r="H220" s="149" t="str">
        <f t="shared" si="3"/>
        <v>07030530045000</v>
      </c>
    </row>
    <row r="221" spans="1:8" ht="76.5">
      <c r="A221" s="223" t="s">
        <v>465</v>
      </c>
      <c r="B221" s="214" t="s">
        <v>278</v>
      </c>
      <c r="C221" s="214" t="s">
        <v>1443</v>
      </c>
      <c r="D221" s="214" t="s">
        <v>914</v>
      </c>
      <c r="E221" s="214" t="s">
        <v>466</v>
      </c>
      <c r="F221" s="220">
        <v>174900</v>
      </c>
      <c r="G221" s="220">
        <v>174900</v>
      </c>
      <c r="H221" s="149" t="str">
        <f t="shared" si="3"/>
        <v>07030530045000611</v>
      </c>
    </row>
    <row r="222" spans="1:8" ht="127.5">
      <c r="A222" s="223" t="s">
        <v>640</v>
      </c>
      <c r="B222" s="214" t="s">
        <v>278</v>
      </c>
      <c r="C222" s="214" t="s">
        <v>1443</v>
      </c>
      <c r="D222" s="214" t="s">
        <v>915</v>
      </c>
      <c r="E222" s="214"/>
      <c r="F222" s="220">
        <v>429000</v>
      </c>
      <c r="G222" s="220">
        <v>429000</v>
      </c>
      <c r="H222" s="149" t="str">
        <f t="shared" si="3"/>
        <v>07030530047000</v>
      </c>
    </row>
    <row r="223" spans="1:8" ht="25.5">
      <c r="A223" s="223" t="s">
        <v>484</v>
      </c>
      <c r="B223" s="214" t="s">
        <v>278</v>
      </c>
      <c r="C223" s="214" t="s">
        <v>1443</v>
      </c>
      <c r="D223" s="214" t="s">
        <v>915</v>
      </c>
      <c r="E223" s="214" t="s">
        <v>485</v>
      </c>
      <c r="F223" s="220">
        <v>429000</v>
      </c>
      <c r="G223" s="220">
        <v>429000</v>
      </c>
      <c r="H223" s="149" t="str">
        <f t="shared" si="3"/>
        <v>07030530047000612</v>
      </c>
    </row>
    <row r="224" spans="1:8" ht="127.5">
      <c r="A224" s="223" t="s">
        <v>732</v>
      </c>
      <c r="B224" s="214" t="s">
        <v>278</v>
      </c>
      <c r="C224" s="214" t="s">
        <v>1443</v>
      </c>
      <c r="D224" s="214" t="s">
        <v>916</v>
      </c>
      <c r="E224" s="214"/>
      <c r="F224" s="220">
        <v>2203647</v>
      </c>
      <c r="G224" s="220">
        <v>2203647</v>
      </c>
      <c r="H224" s="149" t="str">
        <f t="shared" si="3"/>
        <v>0703053004Г000</v>
      </c>
    </row>
    <row r="225" spans="1:8" ht="76.5">
      <c r="A225" s="223" t="s">
        <v>465</v>
      </c>
      <c r="B225" s="214" t="s">
        <v>278</v>
      </c>
      <c r="C225" s="214" t="s">
        <v>1443</v>
      </c>
      <c r="D225" s="214" t="s">
        <v>916</v>
      </c>
      <c r="E225" s="214" t="s">
        <v>466</v>
      </c>
      <c r="F225" s="220">
        <v>2203647</v>
      </c>
      <c r="G225" s="220">
        <v>2203647</v>
      </c>
      <c r="H225" s="149" t="str">
        <f t="shared" si="3"/>
        <v>0703053004Г000611</v>
      </c>
    </row>
    <row r="226" spans="1:8" ht="114.75">
      <c r="A226" s="223" t="s">
        <v>1173</v>
      </c>
      <c r="B226" s="214" t="s">
        <v>278</v>
      </c>
      <c r="C226" s="214" t="s">
        <v>1443</v>
      </c>
      <c r="D226" s="214" t="s">
        <v>1174</v>
      </c>
      <c r="E226" s="214"/>
      <c r="F226" s="220">
        <v>274880</v>
      </c>
      <c r="G226" s="220">
        <v>274880</v>
      </c>
      <c r="H226" s="149" t="str">
        <f t="shared" si="3"/>
        <v>0703053004Э000</v>
      </c>
    </row>
    <row r="227" spans="1:8" ht="76.5">
      <c r="A227" s="223" t="s">
        <v>465</v>
      </c>
      <c r="B227" s="214" t="s">
        <v>278</v>
      </c>
      <c r="C227" s="214" t="s">
        <v>1443</v>
      </c>
      <c r="D227" s="214" t="s">
        <v>1174</v>
      </c>
      <c r="E227" s="214" t="s">
        <v>466</v>
      </c>
      <c r="F227" s="220">
        <v>274880</v>
      </c>
      <c r="G227" s="220">
        <v>274880</v>
      </c>
      <c r="H227" s="149" t="str">
        <f t="shared" si="3"/>
        <v>0703053004Э000611</v>
      </c>
    </row>
    <row r="228" spans="1:8">
      <c r="A228" s="229" t="s">
        <v>298</v>
      </c>
      <c r="B228" s="214" t="s">
        <v>278</v>
      </c>
      <c r="C228" s="214" t="s">
        <v>1618</v>
      </c>
      <c r="D228" s="214"/>
      <c r="E228" s="214"/>
      <c r="F228" s="220">
        <v>137387247</v>
      </c>
      <c r="G228" s="220">
        <v>137387247</v>
      </c>
      <c r="H228" s="149" t="str">
        <f t="shared" si="3"/>
        <v>0800</v>
      </c>
    </row>
    <row r="229" spans="1:8">
      <c r="A229" s="223" t="s">
        <v>254</v>
      </c>
      <c r="B229" s="214" t="s">
        <v>278</v>
      </c>
      <c r="C229" s="214" t="s">
        <v>510</v>
      </c>
      <c r="D229" s="214"/>
      <c r="E229" s="214"/>
      <c r="F229" s="220">
        <v>122596457</v>
      </c>
      <c r="G229" s="220">
        <v>122596457</v>
      </c>
      <c r="H229" s="149" t="str">
        <f t="shared" si="3"/>
        <v>0801</v>
      </c>
    </row>
    <row r="230" spans="1:8" ht="114.75">
      <c r="A230" s="229" t="s">
        <v>517</v>
      </c>
      <c r="B230" s="214" t="s">
        <v>278</v>
      </c>
      <c r="C230" s="214" t="s">
        <v>510</v>
      </c>
      <c r="D230" s="214" t="s">
        <v>917</v>
      </c>
      <c r="E230" s="214"/>
      <c r="F230" s="220">
        <v>26860416</v>
      </c>
      <c r="G230" s="220">
        <v>26860416</v>
      </c>
      <c r="H230" s="149" t="str">
        <f t="shared" si="3"/>
        <v>08010510040000</v>
      </c>
    </row>
    <row r="231" spans="1:8" ht="76.5">
      <c r="A231" s="223" t="s">
        <v>465</v>
      </c>
      <c r="B231" s="214" t="s">
        <v>278</v>
      </c>
      <c r="C231" s="214" t="s">
        <v>510</v>
      </c>
      <c r="D231" s="214" t="s">
        <v>917</v>
      </c>
      <c r="E231" s="214" t="s">
        <v>466</v>
      </c>
      <c r="F231" s="220">
        <v>26860416</v>
      </c>
      <c r="G231" s="220">
        <v>26860416</v>
      </c>
      <c r="H231" s="149" t="str">
        <f t="shared" si="3"/>
        <v>08010510040000611</v>
      </c>
    </row>
    <row r="232" spans="1:8" ht="153">
      <c r="A232" s="229" t="s">
        <v>518</v>
      </c>
      <c r="B232" s="214" t="s">
        <v>278</v>
      </c>
      <c r="C232" s="214" t="s">
        <v>510</v>
      </c>
      <c r="D232" s="214" t="s">
        <v>918</v>
      </c>
      <c r="E232" s="214"/>
      <c r="F232" s="220">
        <v>3285000</v>
      </c>
      <c r="G232" s="220">
        <v>3285000</v>
      </c>
      <c r="H232" s="149" t="str">
        <f t="shared" si="3"/>
        <v>08010510041000</v>
      </c>
    </row>
    <row r="233" spans="1:8" ht="76.5">
      <c r="A233" s="223" t="s">
        <v>465</v>
      </c>
      <c r="B233" s="214" t="s">
        <v>278</v>
      </c>
      <c r="C233" s="214" t="s">
        <v>510</v>
      </c>
      <c r="D233" s="214" t="s">
        <v>918</v>
      </c>
      <c r="E233" s="214" t="s">
        <v>466</v>
      </c>
      <c r="F233" s="220">
        <v>3285000</v>
      </c>
      <c r="G233" s="220">
        <v>3285000</v>
      </c>
      <c r="H233" s="149" t="str">
        <f t="shared" si="3"/>
        <v>08010510041000611</v>
      </c>
    </row>
    <row r="234" spans="1:8" ht="127.5">
      <c r="A234" s="223" t="s">
        <v>1303</v>
      </c>
      <c r="B234" s="214" t="s">
        <v>278</v>
      </c>
      <c r="C234" s="214" t="s">
        <v>510</v>
      </c>
      <c r="D234" s="214" t="s">
        <v>1304</v>
      </c>
      <c r="E234" s="214"/>
      <c r="F234" s="220">
        <v>12000</v>
      </c>
      <c r="G234" s="220">
        <v>12000</v>
      </c>
      <c r="H234" s="149" t="str">
        <f t="shared" si="3"/>
        <v>08010510045000</v>
      </c>
    </row>
    <row r="235" spans="1:8" ht="76.5">
      <c r="A235" s="223" t="s">
        <v>465</v>
      </c>
      <c r="B235" s="214" t="s">
        <v>278</v>
      </c>
      <c r="C235" s="214" t="s">
        <v>510</v>
      </c>
      <c r="D235" s="214" t="s">
        <v>1304</v>
      </c>
      <c r="E235" s="214" t="s">
        <v>466</v>
      </c>
      <c r="F235" s="220">
        <v>12000</v>
      </c>
      <c r="G235" s="220">
        <v>12000</v>
      </c>
      <c r="H235" s="149" t="str">
        <f t="shared" si="3"/>
        <v>08010510045000611</v>
      </c>
    </row>
    <row r="236" spans="1:8" ht="114.75">
      <c r="A236" s="229" t="s">
        <v>642</v>
      </c>
      <c r="B236" s="214" t="s">
        <v>278</v>
      </c>
      <c r="C236" s="214" t="s">
        <v>510</v>
      </c>
      <c r="D236" s="214" t="s">
        <v>919</v>
      </c>
      <c r="E236" s="214"/>
      <c r="F236" s="220">
        <v>308000</v>
      </c>
      <c r="G236" s="220">
        <v>308000</v>
      </c>
      <c r="H236" s="149" t="str">
        <f t="shared" si="3"/>
        <v>08010510047000</v>
      </c>
    </row>
    <row r="237" spans="1:8" ht="25.5">
      <c r="A237" s="223" t="s">
        <v>484</v>
      </c>
      <c r="B237" s="214" t="s">
        <v>278</v>
      </c>
      <c r="C237" s="214" t="s">
        <v>510</v>
      </c>
      <c r="D237" s="214" t="s">
        <v>919</v>
      </c>
      <c r="E237" s="214" t="s">
        <v>485</v>
      </c>
      <c r="F237" s="220">
        <v>308000</v>
      </c>
      <c r="G237" s="220">
        <v>308000</v>
      </c>
      <c r="H237" s="149" t="str">
        <f t="shared" si="3"/>
        <v>08010510047000612</v>
      </c>
    </row>
    <row r="238" spans="1:8" ht="114.75">
      <c r="A238" s="223" t="s">
        <v>733</v>
      </c>
      <c r="B238" s="214" t="s">
        <v>278</v>
      </c>
      <c r="C238" s="214" t="s">
        <v>510</v>
      </c>
      <c r="D238" s="214" t="s">
        <v>920</v>
      </c>
      <c r="E238" s="214"/>
      <c r="F238" s="220">
        <v>1824910</v>
      </c>
      <c r="G238" s="220">
        <v>1824910</v>
      </c>
      <c r="H238" s="149" t="str">
        <f t="shared" si="3"/>
        <v>0801051004Г000</v>
      </c>
    </row>
    <row r="239" spans="1:8" ht="76.5">
      <c r="A239" s="223" t="s">
        <v>465</v>
      </c>
      <c r="B239" s="214" t="s">
        <v>278</v>
      </c>
      <c r="C239" s="214" t="s">
        <v>510</v>
      </c>
      <c r="D239" s="214" t="s">
        <v>920</v>
      </c>
      <c r="E239" s="214" t="s">
        <v>466</v>
      </c>
      <c r="F239" s="220">
        <v>1824910</v>
      </c>
      <c r="G239" s="220">
        <v>1824910</v>
      </c>
      <c r="H239" s="149" t="str">
        <f t="shared" si="3"/>
        <v>0801051004Г000611</v>
      </c>
    </row>
    <row r="240" spans="1:8" ht="102">
      <c r="A240" s="223" t="s">
        <v>1175</v>
      </c>
      <c r="B240" s="214" t="s">
        <v>278</v>
      </c>
      <c r="C240" s="214" t="s">
        <v>510</v>
      </c>
      <c r="D240" s="214" t="s">
        <v>1176</v>
      </c>
      <c r="E240" s="214"/>
      <c r="F240" s="220">
        <v>658000</v>
      </c>
      <c r="G240" s="220">
        <v>658000</v>
      </c>
      <c r="H240" s="149" t="str">
        <f t="shared" si="3"/>
        <v>0801051004Э000</v>
      </c>
    </row>
    <row r="241" spans="1:8" ht="76.5">
      <c r="A241" s="223" t="s">
        <v>465</v>
      </c>
      <c r="B241" s="214" t="s">
        <v>278</v>
      </c>
      <c r="C241" s="214" t="s">
        <v>510</v>
      </c>
      <c r="D241" s="214" t="s">
        <v>1176</v>
      </c>
      <c r="E241" s="214" t="s">
        <v>466</v>
      </c>
      <c r="F241" s="220">
        <v>658000</v>
      </c>
      <c r="G241" s="220">
        <v>658000</v>
      </c>
      <c r="H241" s="149" t="str">
        <f t="shared" si="3"/>
        <v>0801051004Э000611</v>
      </c>
    </row>
    <row r="242" spans="1:8" ht="63.75">
      <c r="A242" s="223" t="s">
        <v>520</v>
      </c>
      <c r="B242" s="214" t="s">
        <v>278</v>
      </c>
      <c r="C242" s="214" t="s">
        <v>510</v>
      </c>
      <c r="D242" s="214" t="s">
        <v>926</v>
      </c>
      <c r="E242" s="214"/>
      <c r="F242" s="220">
        <v>262000</v>
      </c>
      <c r="G242" s="220">
        <v>262000</v>
      </c>
      <c r="H242" s="149" t="str">
        <f t="shared" si="3"/>
        <v>08010510080520</v>
      </c>
    </row>
    <row r="243" spans="1:8" ht="25.5">
      <c r="A243" s="223" t="s">
        <v>484</v>
      </c>
      <c r="B243" s="214" t="s">
        <v>278</v>
      </c>
      <c r="C243" s="214" t="s">
        <v>510</v>
      </c>
      <c r="D243" s="214" t="s">
        <v>926</v>
      </c>
      <c r="E243" s="214" t="s">
        <v>485</v>
      </c>
      <c r="F243" s="220">
        <v>262000</v>
      </c>
      <c r="G243" s="220">
        <v>262000</v>
      </c>
      <c r="H243" s="149" t="str">
        <f t="shared" si="3"/>
        <v>08010510080520612</v>
      </c>
    </row>
    <row r="244" spans="1:8" ht="63.75">
      <c r="A244" s="223" t="s">
        <v>519</v>
      </c>
      <c r="B244" s="214" t="s">
        <v>278</v>
      </c>
      <c r="C244" s="214" t="s">
        <v>510</v>
      </c>
      <c r="D244" s="214" t="s">
        <v>922</v>
      </c>
      <c r="E244" s="214"/>
      <c r="F244" s="220">
        <v>1642519</v>
      </c>
      <c r="G244" s="220">
        <v>1642519</v>
      </c>
      <c r="H244" s="149" t="str">
        <f t="shared" ref="H244:H307" si="4">CONCATENATE(C244,,D244,E244)</f>
        <v>080105100Ч0040</v>
      </c>
    </row>
    <row r="245" spans="1:8" ht="76.5">
      <c r="A245" s="223" t="s">
        <v>465</v>
      </c>
      <c r="B245" s="214" t="s">
        <v>278</v>
      </c>
      <c r="C245" s="214" t="s">
        <v>510</v>
      </c>
      <c r="D245" s="214" t="s">
        <v>922</v>
      </c>
      <c r="E245" s="214" t="s">
        <v>466</v>
      </c>
      <c r="F245" s="220">
        <v>1612519</v>
      </c>
      <c r="G245" s="220">
        <v>1612519</v>
      </c>
      <c r="H245" s="149" t="str">
        <f t="shared" si="4"/>
        <v>080105100Ч0040611</v>
      </c>
    </row>
    <row r="246" spans="1:8" ht="25.5">
      <c r="A246" s="223" t="s">
        <v>484</v>
      </c>
      <c r="B246" s="214" t="s">
        <v>278</v>
      </c>
      <c r="C246" s="214" t="s">
        <v>510</v>
      </c>
      <c r="D246" s="214" t="s">
        <v>922</v>
      </c>
      <c r="E246" s="214" t="s">
        <v>485</v>
      </c>
      <c r="F246" s="220">
        <v>30000</v>
      </c>
      <c r="G246" s="220">
        <v>30000</v>
      </c>
      <c r="H246" s="149" t="str">
        <f t="shared" si="4"/>
        <v>080105100Ч0040612</v>
      </c>
    </row>
    <row r="247" spans="1:8" ht="140.25">
      <c r="A247" s="223" t="s">
        <v>798</v>
      </c>
      <c r="B247" s="214" t="s">
        <v>278</v>
      </c>
      <c r="C247" s="214" t="s">
        <v>510</v>
      </c>
      <c r="D247" s="214" t="s">
        <v>923</v>
      </c>
      <c r="E247" s="214"/>
      <c r="F247" s="220">
        <v>59843</v>
      </c>
      <c r="G247" s="220">
        <v>59843</v>
      </c>
      <c r="H247" s="149" t="str">
        <f t="shared" si="4"/>
        <v>080105100Ч1040</v>
      </c>
    </row>
    <row r="248" spans="1:8" ht="76.5">
      <c r="A248" s="223" t="s">
        <v>465</v>
      </c>
      <c r="B248" s="214" t="s">
        <v>278</v>
      </c>
      <c r="C248" s="214" t="s">
        <v>510</v>
      </c>
      <c r="D248" s="214" t="s">
        <v>923</v>
      </c>
      <c r="E248" s="214" t="s">
        <v>466</v>
      </c>
      <c r="F248" s="220">
        <v>59843</v>
      </c>
      <c r="G248" s="220">
        <v>59843</v>
      </c>
      <c r="H248" s="149" t="str">
        <f t="shared" si="4"/>
        <v>080105100Ч1040611</v>
      </c>
    </row>
    <row r="249" spans="1:8" ht="114.75">
      <c r="A249" s="223" t="s">
        <v>644</v>
      </c>
      <c r="B249" s="214" t="s">
        <v>278</v>
      </c>
      <c r="C249" s="214" t="s">
        <v>510</v>
      </c>
      <c r="D249" s="214" t="s">
        <v>924</v>
      </c>
      <c r="E249" s="214"/>
      <c r="F249" s="220">
        <v>100000</v>
      </c>
      <c r="G249" s="220">
        <v>100000</v>
      </c>
      <c r="H249" s="149" t="str">
        <f t="shared" si="4"/>
        <v>080105100Ч7040</v>
      </c>
    </row>
    <row r="250" spans="1:8" ht="25.5">
      <c r="A250" s="223" t="s">
        <v>484</v>
      </c>
      <c r="B250" s="214" t="s">
        <v>278</v>
      </c>
      <c r="C250" s="214" t="s">
        <v>510</v>
      </c>
      <c r="D250" s="214" t="s">
        <v>924</v>
      </c>
      <c r="E250" s="214" t="s">
        <v>485</v>
      </c>
      <c r="F250" s="220">
        <v>100000</v>
      </c>
      <c r="G250" s="220">
        <v>100000</v>
      </c>
      <c r="H250" s="149" t="str">
        <f t="shared" si="4"/>
        <v>080105100Ч7040612</v>
      </c>
    </row>
    <row r="251" spans="1:8" ht="102">
      <c r="A251" s="223" t="s">
        <v>734</v>
      </c>
      <c r="B251" s="214" t="s">
        <v>278</v>
      </c>
      <c r="C251" s="214" t="s">
        <v>510</v>
      </c>
      <c r="D251" s="214" t="s">
        <v>925</v>
      </c>
      <c r="E251" s="214"/>
      <c r="F251" s="220">
        <v>56634</v>
      </c>
      <c r="G251" s="220">
        <v>56634</v>
      </c>
      <c r="H251" s="149" t="str">
        <f t="shared" si="4"/>
        <v>080105100ЧГ040</v>
      </c>
    </row>
    <row r="252" spans="1:8" ht="76.5">
      <c r="A252" s="223" t="s">
        <v>465</v>
      </c>
      <c r="B252" s="214" t="s">
        <v>278</v>
      </c>
      <c r="C252" s="214" t="s">
        <v>510</v>
      </c>
      <c r="D252" s="214" t="s">
        <v>925</v>
      </c>
      <c r="E252" s="214" t="s">
        <v>466</v>
      </c>
      <c r="F252" s="220">
        <v>56634</v>
      </c>
      <c r="G252" s="220">
        <v>56634</v>
      </c>
      <c r="H252" s="149" t="str">
        <f t="shared" si="4"/>
        <v>080105100ЧГ040611</v>
      </c>
    </row>
    <row r="253" spans="1:8" ht="102">
      <c r="A253" s="223" t="s">
        <v>1177</v>
      </c>
      <c r="B253" s="214" t="s">
        <v>278</v>
      </c>
      <c r="C253" s="214" t="s">
        <v>510</v>
      </c>
      <c r="D253" s="214" t="s">
        <v>1178</v>
      </c>
      <c r="E253" s="214"/>
      <c r="F253" s="220">
        <v>137214</v>
      </c>
      <c r="G253" s="220">
        <v>137214</v>
      </c>
      <c r="H253" s="149" t="str">
        <f t="shared" si="4"/>
        <v>080105100ЧЭ040</v>
      </c>
    </row>
    <row r="254" spans="1:8" ht="76.5">
      <c r="A254" s="223" t="s">
        <v>465</v>
      </c>
      <c r="B254" s="214" t="s">
        <v>278</v>
      </c>
      <c r="C254" s="214" t="s">
        <v>510</v>
      </c>
      <c r="D254" s="214" t="s">
        <v>1178</v>
      </c>
      <c r="E254" s="214" t="s">
        <v>466</v>
      </c>
      <c r="F254" s="220">
        <v>137214</v>
      </c>
      <c r="G254" s="220">
        <v>137214</v>
      </c>
      <c r="H254" s="149" t="str">
        <f t="shared" si="4"/>
        <v>080105100ЧЭ040611</v>
      </c>
    </row>
    <row r="255" spans="1:8" ht="114.75">
      <c r="A255" s="223" t="s">
        <v>645</v>
      </c>
      <c r="B255" s="214" t="s">
        <v>278</v>
      </c>
      <c r="C255" s="214" t="s">
        <v>510</v>
      </c>
      <c r="D255" s="214" t="s">
        <v>929</v>
      </c>
      <c r="E255" s="214"/>
      <c r="F255" s="220">
        <v>37194771</v>
      </c>
      <c r="G255" s="220">
        <v>37194771</v>
      </c>
      <c r="H255" s="149"/>
    </row>
    <row r="256" spans="1:8" ht="76.5">
      <c r="A256" s="223" t="s">
        <v>465</v>
      </c>
      <c r="B256" s="214" t="s">
        <v>278</v>
      </c>
      <c r="C256" s="214" t="s">
        <v>510</v>
      </c>
      <c r="D256" s="214" t="s">
        <v>929</v>
      </c>
      <c r="E256" s="214" t="s">
        <v>466</v>
      </c>
      <c r="F256" s="220">
        <v>37194771</v>
      </c>
      <c r="G256" s="220">
        <v>37194771</v>
      </c>
      <c r="H256" s="149"/>
    </row>
    <row r="257" spans="1:8" ht="165.75">
      <c r="A257" s="223" t="s">
        <v>646</v>
      </c>
      <c r="B257" s="214" t="s">
        <v>278</v>
      </c>
      <c r="C257" s="214" t="s">
        <v>510</v>
      </c>
      <c r="D257" s="214" t="s">
        <v>930</v>
      </c>
      <c r="E257" s="214"/>
      <c r="F257" s="220">
        <v>7662102</v>
      </c>
      <c r="G257" s="220">
        <v>7662102</v>
      </c>
      <c r="H257" s="149" t="str">
        <f t="shared" si="4"/>
        <v>08010520041000</v>
      </c>
    </row>
    <row r="258" spans="1:8" ht="76.5">
      <c r="A258" s="223" t="s">
        <v>465</v>
      </c>
      <c r="B258" s="214" t="s">
        <v>278</v>
      </c>
      <c r="C258" s="214" t="s">
        <v>510</v>
      </c>
      <c r="D258" s="214" t="s">
        <v>930</v>
      </c>
      <c r="E258" s="214" t="s">
        <v>466</v>
      </c>
      <c r="F258" s="220">
        <v>7662102</v>
      </c>
      <c r="G258" s="220">
        <v>7662102</v>
      </c>
      <c r="H258" s="149" t="str">
        <f t="shared" si="4"/>
        <v>08010520041000611</v>
      </c>
    </row>
    <row r="259" spans="1:8" ht="127.5">
      <c r="A259" s="223" t="s">
        <v>647</v>
      </c>
      <c r="B259" s="214" t="s">
        <v>278</v>
      </c>
      <c r="C259" s="214" t="s">
        <v>510</v>
      </c>
      <c r="D259" s="214" t="s">
        <v>931</v>
      </c>
      <c r="E259" s="214"/>
      <c r="F259" s="220">
        <v>25900</v>
      </c>
      <c r="G259" s="220">
        <v>25900</v>
      </c>
      <c r="H259" s="149" t="str">
        <f t="shared" si="4"/>
        <v>08010520045000</v>
      </c>
    </row>
    <row r="260" spans="1:8" ht="76.5">
      <c r="A260" s="223" t="s">
        <v>465</v>
      </c>
      <c r="B260" s="214" t="s">
        <v>278</v>
      </c>
      <c r="C260" s="214" t="s">
        <v>510</v>
      </c>
      <c r="D260" s="214" t="s">
        <v>931</v>
      </c>
      <c r="E260" s="214" t="s">
        <v>466</v>
      </c>
      <c r="F260" s="220">
        <v>25900</v>
      </c>
      <c r="G260" s="220">
        <v>25900</v>
      </c>
      <c r="H260" s="149" t="str">
        <f t="shared" si="4"/>
        <v>08010520045000611</v>
      </c>
    </row>
    <row r="261" spans="1:8" ht="114.75">
      <c r="A261" s="223" t="s">
        <v>648</v>
      </c>
      <c r="B261" s="214" t="s">
        <v>278</v>
      </c>
      <c r="C261" s="214" t="s">
        <v>510</v>
      </c>
      <c r="D261" s="214" t="s">
        <v>932</v>
      </c>
      <c r="E261" s="214"/>
      <c r="F261" s="220">
        <v>660000</v>
      </c>
      <c r="G261" s="220">
        <v>660000</v>
      </c>
      <c r="H261" s="149" t="str">
        <f t="shared" si="4"/>
        <v>08010520047000</v>
      </c>
    </row>
    <row r="262" spans="1:8" ht="25.5">
      <c r="A262" s="223" t="s">
        <v>484</v>
      </c>
      <c r="B262" s="214" t="s">
        <v>278</v>
      </c>
      <c r="C262" s="214" t="s">
        <v>510</v>
      </c>
      <c r="D262" s="214" t="s">
        <v>932</v>
      </c>
      <c r="E262" s="214" t="s">
        <v>485</v>
      </c>
      <c r="F262" s="220">
        <v>660000</v>
      </c>
      <c r="G262" s="220">
        <v>660000</v>
      </c>
      <c r="H262" s="149" t="str">
        <f t="shared" si="4"/>
        <v>08010520047000612</v>
      </c>
    </row>
    <row r="263" spans="1:8" ht="114.75">
      <c r="A263" s="223" t="s">
        <v>735</v>
      </c>
      <c r="B263" s="214" t="s">
        <v>278</v>
      </c>
      <c r="C263" s="214" t="s">
        <v>510</v>
      </c>
      <c r="D263" s="214" t="s">
        <v>933</v>
      </c>
      <c r="E263" s="214"/>
      <c r="F263" s="220">
        <v>14015391</v>
      </c>
      <c r="G263" s="220">
        <v>14015391</v>
      </c>
      <c r="H263" s="149" t="str">
        <f t="shared" si="4"/>
        <v>0801052004Г000</v>
      </c>
    </row>
    <row r="264" spans="1:8" ht="76.5">
      <c r="A264" s="229" t="s">
        <v>465</v>
      </c>
      <c r="B264" s="214" t="s">
        <v>278</v>
      </c>
      <c r="C264" s="214" t="s">
        <v>510</v>
      </c>
      <c r="D264" s="214" t="s">
        <v>933</v>
      </c>
      <c r="E264" s="214" t="s">
        <v>466</v>
      </c>
      <c r="F264" s="220">
        <v>14015391</v>
      </c>
      <c r="G264" s="220">
        <v>14015391</v>
      </c>
      <c r="H264" s="149" t="str">
        <f t="shared" si="4"/>
        <v>0801052004Г000611</v>
      </c>
    </row>
    <row r="265" spans="1:8" ht="102">
      <c r="A265" s="223" t="s">
        <v>1179</v>
      </c>
      <c r="B265" s="214" t="s">
        <v>278</v>
      </c>
      <c r="C265" s="214" t="s">
        <v>510</v>
      </c>
      <c r="D265" s="214" t="s">
        <v>1180</v>
      </c>
      <c r="E265" s="214"/>
      <c r="F265" s="220">
        <v>1562226</v>
      </c>
      <c r="G265" s="220">
        <v>1562226</v>
      </c>
      <c r="H265" s="149" t="str">
        <f t="shared" si="4"/>
        <v>0801052004Э000</v>
      </c>
    </row>
    <row r="266" spans="1:8" ht="76.5">
      <c r="A266" s="223" t="s">
        <v>465</v>
      </c>
      <c r="B266" s="214" t="s">
        <v>278</v>
      </c>
      <c r="C266" s="214" t="s">
        <v>510</v>
      </c>
      <c r="D266" s="214" t="s">
        <v>1180</v>
      </c>
      <c r="E266" s="214" t="s">
        <v>466</v>
      </c>
      <c r="F266" s="220">
        <v>1562226</v>
      </c>
      <c r="G266" s="220">
        <v>1562226</v>
      </c>
      <c r="H266" s="149" t="str">
        <f t="shared" si="4"/>
        <v>0801052004Э000611</v>
      </c>
    </row>
    <row r="267" spans="1:8" ht="63.75">
      <c r="A267" s="223" t="s">
        <v>637</v>
      </c>
      <c r="B267" s="214" t="s">
        <v>278</v>
      </c>
      <c r="C267" s="214" t="s">
        <v>510</v>
      </c>
      <c r="D267" s="214" t="s">
        <v>911</v>
      </c>
      <c r="E267" s="214"/>
      <c r="F267" s="220">
        <v>2397000</v>
      </c>
      <c r="G267" s="220">
        <v>2397000</v>
      </c>
      <c r="H267" s="149" t="str">
        <f t="shared" si="4"/>
        <v>08010520080520</v>
      </c>
    </row>
    <row r="268" spans="1:8" ht="25.5">
      <c r="A268" s="223" t="s">
        <v>484</v>
      </c>
      <c r="B268" s="214" t="s">
        <v>278</v>
      </c>
      <c r="C268" s="214" t="s">
        <v>510</v>
      </c>
      <c r="D268" s="214" t="s">
        <v>911</v>
      </c>
      <c r="E268" s="214" t="s">
        <v>485</v>
      </c>
      <c r="F268" s="220">
        <v>2397000</v>
      </c>
      <c r="G268" s="220">
        <v>2397000</v>
      </c>
      <c r="H268" s="149" t="str">
        <f t="shared" si="4"/>
        <v>08010520080520612</v>
      </c>
    </row>
    <row r="269" spans="1:8" ht="89.25">
      <c r="A269" s="223" t="s">
        <v>649</v>
      </c>
      <c r="B269" s="214" t="s">
        <v>278</v>
      </c>
      <c r="C269" s="214" t="s">
        <v>510</v>
      </c>
      <c r="D269" s="214" t="s">
        <v>934</v>
      </c>
      <c r="E269" s="214"/>
      <c r="F269" s="220">
        <v>15120990</v>
      </c>
      <c r="G269" s="220">
        <v>15120990</v>
      </c>
      <c r="H269" s="149" t="str">
        <f t="shared" si="4"/>
        <v>080105200Ч0030</v>
      </c>
    </row>
    <row r="270" spans="1:8" ht="76.5">
      <c r="A270" s="223" t="s">
        <v>465</v>
      </c>
      <c r="B270" s="214" t="s">
        <v>278</v>
      </c>
      <c r="C270" s="214" t="s">
        <v>510</v>
      </c>
      <c r="D270" s="214" t="s">
        <v>934</v>
      </c>
      <c r="E270" s="214" t="s">
        <v>466</v>
      </c>
      <c r="F270" s="220">
        <v>15120990</v>
      </c>
      <c r="G270" s="220">
        <v>15120990</v>
      </c>
      <c r="H270" s="149" t="str">
        <f t="shared" si="4"/>
        <v>080105200Ч0030611</v>
      </c>
    </row>
    <row r="271" spans="1:8" ht="165.75">
      <c r="A271" s="223" t="s">
        <v>650</v>
      </c>
      <c r="B271" s="214" t="s">
        <v>278</v>
      </c>
      <c r="C271" s="214" t="s">
        <v>510</v>
      </c>
      <c r="D271" s="214" t="s">
        <v>935</v>
      </c>
      <c r="E271" s="214"/>
      <c r="F271" s="220">
        <v>3262655</v>
      </c>
      <c r="G271" s="220">
        <v>3262655</v>
      </c>
      <c r="H271" s="149" t="str">
        <f t="shared" si="4"/>
        <v>080105200Ч1030</v>
      </c>
    </row>
    <row r="272" spans="1:8" ht="76.5">
      <c r="A272" s="223" t="s">
        <v>465</v>
      </c>
      <c r="B272" s="214" t="s">
        <v>278</v>
      </c>
      <c r="C272" s="214" t="s">
        <v>510</v>
      </c>
      <c r="D272" s="214" t="s">
        <v>935</v>
      </c>
      <c r="E272" s="214" t="s">
        <v>466</v>
      </c>
      <c r="F272" s="220">
        <v>3262655</v>
      </c>
      <c r="G272" s="220">
        <v>3262655</v>
      </c>
      <c r="H272" s="149" t="str">
        <f t="shared" si="4"/>
        <v>080105200Ч1030611</v>
      </c>
    </row>
    <row r="273" spans="1:8" ht="127.5">
      <c r="A273" s="229" t="s">
        <v>652</v>
      </c>
      <c r="B273" s="214" t="s">
        <v>278</v>
      </c>
      <c r="C273" s="214" t="s">
        <v>510</v>
      </c>
      <c r="D273" s="214" t="s">
        <v>937</v>
      </c>
      <c r="E273" s="214"/>
      <c r="F273" s="220">
        <v>681270</v>
      </c>
      <c r="G273" s="220">
        <v>681270</v>
      </c>
      <c r="H273" s="149" t="str">
        <f t="shared" si="4"/>
        <v>080105200Ч7030</v>
      </c>
    </row>
    <row r="274" spans="1:8" ht="25.5">
      <c r="A274" s="223" t="s">
        <v>484</v>
      </c>
      <c r="B274" s="214" t="s">
        <v>278</v>
      </c>
      <c r="C274" s="214" t="s">
        <v>510</v>
      </c>
      <c r="D274" s="214" t="s">
        <v>937</v>
      </c>
      <c r="E274" s="214" t="s">
        <v>485</v>
      </c>
      <c r="F274" s="220">
        <v>681270</v>
      </c>
      <c r="G274" s="220">
        <v>681270</v>
      </c>
      <c r="H274" s="149" t="str">
        <f t="shared" si="4"/>
        <v>080105200Ч7030612</v>
      </c>
    </row>
    <row r="275" spans="1:8" ht="102">
      <c r="A275" s="223" t="s">
        <v>736</v>
      </c>
      <c r="B275" s="214" t="s">
        <v>278</v>
      </c>
      <c r="C275" s="214" t="s">
        <v>510</v>
      </c>
      <c r="D275" s="214" t="s">
        <v>938</v>
      </c>
      <c r="E275" s="214"/>
      <c r="F275" s="220">
        <v>4220842</v>
      </c>
      <c r="G275" s="220">
        <v>4220842</v>
      </c>
      <c r="H275" s="149" t="str">
        <f t="shared" si="4"/>
        <v>080105200ЧГ030</v>
      </c>
    </row>
    <row r="276" spans="1:8" ht="76.5">
      <c r="A276" s="223" t="s">
        <v>465</v>
      </c>
      <c r="B276" s="214" t="s">
        <v>278</v>
      </c>
      <c r="C276" s="214" t="s">
        <v>510</v>
      </c>
      <c r="D276" s="214" t="s">
        <v>938</v>
      </c>
      <c r="E276" s="214" t="s">
        <v>466</v>
      </c>
      <c r="F276" s="220">
        <v>4220842</v>
      </c>
      <c r="G276" s="220">
        <v>4220842</v>
      </c>
      <c r="H276" s="149" t="str">
        <f t="shared" si="4"/>
        <v>080105200ЧГ030611</v>
      </c>
    </row>
    <row r="277" spans="1:8" ht="102">
      <c r="A277" s="229" t="s">
        <v>1181</v>
      </c>
      <c r="B277" s="214" t="s">
        <v>278</v>
      </c>
      <c r="C277" s="214" t="s">
        <v>510</v>
      </c>
      <c r="D277" s="214" t="s">
        <v>1182</v>
      </c>
      <c r="E277" s="214"/>
      <c r="F277" s="220">
        <v>586774</v>
      </c>
      <c r="G277" s="220">
        <v>586774</v>
      </c>
      <c r="H277" s="149" t="str">
        <f t="shared" si="4"/>
        <v>080105200ЧЭ030</v>
      </c>
    </row>
    <row r="278" spans="1:8" ht="76.5">
      <c r="A278" s="223" t="s">
        <v>465</v>
      </c>
      <c r="B278" s="214" t="s">
        <v>278</v>
      </c>
      <c r="C278" s="214" t="s">
        <v>510</v>
      </c>
      <c r="D278" s="214" t="s">
        <v>1182</v>
      </c>
      <c r="E278" s="214" t="s">
        <v>466</v>
      </c>
      <c r="F278" s="220">
        <v>586774</v>
      </c>
      <c r="G278" s="220">
        <v>586774</v>
      </c>
      <c r="H278" s="149" t="str">
        <f t="shared" si="4"/>
        <v>080105200ЧЭ030611</v>
      </c>
    </row>
    <row r="279" spans="1:8" ht="25.5">
      <c r="A279" s="223" t="s">
        <v>0</v>
      </c>
      <c r="B279" s="214" t="s">
        <v>278</v>
      </c>
      <c r="C279" s="214" t="s">
        <v>522</v>
      </c>
      <c r="D279" s="214"/>
      <c r="E279" s="214"/>
      <c r="F279" s="220">
        <v>14790790</v>
      </c>
      <c r="G279" s="220">
        <v>14790790</v>
      </c>
      <c r="H279" s="149" t="str">
        <f t="shared" si="4"/>
        <v>0804</v>
      </c>
    </row>
    <row r="280" spans="1:8" ht="127.5">
      <c r="A280" s="223" t="s">
        <v>638</v>
      </c>
      <c r="B280" s="214" t="s">
        <v>278</v>
      </c>
      <c r="C280" s="214" t="s">
        <v>522</v>
      </c>
      <c r="D280" s="214" t="s">
        <v>912</v>
      </c>
      <c r="E280" s="214"/>
      <c r="F280" s="220">
        <v>13491533</v>
      </c>
      <c r="G280" s="220">
        <v>13491533</v>
      </c>
      <c r="H280" s="149" t="str">
        <f t="shared" si="4"/>
        <v>08040530040000</v>
      </c>
    </row>
    <row r="281" spans="1:8">
      <c r="A281" s="223" t="s">
        <v>1603</v>
      </c>
      <c r="B281" s="214" t="s">
        <v>278</v>
      </c>
      <c r="C281" s="214" t="s">
        <v>522</v>
      </c>
      <c r="D281" s="214" t="s">
        <v>912</v>
      </c>
      <c r="E281" s="214" t="s">
        <v>460</v>
      </c>
      <c r="F281" s="220">
        <v>9130402</v>
      </c>
      <c r="G281" s="220">
        <v>9130402</v>
      </c>
      <c r="H281" s="149" t="str">
        <f t="shared" si="4"/>
        <v>08040530040000111</v>
      </c>
    </row>
    <row r="282" spans="1:8" ht="25.5">
      <c r="A282" s="223" t="s">
        <v>1617</v>
      </c>
      <c r="B282" s="214" t="s">
        <v>278</v>
      </c>
      <c r="C282" s="214" t="s">
        <v>522</v>
      </c>
      <c r="D282" s="214" t="s">
        <v>912</v>
      </c>
      <c r="E282" s="214" t="s">
        <v>509</v>
      </c>
      <c r="F282" s="220">
        <v>47100</v>
      </c>
      <c r="G282" s="220">
        <v>47100</v>
      </c>
      <c r="H282" s="149" t="str">
        <f t="shared" si="4"/>
        <v>08040530040000112</v>
      </c>
    </row>
    <row r="283" spans="1:8" ht="51">
      <c r="A283" s="223" t="s">
        <v>1604</v>
      </c>
      <c r="B283" s="214" t="s">
        <v>278</v>
      </c>
      <c r="C283" s="214" t="s">
        <v>522</v>
      </c>
      <c r="D283" s="214" t="s">
        <v>912</v>
      </c>
      <c r="E283" s="214" t="s">
        <v>1290</v>
      </c>
      <c r="F283" s="220">
        <v>2757381</v>
      </c>
      <c r="G283" s="220">
        <v>2757381</v>
      </c>
      <c r="H283" s="149" t="str">
        <f t="shared" si="4"/>
        <v>08040530040000119</v>
      </c>
    </row>
    <row r="284" spans="1:8" ht="38.25">
      <c r="A284" s="229" t="s">
        <v>445</v>
      </c>
      <c r="B284" s="214" t="s">
        <v>278</v>
      </c>
      <c r="C284" s="214" t="s">
        <v>522</v>
      </c>
      <c r="D284" s="214" t="s">
        <v>912</v>
      </c>
      <c r="E284" s="214" t="s">
        <v>446</v>
      </c>
      <c r="F284" s="220">
        <v>1556650</v>
      </c>
      <c r="G284" s="220">
        <v>1556650</v>
      </c>
      <c r="H284" s="149" t="str">
        <f t="shared" si="4"/>
        <v>08040530040000244</v>
      </c>
    </row>
    <row r="285" spans="1:8" ht="165.75">
      <c r="A285" s="223" t="s">
        <v>639</v>
      </c>
      <c r="B285" s="214" t="s">
        <v>278</v>
      </c>
      <c r="C285" s="214" t="s">
        <v>522</v>
      </c>
      <c r="D285" s="214" t="s">
        <v>913</v>
      </c>
      <c r="E285" s="214"/>
      <c r="F285" s="220">
        <v>380000</v>
      </c>
      <c r="G285" s="220">
        <v>380000</v>
      </c>
      <c r="H285" s="149" t="str">
        <f t="shared" si="4"/>
        <v>08040530041000</v>
      </c>
    </row>
    <row r="286" spans="1:8">
      <c r="A286" s="223" t="s">
        <v>1603</v>
      </c>
      <c r="B286" s="214" t="s">
        <v>278</v>
      </c>
      <c r="C286" s="214" t="s">
        <v>522</v>
      </c>
      <c r="D286" s="214" t="s">
        <v>913</v>
      </c>
      <c r="E286" s="214" t="s">
        <v>460</v>
      </c>
      <c r="F286" s="220">
        <v>291860</v>
      </c>
      <c r="G286" s="220">
        <v>291860</v>
      </c>
      <c r="H286" s="149" t="str">
        <f t="shared" si="4"/>
        <v>08040530041000111</v>
      </c>
    </row>
    <row r="287" spans="1:8" ht="51">
      <c r="A287" s="223" t="s">
        <v>1604</v>
      </c>
      <c r="B287" s="214" t="s">
        <v>278</v>
      </c>
      <c r="C287" s="214" t="s">
        <v>522</v>
      </c>
      <c r="D287" s="214" t="s">
        <v>913</v>
      </c>
      <c r="E287" s="214" t="s">
        <v>1290</v>
      </c>
      <c r="F287" s="220">
        <v>88140</v>
      </c>
      <c r="G287" s="220">
        <v>88140</v>
      </c>
      <c r="H287" s="149" t="str">
        <f t="shared" si="4"/>
        <v>08040530041000119</v>
      </c>
    </row>
    <row r="288" spans="1:8" ht="127.5">
      <c r="A288" s="223" t="s">
        <v>640</v>
      </c>
      <c r="B288" s="214" t="s">
        <v>278</v>
      </c>
      <c r="C288" s="214" t="s">
        <v>522</v>
      </c>
      <c r="D288" s="214" t="s">
        <v>915</v>
      </c>
      <c r="E288" s="214"/>
      <c r="F288" s="220">
        <v>393529</v>
      </c>
      <c r="G288" s="220">
        <v>393529</v>
      </c>
      <c r="H288" s="149" t="str">
        <f t="shared" si="4"/>
        <v>08040530047000</v>
      </c>
    </row>
    <row r="289" spans="1:8" ht="25.5">
      <c r="A289" s="223" t="s">
        <v>1617</v>
      </c>
      <c r="B289" s="214" t="s">
        <v>278</v>
      </c>
      <c r="C289" s="214" t="s">
        <v>522</v>
      </c>
      <c r="D289" s="214" t="s">
        <v>915</v>
      </c>
      <c r="E289" s="214" t="s">
        <v>509</v>
      </c>
      <c r="F289" s="220">
        <v>393529</v>
      </c>
      <c r="G289" s="220">
        <v>393529</v>
      </c>
      <c r="H289" s="149" t="str">
        <f t="shared" si="4"/>
        <v>08040530047000112</v>
      </c>
    </row>
    <row r="290" spans="1:8" ht="127.5">
      <c r="A290" s="223" t="s">
        <v>732</v>
      </c>
      <c r="B290" s="214" t="s">
        <v>278</v>
      </c>
      <c r="C290" s="214" t="s">
        <v>522</v>
      </c>
      <c r="D290" s="214" t="s">
        <v>916</v>
      </c>
      <c r="E290" s="214"/>
      <c r="F290" s="220">
        <v>304728</v>
      </c>
      <c r="G290" s="220">
        <v>304728</v>
      </c>
      <c r="H290" s="149" t="str">
        <f t="shared" si="4"/>
        <v>0804053004Г000</v>
      </c>
    </row>
    <row r="291" spans="1:8" ht="38.25">
      <c r="A291" s="223" t="s">
        <v>445</v>
      </c>
      <c r="B291" s="214" t="s">
        <v>278</v>
      </c>
      <c r="C291" s="214" t="s">
        <v>522</v>
      </c>
      <c r="D291" s="214" t="s">
        <v>916</v>
      </c>
      <c r="E291" s="214" t="s">
        <v>446</v>
      </c>
      <c r="F291" s="220">
        <v>304728</v>
      </c>
      <c r="G291" s="220">
        <v>304728</v>
      </c>
      <c r="H291" s="149" t="str">
        <f t="shared" si="4"/>
        <v>0804053004Г000244</v>
      </c>
    </row>
    <row r="292" spans="1:8" ht="89.25">
      <c r="A292" s="223" t="s">
        <v>1183</v>
      </c>
      <c r="B292" s="214" t="s">
        <v>278</v>
      </c>
      <c r="C292" s="214" t="s">
        <v>522</v>
      </c>
      <c r="D292" s="214" t="s">
        <v>1184</v>
      </c>
      <c r="E292" s="214"/>
      <c r="F292" s="220">
        <v>120000</v>
      </c>
      <c r="G292" s="220">
        <v>120000</v>
      </c>
      <c r="H292" s="149" t="str">
        <f t="shared" si="4"/>
        <v>0804053004Ф000</v>
      </c>
    </row>
    <row r="293" spans="1:8" ht="38.25">
      <c r="A293" s="223" t="s">
        <v>445</v>
      </c>
      <c r="B293" s="214" t="s">
        <v>278</v>
      </c>
      <c r="C293" s="214" t="s">
        <v>522</v>
      </c>
      <c r="D293" s="214" t="s">
        <v>1184</v>
      </c>
      <c r="E293" s="214" t="s">
        <v>446</v>
      </c>
      <c r="F293" s="220">
        <v>120000</v>
      </c>
      <c r="G293" s="220">
        <v>120000</v>
      </c>
      <c r="H293" s="149" t="str">
        <f t="shared" si="4"/>
        <v>0804053004Ф000244</v>
      </c>
    </row>
    <row r="294" spans="1:8" ht="114.75">
      <c r="A294" s="223" t="s">
        <v>1173</v>
      </c>
      <c r="B294" s="214" t="s">
        <v>278</v>
      </c>
      <c r="C294" s="214" t="s">
        <v>522</v>
      </c>
      <c r="D294" s="214" t="s">
        <v>1174</v>
      </c>
      <c r="E294" s="214"/>
      <c r="F294" s="220">
        <v>101000</v>
      </c>
      <c r="G294" s="220">
        <v>101000</v>
      </c>
      <c r="H294" s="149" t="str">
        <f t="shared" si="4"/>
        <v>0804053004Э000</v>
      </c>
    </row>
    <row r="295" spans="1:8" ht="38.25">
      <c r="A295" s="223" t="s">
        <v>445</v>
      </c>
      <c r="B295" s="214" t="s">
        <v>278</v>
      </c>
      <c r="C295" s="214" t="s">
        <v>522</v>
      </c>
      <c r="D295" s="214" t="s">
        <v>1174</v>
      </c>
      <c r="E295" s="214" t="s">
        <v>446</v>
      </c>
      <c r="F295" s="220">
        <v>101000</v>
      </c>
      <c r="G295" s="220">
        <v>101000</v>
      </c>
      <c r="H295" s="149" t="str">
        <f t="shared" si="4"/>
        <v>0804053004Э000244</v>
      </c>
    </row>
    <row r="296" spans="1:8">
      <c r="A296" s="223" t="s">
        <v>297</v>
      </c>
      <c r="B296" s="214" t="s">
        <v>278</v>
      </c>
      <c r="C296" s="214" t="s">
        <v>1610</v>
      </c>
      <c r="D296" s="214"/>
      <c r="E296" s="214"/>
      <c r="F296" s="220">
        <v>1745700</v>
      </c>
      <c r="G296" s="220">
        <v>1745700</v>
      </c>
      <c r="H296" s="149" t="str">
        <f t="shared" si="4"/>
        <v>1100</v>
      </c>
    </row>
    <row r="297" spans="1:8">
      <c r="A297" s="223" t="s">
        <v>258</v>
      </c>
      <c r="B297" s="214" t="s">
        <v>278</v>
      </c>
      <c r="C297" s="214" t="s">
        <v>499</v>
      </c>
      <c r="D297" s="214"/>
      <c r="E297" s="214"/>
      <c r="F297" s="220">
        <v>1745700</v>
      </c>
      <c r="G297" s="220">
        <v>1745700</v>
      </c>
      <c r="H297" s="149" t="str">
        <f t="shared" si="4"/>
        <v>1102</v>
      </c>
    </row>
    <row r="298" spans="1:8" ht="89.25">
      <c r="A298" s="223" t="s">
        <v>500</v>
      </c>
      <c r="B298" s="214" t="s">
        <v>278</v>
      </c>
      <c r="C298" s="214" t="s">
        <v>499</v>
      </c>
      <c r="D298" s="214" t="s">
        <v>897</v>
      </c>
      <c r="E298" s="214"/>
      <c r="F298" s="220">
        <v>660700</v>
      </c>
      <c r="G298" s="220">
        <v>660700</v>
      </c>
      <c r="H298" s="149" t="str">
        <f t="shared" si="4"/>
        <v>11020710080010</v>
      </c>
    </row>
    <row r="299" spans="1:8" ht="51">
      <c r="A299" s="223" t="s">
        <v>1619</v>
      </c>
      <c r="B299" s="214" t="s">
        <v>278</v>
      </c>
      <c r="C299" s="214" t="s">
        <v>499</v>
      </c>
      <c r="D299" s="214" t="s">
        <v>897</v>
      </c>
      <c r="E299" s="214" t="s">
        <v>1295</v>
      </c>
      <c r="F299" s="220">
        <v>20000</v>
      </c>
      <c r="G299" s="220">
        <v>20000</v>
      </c>
      <c r="H299" s="149" t="str">
        <f t="shared" si="4"/>
        <v>11020710080010113</v>
      </c>
    </row>
    <row r="300" spans="1:8" ht="38.25">
      <c r="A300" s="223" t="s">
        <v>445</v>
      </c>
      <c r="B300" s="214" t="s">
        <v>278</v>
      </c>
      <c r="C300" s="214" t="s">
        <v>499</v>
      </c>
      <c r="D300" s="214" t="s">
        <v>897</v>
      </c>
      <c r="E300" s="214" t="s">
        <v>446</v>
      </c>
      <c r="F300" s="220">
        <v>640700</v>
      </c>
      <c r="G300" s="220">
        <v>640700</v>
      </c>
      <c r="H300" s="149" t="str">
        <f t="shared" si="4"/>
        <v>11020710080010244</v>
      </c>
    </row>
    <row r="301" spans="1:8" ht="102">
      <c r="A301" s="223" t="s">
        <v>501</v>
      </c>
      <c r="B301" s="214" t="s">
        <v>278</v>
      </c>
      <c r="C301" s="214" t="s">
        <v>499</v>
      </c>
      <c r="D301" s="214" t="s">
        <v>898</v>
      </c>
      <c r="E301" s="214"/>
      <c r="F301" s="220">
        <v>855000</v>
      </c>
      <c r="G301" s="220">
        <v>855000</v>
      </c>
      <c r="H301" s="149" t="str">
        <f t="shared" si="4"/>
        <v>11020710080020</v>
      </c>
    </row>
    <row r="302" spans="1:8" ht="25.5">
      <c r="A302" s="223" t="s">
        <v>1617</v>
      </c>
      <c r="B302" s="214" t="s">
        <v>278</v>
      </c>
      <c r="C302" s="214" t="s">
        <v>499</v>
      </c>
      <c r="D302" s="214" t="s">
        <v>898</v>
      </c>
      <c r="E302" s="214" t="s">
        <v>509</v>
      </c>
      <c r="F302" s="220">
        <v>60000</v>
      </c>
      <c r="G302" s="220">
        <v>60000</v>
      </c>
      <c r="H302" s="149" t="str">
        <f t="shared" si="4"/>
        <v>11020710080020112</v>
      </c>
    </row>
    <row r="303" spans="1:8" ht="51">
      <c r="A303" s="223" t="s">
        <v>1619</v>
      </c>
      <c r="B303" s="214" t="s">
        <v>278</v>
      </c>
      <c r="C303" s="214" t="s">
        <v>499</v>
      </c>
      <c r="D303" s="214" t="s">
        <v>898</v>
      </c>
      <c r="E303" s="214" t="s">
        <v>1295</v>
      </c>
      <c r="F303" s="220">
        <v>700000</v>
      </c>
      <c r="G303" s="220">
        <v>700000</v>
      </c>
      <c r="H303" s="149" t="str">
        <f t="shared" si="4"/>
        <v>11020710080020113</v>
      </c>
    </row>
    <row r="304" spans="1:8" ht="38.25">
      <c r="A304" s="223" t="s">
        <v>445</v>
      </c>
      <c r="B304" s="214" t="s">
        <v>278</v>
      </c>
      <c r="C304" s="214" t="s">
        <v>499</v>
      </c>
      <c r="D304" s="214" t="s">
        <v>898</v>
      </c>
      <c r="E304" s="214" t="s">
        <v>446</v>
      </c>
      <c r="F304" s="220">
        <v>95000</v>
      </c>
      <c r="G304" s="220">
        <v>95000</v>
      </c>
      <c r="H304" s="149" t="str">
        <f t="shared" si="4"/>
        <v>11020710080020244</v>
      </c>
    </row>
    <row r="305" spans="1:8" ht="76.5">
      <c r="A305" s="223" t="s">
        <v>1620</v>
      </c>
      <c r="B305" s="214" t="s">
        <v>278</v>
      </c>
      <c r="C305" s="214" t="s">
        <v>499</v>
      </c>
      <c r="D305" s="214" t="s">
        <v>1621</v>
      </c>
      <c r="E305" s="214"/>
      <c r="F305" s="220">
        <v>230000</v>
      </c>
      <c r="G305" s="220">
        <v>230000</v>
      </c>
      <c r="H305" s="149" t="str">
        <f t="shared" si="4"/>
        <v>1102071008Ф020</v>
      </c>
    </row>
    <row r="306" spans="1:8" ht="38.25">
      <c r="A306" s="229" t="s">
        <v>445</v>
      </c>
      <c r="B306" s="214" t="s">
        <v>278</v>
      </c>
      <c r="C306" s="214" t="s">
        <v>499</v>
      </c>
      <c r="D306" s="214" t="s">
        <v>1621</v>
      </c>
      <c r="E306" s="214" t="s">
        <v>446</v>
      </c>
      <c r="F306" s="220">
        <v>230000</v>
      </c>
      <c r="G306" s="220">
        <v>230000</v>
      </c>
      <c r="H306" s="149" t="str">
        <f t="shared" si="4"/>
        <v>1102071008Ф020244</v>
      </c>
    </row>
    <row r="307" spans="1:8" ht="25.5">
      <c r="A307" s="223" t="s">
        <v>231</v>
      </c>
      <c r="B307" s="214" t="s">
        <v>88</v>
      </c>
      <c r="C307" s="214"/>
      <c r="D307" s="214"/>
      <c r="E307" s="214"/>
      <c r="F307" s="220">
        <v>3365400</v>
      </c>
      <c r="G307" s="220">
        <v>5365400</v>
      </c>
      <c r="H307" s="149" t="str">
        <f t="shared" si="4"/>
        <v/>
      </c>
    </row>
    <row r="308" spans="1:8">
      <c r="A308" s="223" t="s">
        <v>282</v>
      </c>
      <c r="B308" s="214" t="s">
        <v>88</v>
      </c>
      <c r="C308" s="214" t="s">
        <v>1598</v>
      </c>
      <c r="D308" s="214"/>
      <c r="E308" s="214"/>
      <c r="F308" s="220">
        <v>200000</v>
      </c>
      <c r="G308" s="220">
        <v>1200000</v>
      </c>
      <c r="H308" s="149" t="str">
        <f t="shared" ref="H308:H368" si="5">CONCATENATE(C308,,D308,E308)</f>
        <v>0100</v>
      </c>
    </row>
    <row r="309" spans="1:8">
      <c r="A309" s="223" t="s">
        <v>265</v>
      </c>
      <c r="B309" s="214" t="s">
        <v>88</v>
      </c>
      <c r="C309" s="214" t="s">
        <v>454</v>
      </c>
      <c r="D309" s="214"/>
      <c r="E309" s="214"/>
      <c r="F309" s="220">
        <v>200000</v>
      </c>
      <c r="G309" s="220">
        <v>1200000</v>
      </c>
      <c r="H309" s="149" t="str">
        <f t="shared" si="5"/>
        <v>0113</v>
      </c>
    </row>
    <row r="310" spans="1:8" ht="63.75">
      <c r="A310" s="223" t="s">
        <v>656</v>
      </c>
      <c r="B310" s="214" t="s">
        <v>88</v>
      </c>
      <c r="C310" s="214" t="s">
        <v>454</v>
      </c>
      <c r="D310" s="214" t="s">
        <v>943</v>
      </c>
      <c r="E310" s="214"/>
      <c r="F310" s="220">
        <v>200000</v>
      </c>
      <c r="G310" s="220">
        <v>1200000</v>
      </c>
      <c r="H310" s="149" t="str">
        <f t="shared" si="5"/>
        <v>011390900Д0000</v>
      </c>
    </row>
    <row r="311" spans="1:8" ht="38.25">
      <c r="A311" s="223" t="s">
        <v>445</v>
      </c>
      <c r="B311" s="214" t="s">
        <v>88</v>
      </c>
      <c r="C311" s="214" t="s">
        <v>454</v>
      </c>
      <c r="D311" s="214" t="s">
        <v>943</v>
      </c>
      <c r="E311" s="214" t="s">
        <v>446</v>
      </c>
      <c r="F311" s="220">
        <v>200000</v>
      </c>
      <c r="G311" s="220">
        <v>1200000</v>
      </c>
      <c r="H311" s="149" t="str">
        <f t="shared" si="5"/>
        <v>011390900Д0000244</v>
      </c>
    </row>
    <row r="312" spans="1:8">
      <c r="A312" s="223" t="s">
        <v>222</v>
      </c>
      <c r="B312" s="214" t="s">
        <v>88</v>
      </c>
      <c r="C312" s="214" t="s">
        <v>1605</v>
      </c>
      <c r="D312" s="214"/>
      <c r="E312" s="214"/>
      <c r="F312" s="220">
        <v>500000</v>
      </c>
      <c r="G312" s="220">
        <v>500000</v>
      </c>
      <c r="H312" s="149" t="str">
        <f t="shared" si="5"/>
        <v>0400</v>
      </c>
    </row>
    <row r="313" spans="1:8" ht="25.5">
      <c r="A313" s="216" t="s">
        <v>180</v>
      </c>
      <c r="B313" s="141" t="s">
        <v>88</v>
      </c>
      <c r="C313" s="141" t="s">
        <v>478</v>
      </c>
      <c r="D313" s="141"/>
      <c r="E313" s="141"/>
      <c r="F313" s="221">
        <v>500000</v>
      </c>
      <c r="G313" s="221">
        <v>500000</v>
      </c>
      <c r="H313" s="149" t="str">
        <f t="shared" si="5"/>
        <v>0412</v>
      </c>
    </row>
    <row r="314" spans="1:8" ht="63.75">
      <c r="A314" s="216" t="s">
        <v>523</v>
      </c>
      <c r="B314" s="141" t="s">
        <v>88</v>
      </c>
      <c r="C314" s="141" t="s">
        <v>478</v>
      </c>
      <c r="D314" s="141" t="s">
        <v>944</v>
      </c>
      <c r="E314" s="141"/>
      <c r="F314" s="221">
        <v>500000</v>
      </c>
      <c r="G314" s="221">
        <v>500000</v>
      </c>
      <c r="H314" s="149" t="str">
        <f t="shared" si="5"/>
        <v>041290900Ж0000</v>
      </c>
    </row>
    <row r="315" spans="1:8" ht="38.25">
      <c r="A315" s="216" t="s">
        <v>445</v>
      </c>
      <c r="B315" s="141" t="s">
        <v>88</v>
      </c>
      <c r="C315" s="141" t="s">
        <v>478</v>
      </c>
      <c r="D315" s="141" t="s">
        <v>944</v>
      </c>
      <c r="E315" s="141" t="s">
        <v>446</v>
      </c>
      <c r="F315" s="221">
        <v>500000</v>
      </c>
      <c r="G315" s="221">
        <v>500000</v>
      </c>
      <c r="H315" s="149" t="str">
        <f t="shared" si="5"/>
        <v>041290900Ж0000244</v>
      </c>
    </row>
    <row r="316" spans="1:8" ht="25.5">
      <c r="A316" s="216" t="s">
        <v>287</v>
      </c>
      <c r="B316" s="141" t="s">
        <v>88</v>
      </c>
      <c r="C316" s="141" t="s">
        <v>1607</v>
      </c>
      <c r="D316" s="141"/>
      <c r="E316" s="141"/>
      <c r="F316" s="221">
        <v>110000</v>
      </c>
      <c r="G316" s="221">
        <v>1110000</v>
      </c>
      <c r="H316" s="149" t="str">
        <f t="shared" si="5"/>
        <v>0500</v>
      </c>
    </row>
    <row r="317" spans="1:8">
      <c r="A317" s="216" t="s">
        <v>3</v>
      </c>
      <c r="B317" s="141" t="s">
        <v>88</v>
      </c>
      <c r="C317" s="141" t="s">
        <v>504</v>
      </c>
      <c r="D317" s="141"/>
      <c r="E317" s="141"/>
      <c r="F317" s="221">
        <v>110000</v>
      </c>
      <c r="G317" s="221">
        <v>1110000</v>
      </c>
      <c r="H317" s="149" t="str">
        <f t="shared" si="5"/>
        <v>0501</v>
      </c>
    </row>
    <row r="318" spans="1:8" ht="127.5">
      <c r="A318" s="216" t="s">
        <v>658</v>
      </c>
      <c r="B318" s="141" t="s">
        <v>88</v>
      </c>
      <c r="C318" s="141" t="s">
        <v>504</v>
      </c>
      <c r="D318" s="141" t="s">
        <v>946</v>
      </c>
      <c r="E318" s="141"/>
      <c r="F318" s="221">
        <v>110000</v>
      </c>
      <c r="G318" s="221">
        <v>110000</v>
      </c>
      <c r="H318" s="149" t="str">
        <f t="shared" si="5"/>
        <v>05010330080000</v>
      </c>
    </row>
    <row r="319" spans="1:8" ht="38.25">
      <c r="A319" s="216" t="s">
        <v>445</v>
      </c>
      <c r="B319" s="141" t="s">
        <v>88</v>
      </c>
      <c r="C319" s="141" t="s">
        <v>504</v>
      </c>
      <c r="D319" s="141" t="s">
        <v>946</v>
      </c>
      <c r="E319" s="141" t="s">
        <v>446</v>
      </c>
      <c r="F319" s="221">
        <v>110000</v>
      </c>
      <c r="G319" s="221">
        <v>110000</v>
      </c>
      <c r="H319" s="149" t="str">
        <f t="shared" si="5"/>
        <v>05010330080000244</v>
      </c>
    </row>
    <row r="320" spans="1:8" ht="89.25">
      <c r="A320" s="216" t="s">
        <v>657</v>
      </c>
      <c r="B320" s="141" t="s">
        <v>88</v>
      </c>
      <c r="C320" s="141" t="s">
        <v>504</v>
      </c>
      <c r="D320" s="141" t="s">
        <v>945</v>
      </c>
      <c r="E320" s="141"/>
      <c r="F320" s="221">
        <v>0</v>
      </c>
      <c r="G320" s="221">
        <v>1000000</v>
      </c>
      <c r="H320" s="149" t="str">
        <f t="shared" si="5"/>
        <v>05011050080000</v>
      </c>
    </row>
    <row r="321" spans="1:8" ht="51">
      <c r="A321" s="216" t="s">
        <v>524</v>
      </c>
      <c r="B321" s="141" t="s">
        <v>88</v>
      </c>
      <c r="C321" s="141" t="s">
        <v>504</v>
      </c>
      <c r="D321" s="141" t="s">
        <v>945</v>
      </c>
      <c r="E321" s="141" t="s">
        <v>525</v>
      </c>
      <c r="F321" s="221">
        <v>0</v>
      </c>
      <c r="G321" s="221">
        <v>1000000</v>
      </c>
      <c r="H321" s="149" t="str">
        <f t="shared" si="5"/>
        <v>05011050080000412</v>
      </c>
    </row>
    <row r="322" spans="1:8">
      <c r="A322" s="216" t="s">
        <v>174</v>
      </c>
      <c r="B322" s="141" t="s">
        <v>88</v>
      </c>
      <c r="C322" s="141" t="s">
        <v>1609</v>
      </c>
      <c r="D322" s="141"/>
      <c r="E322" s="141"/>
      <c r="F322" s="221">
        <v>2555400</v>
      </c>
      <c r="G322" s="221">
        <v>2555400</v>
      </c>
      <c r="H322" s="149" t="str">
        <f t="shared" si="5"/>
        <v>1000</v>
      </c>
    </row>
    <row r="323" spans="1:8">
      <c r="A323" s="216" t="s">
        <v>127</v>
      </c>
      <c r="B323" s="141" t="s">
        <v>88</v>
      </c>
      <c r="C323" s="141" t="s">
        <v>496</v>
      </c>
      <c r="D323" s="141"/>
      <c r="E323" s="141"/>
      <c r="F323" s="221">
        <v>2555400</v>
      </c>
      <c r="G323" s="221">
        <v>2555400</v>
      </c>
      <c r="H323" s="149" t="str">
        <f t="shared" si="5"/>
        <v>1003</v>
      </c>
    </row>
    <row r="324" spans="1:8" ht="114.75">
      <c r="A324" s="216" t="s">
        <v>526</v>
      </c>
      <c r="B324" s="141" t="s">
        <v>88</v>
      </c>
      <c r="C324" s="141" t="s">
        <v>496</v>
      </c>
      <c r="D324" s="141" t="s">
        <v>1311</v>
      </c>
      <c r="E324" s="141"/>
      <c r="F324" s="221">
        <v>2555400</v>
      </c>
      <c r="G324" s="221">
        <v>2555400</v>
      </c>
      <c r="H324" s="149" t="str">
        <f t="shared" si="5"/>
        <v>100306300L0200</v>
      </c>
    </row>
    <row r="325" spans="1:8" ht="25.5">
      <c r="A325" s="216" t="s">
        <v>768</v>
      </c>
      <c r="B325" s="141" t="s">
        <v>88</v>
      </c>
      <c r="C325" s="141" t="s">
        <v>496</v>
      </c>
      <c r="D325" s="141" t="s">
        <v>1311</v>
      </c>
      <c r="E325" s="141" t="s">
        <v>767</v>
      </c>
      <c r="F325" s="221">
        <v>2555400</v>
      </c>
      <c r="G325" s="221">
        <v>2555400</v>
      </c>
      <c r="H325" s="149" t="str">
        <f t="shared" si="5"/>
        <v>100306300L0200322</v>
      </c>
    </row>
    <row r="326" spans="1:8" ht="25.5">
      <c r="A326" s="216" t="s">
        <v>306</v>
      </c>
      <c r="B326" s="141" t="s">
        <v>252</v>
      </c>
      <c r="C326" s="141"/>
      <c r="D326" s="141"/>
      <c r="E326" s="141"/>
      <c r="F326" s="221">
        <v>1073799925</v>
      </c>
      <c r="G326" s="221">
        <v>1073799925</v>
      </c>
      <c r="H326" s="149" t="str">
        <f t="shared" si="5"/>
        <v/>
      </c>
    </row>
    <row r="327" spans="1:8">
      <c r="A327" s="216" t="s">
        <v>173</v>
      </c>
      <c r="B327" s="141" t="s">
        <v>252</v>
      </c>
      <c r="C327" s="141" t="s">
        <v>1608</v>
      </c>
      <c r="D327" s="141"/>
      <c r="E327" s="141"/>
      <c r="F327" s="221">
        <v>1035329125</v>
      </c>
      <c r="G327" s="221">
        <v>1035329125</v>
      </c>
      <c r="H327" s="149" t="str">
        <f t="shared" si="5"/>
        <v>0700</v>
      </c>
    </row>
    <row r="328" spans="1:8">
      <c r="A328" s="216" t="s">
        <v>187</v>
      </c>
      <c r="B328" s="141" t="s">
        <v>252</v>
      </c>
      <c r="C328" s="141" t="s">
        <v>528</v>
      </c>
      <c r="D328" s="141"/>
      <c r="E328" s="141"/>
      <c r="F328" s="221">
        <v>325490811</v>
      </c>
      <c r="G328" s="221">
        <v>325490811</v>
      </c>
      <c r="H328" s="149" t="str">
        <f t="shared" si="5"/>
        <v>0701</v>
      </c>
    </row>
    <row r="329" spans="1:8" ht="140.25">
      <c r="A329" s="216" t="s">
        <v>530</v>
      </c>
      <c r="B329" s="141" t="s">
        <v>252</v>
      </c>
      <c r="C329" s="141" t="s">
        <v>528</v>
      </c>
      <c r="D329" s="141" t="s">
        <v>951</v>
      </c>
      <c r="E329" s="141"/>
      <c r="F329" s="221">
        <v>40014712</v>
      </c>
      <c r="G329" s="221">
        <v>40014712</v>
      </c>
      <c r="H329" s="149" t="str">
        <f t="shared" si="5"/>
        <v>07010110040010</v>
      </c>
    </row>
    <row r="330" spans="1:8">
      <c r="A330" s="216" t="s">
        <v>1603</v>
      </c>
      <c r="B330" s="141" t="s">
        <v>252</v>
      </c>
      <c r="C330" s="141" t="s">
        <v>528</v>
      </c>
      <c r="D330" s="141" t="s">
        <v>951</v>
      </c>
      <c r="E330" s="141" t="s">
        <v>460</v>
      </c>
      <c r="F330" s="221">
        <v>25217039</v>
      </c>
      <c r="G330" s="221">
        <v>25217039</v>
      </c>
      <c r="H330" s="149" t="str">
        <f t="shared" si="5"/>
        <v>07010110040010111</v>
      </c>
    </row>
    <row r="331" spans="1:8" ht="51">
      <c r="A331" s="216" t="s">
        <v>1604</v>
      </c>
      <c r="B331" s="141" t="s">
        <v>252</v>
      </c>
      <c r="C331" s="141" t="s">
        <v>528</v>
      </c>
      <c r="D331" s="141" t="s">
        <v>951</v>
      </c>
      <c r="E331" s="141" t="s">
        <v>1290</v>
      </c>
      <c r="F331" s="221">
        <v>7615548</v>
      </c>
      <c r="G331" s="221">
        <v>7615548</v>
      </c>
      <c r="H331" s="149" t="str">
        <f t="shared" si="5"/>
        <v>07010110040010119</v>
      </c>
    </row>
    <row r="332" spans="1:8" ht="38.25">
      <c r="A332" s="216" t="s">
        <v>445</v>
      </c>
      <c r="B332" s="141" t="s">
        <v>252</v>
      </c>
      <c r="C332" s="141" t="s">
        <v>528</v>
      </c>
      <c r="D332" s="141" t="s">
        <v>951</v>
      </c>
      <c r="E332" s="141" t="s">
        <v>446</v>
      </c>
      <c r="F332" s="221">
        <v>7182125</v>
      </c>
      <c r="G332" s="221">
        <v>7182125</v>
      </c>
      <c r="H332" s="149" t="str">
        <f t="shared" si="5"/>
        <v>07010110040010244</v>
      </c>
    </row>
    <row r="333" spans="1:8" ht="191.25">
      <c r="A333" s="216" t="s">
        <v>737</v>
      </c>
      <c r="B333" s="141" t="s">
        <v>252</v>
      </c>
      <c r="C333" s="141" t="s">
        <v>528</v>
      </c>
      <c r="D333" s="141" t="s">
        <v>952</v>
      </c>
      <c r="E333" s="141"/>
      <c r="F333" s="221">
        <v>19102625</v>
      </c>
      <c r="G333" s="221">
        <v>19102625</v>
      </c>
      <c r="H333" s="149" t="str">
        <f t="shared" si="5"/>
        <v>07010110041010</v>
      </c>
    </row>
    <row r="334" spans="1:8">
      <c r="A334" s="216" t="s">
        <v>1603</v>
      </c>
      <c r="B334" s="141" t="s">
        <v>252</v>
      </c>
      <c r="C334" s="141" t="s">
        <v>528</v>
      </c>
      <c r="D334" s="141" t="s">
        <v>952</v>
      </c>
      <c r="E334" s="141" t="s">
        <v>460</v>
      </c>
      <c r="F334" s="221">
        <v>14671755</v>
      </c>
      <c r="G334" s="221">
        <v>14671755</v>
      </c>
      <c r="H334" s="149" t="str">
        <f t="shared" si="5"/>
        <v>07010110041010111</v>
      </c>
    </row>
    <row r="335" spans="1:8" ht="51">
      <c r="A335" s="216" t="s">
        <v>1604</v>
      </c>
      <c r="B335" s="141" t="s">
        <v>252</v>
      </c>
      <c r="C335" s="141" t="s">
        <v>528</v>
      </c>
      <c r="D335" s="141" t="s">
        <v>952</v>
      </c>
      <c r="E335" s="141" t="s">
        <v>1290</v>
      </c>
      <c r="F335" s="221">
        <v>4430870</v>
      </c>
      <c r="G335" s="221">
        <v>4430870</v>
      </c>
      <c r="H335" s="149" t="str">
        <f t="shared" si="5"/>
        <v>07010110041010119</v>
      </c>
    </row>
    <row r="336" spans="1:8" ht="140.25">
      <c r="A336" s="216" t="s">
        <v>738</v>
      </c>
      <c r="B336" s="141" t="s">
        <v>252</v>
      </c>
      <c r="C336" s="141" t="s">
        <v>528</v>
      </c>
      <c r="D336" s="141" t="s">
        <v>953</v>
      </c>
      <c r="E336" s="141"/>
      <c r="F336" s="221">
        <v>1061173</v>
      </c>
      <c r="G336" s="221">
        <v>1061173</v>
      </c>
      <c r="H336" s="149" t="str">
        <f t="shared" si="5"/>
        <v>07010110047010</v>
      </c>
    </row>
    <row r="337" spans="1:8" ht="25.5">
      <c r="A337" s="216" t="s">
        <v>1617</v>
      </c>
      <c r="B337" s="141" t="s">
        <v>252</v>
      </c>
      <c r="C337" s="141" t="s">
        <v>528</v>
      </c>
      <c r="D337" s="141" t="s">
        <v>953</v>
      </c>
      <c r="E337" s="141" t="s">
        <v>509</v>
      </c>
      <c r="F337" s="221">
        <v>1061173</v>
      </c>
      <c r="G337" s="221">
        <v>1061173</v>
      </c>
      <c r="H337" s="149" t="str">
        <f t="shared" si="5"/>
        <v>07010110047010112</v>
      </c>
    </row>
    <row r="338" spans="1:8" ht="153">
      <c r="A338" s="216" t="s">
        <v>739</v>
      </c>
      <c r="B338" s="141" t="s">
        <v>252</v>
      </c>
      <c r="C338" s="141" t="s">
        <v>528</v>
      </c>
      <c r="D338" s="141" t="s">
        <v>954</v>
      </c>
      <c r="E338" s="141"/>
      <c r="F338" s="221">
        <v>34945362</v>
      </c>
      <c r="G338" s="221">
        <v>34945362</v>
      </c>
      <c r="H338" s="149" t="str">
        <f t="shared" si="5"/>
        <v>0701011004Г010</v>
      </c>
    </row>
    <row r="339" spans="1:8" ht="38.25">
      <c r="A339" s="216" t="s">
        <v>445</v>
      </c>
      <c r="B339" s="141" t="s">
        <v>252</v>
      </c>
      <c r="C339" s="141" t="s">
        <v>528</v>
      </c>
      <c r="D339" s="141" t="s">
        <v>954</v>
      </c>
      <c r="E339" s="141" t="s">
        <v>446</v>
      </c>
      <c r="F339" s="221">
        <v>34945362</v>
      </c>
      <c r="G339" s="221">
        <v>34945362</v>
      </c>
      <c r="H339" s="149" t="str">
        <f t="shared" si="5"/>
        <v>0701011004Г010244</v>
      </c>
    </row>
    <row r="340" spans="1:8" ht="127.5">
      <c r="A340" s="216" t="s">
        <v>740</v>
      </c>
      <c r="B340" s="141" t="s">
        <v>252</v>
      </c>
      <c r="C340" s="141" t="s">
        <v>528</v>
      </c>
      <c r="D340" s="141" t="s">
        <v>955</v>
      </c>
      <c r="E340" s="141"/>
      <c r="F340" s="221">
        <v>35350284</v>
      </c>
      <c r="G340" s="221">
        <v>35350284</v>
      </c>
      <c r="H340" s="149" t="str">
        <f t="shared" si="5"/>
        <v>0701011004П010</v>
      </c>
    </row>
    <row r="341" spans="1:8" ht="38.25">
      <c r="A341" s="216" t="s">
        <v>445</v>
      </c>
      <c r="B341" s="141" t="s">
        <v>252</v>
      </c>
      <c r="C341" s="141" t="s">
        <v>528</v>
      </c>
      <c r="D341" s="141" t="s">
        <v>955</v>
      </c>
      <c r="E341" s="141" t="s">
        <v>446</v>
      </c>
      <c r="F341" s="221">
        <v>35350284</v>
      </c>
      <c r="G341" s="221">
        <v>35350284</v>
      </c>
      <c r="H341" s="149" t="str">
        <f t="shared" si="5"/>
        <v>0701011004П010244</v>
      </c>
    </row>
    <row r="342" spans="1:8" ht="127.5">
      <c r="A342" s="229" t="s">
        <v>1185</v>
      </c>
      <c r="B342" s="141" t="s">
        <v>252</v>
      </c>
      <c r="C342" s="141" t="s">
        <v>528</v>
      </c>
      <c r="D342" s="141" t="s">
        <v>1186</v>
      </c>
      <c r="E342" s="141"/>
      <c r="F342" s="221">
        <v>6614055</v>
      </c>
      <c r="G342" s="221">
        <v>6614055</v>
      </c>
      <c r="H342" s="149" t="str">
        <f t="shared" si="5"/>
        <v>0701011004Э010</v>
      </c>
    </row>
    <row r="343" spans="1:8" ht="38.25">
      <c r="A343" s="216" t="s">
        <v>445</v>
      </c>
      <c r="B343" s="141" t="s">
        <v>252</v>
      </c>
      <c r="C343" s="141" t="s">
        <v>528</v>
      </c>
      <c r="D343" s="141" t="s">
        <v>1186</v>
      </c>
      <c r="E343" s="141" t="s">
        <v>446</v>
      </c>
      <c r="F343" s="221">
        <v>6614055</v>
      </c>
      <c r="G343" s="221">
        <v>6614055</v>
      </c>
      <c r="H343" s="149" t="str">
        <f t="shared" si="5"/>
        <v>0701011004Э010244</v>
      </c>
    </row>
    <row r="344" spans="1:8" ht="267.75">
      <c r="A344" s="216" t="s">
        <v>949</v>
      </c>
      <c r="B344" s="141" t="s">
        <v>252</v>
      </c>
      <c r="C344" s="141" t="s">
        <v>528</v>
      </c>
      <c r="D344" s="141" t="s">
        <v>950</v>
      </c>
      <c r="E344" s="141"/>
      <c r="F344" s="221">
        <v>62470800</v>
      </c>
      <c r="G344" s="221">
        <v>62470800</v>
      </c>
      <c r="H344" s="149" t="str">
        <f t="shared" si="5"/>
        <v>07010110074080</v>
      </c>
    </row>
    <row r="345" spans="1:8">
      <c r="A345" s="216" t="s">
        <v>1603</v>
      </c>
      <c r="B345" s="141" t="s">
        <v>252</v>
      </c>
      <c r="C345" s="141" t="s">
        <v>528</v>
      </c>
      <c r="D345" s="141" t="s">
        <v>950</v>
      </c>
      <c r="E345" s="141" t="s">
        <v>460</v>
      </c>
      <c r="F345" s="221">
        <v>44890427.159999996</v>
      </c>
      <c r="G345" s="221">
        <v>44890427.159999996</v>
      </c>
      <c r="H345" s="149" t="str">
        <f t="shared" si="5"/>
        <v>07010110074080111</v>
      </c>
    </row>
    <row r="346" spans="1:8" ht="25.5">
      <c r="A346" s="229" t="s">
        <v>1617</v>
      </c>
      <c r="B346" s="141" t="s">
        <v>252</v>
      </c>
      <c r="C346" s="141" t="s">
        <v>528</v>
      </c>
      <c r="D346" s="141" t="s">
        <v>950</v>
      </c>
      <c r="E346" s="141" t="s">
        <v>509</v>
      </c>
      <c r="F346" s="221">
        <v>1467000</v>
      </c>
      <c r="G346" s="221">
        <v>1467000</v>
      </c>
      <c r="H346" s="149" t="str">
        <f t="shared" si="5"/>
        <v>07010110074080112</v>
      </c>
    </row>
    <row r="347" spans="1:8" ht="51">
      <c r="A347" s="216" t="s">
        <v>1604</v>
      </c>
      <c r="B347" s="141" t="s">
        <v>252</v>
      </c>
      <c r="C347" s="141" t="s">
        <v>528</v>
      </c>
      <c r="D347" s="141" t="s">
        <v>950</v>
      </c>
      <c r="E347" s="141" t="s">
        <v>1290</v>
      </c>
      <c r="F347" s="221">
        <v>13556913.800000001</v>
      </c>
      <c r="G347" s="221">
        <v>13556913.800000001</v>
      </c>
      <c r="H347" s="149" t="str">
        <f t="shared" si="5"/>
        <v>07010110074080119</v>
      </c>
    </row>
    <row r="348" spans="1:8" ht="38.25">
      <c r="A348" s="276" t="s">
        <v>445</v>
      </c>
      <c r="B348" s="141" t="s">
        <v>252</v>
      </c>
      <c r="C348" s="141" t="s">
        <v>528</v>
      </c>
      <c r="D348" s="141" t="s">
        <v>950</v>
      </c>
      <c r="E348" s="141" t="s">
        <v>446</v>
      </c>
      <c r="F348" s="221">
        <v>2556459.04</v>
      </c>
      <c r="G348" s="221">
        <v>2556459.04</v>
      </c>
      <c r="H348" s="149"/>
    </row>
    <row r="349" spans="1:8" ht="191.25">
      <c r="A349" s="276" t="s">
        <v>529</v>
      </c>
      <c r="B349" s="141" t="s">
        <v>252</v>
      </c>
      <c r="C349" s="141" t="s">
        <v>528</v>
      </c>
      <c r="D349" s="141" t="s">
        <v>948</v>
      </c>
      <c r="E349" s="141"/>
      <c r="F349" s="221">
        <v>125931800</v>
      </c>
      <c r="G349" s="221">
        <v>125931800</v>
      </c>
      <c r="H349" s="149"/>
    </row>
    <row r="350" spans="1:8">
      <c r="A350" s="216" t="s">
        <v>1603</v>
      </c>
      <c r="B350" s="141" t="s">
        <v>252</v>
      </c>
      <c r="C350" s="141" t="s">
        <v>528</v>
      </c>
      <c r="D350" s="141" t="s">
        <v>948</v>
      </c>
      <c r="E350" s="141" t="s">
        <v>460</v>
      </c>
      <c r="F350" s="221">
        <v>81001577</v>
      </c>
      <c r="G350" s="221">
        <v>81001577</v>
      </c>
      <c r="H350" s="149" t="str">
        <f t="shared" si="5"/>
        <v>07010110075880111</v>
      </c>
    </row>
    <row r="351" spans="1:8" ht="25.5">
      <c r="A351" s="216" t="s">
        <v>1617</v>
      </c>
      <c r="B351" s="141" t="s">
        <v>252</v>
      </c>
      <c r="C351" s="141" t="s">
        <v>528</v>
      </c>
      <c r="D351" s="141" t="s">
        <v>948</v>
      </c>
      <c r="E351" s="141" t="s">
        <v>509</v>
      </c>
      <c r="F351" s="221">
        <v>2500000</v>
      </c>
      <c r="G351" s="221">
        <v>2500000</v>
      </c>
      <c r="H351" s="149" t="str">
        <f t="shared" si="5"/>
        <v>07010110075880112</v>
      </c>
    </row>
    <row r="352" spans="1:8" ht="51">
      <c r="A352" s="216" t="s">
        <v>1604</v>
      </c>
      <c r="B352" s="141" t="s">
        <v>252</v>
      </c>
      <c r="C352" s="141" t="s">
        <v>528</v>
      </c>
      <c r="D352" s="141" t="s">
        <v>948</v>
      </c>
      <c r="E352" s="141" t="s">
        <v>1290</v>
      </c>
      <c r="F352" s="221">
        <v>24462478</v>
      </c>
      <c r="G352" s="221">
        <v>24462478</v>
      </c>
      <c r="H352" s="149" t="str">
        <f t="shared" si="5"/>
        <v>07010110075880119</v>
      </c>
    </row>
    <row r="353" spans="1:8" ht="38.25">
      <c r="A353" s="216" t="s">
        <v>445</v>
      </c>
      <c r="B353" s="141" t="s">
        <v>252</v>
      </c>
      <c r="C353" s="141" t="s">
        <v>528</v>
      </c>
      <c r="D353" s="141" t="s">
        <v>948</v>
      </c>
      <c r="E353" s="141" t="s">
        <v>446</v>
      </c>
      <c r="F353" s="221">
        <v>17967745</v>
      </c>
      <c r="G353" s="221">
        <v>17967745</v>
      </c>
      <c r="H353" s="149" t="str">
        <f t="shared" si="5"/>
        <v>07010110075880244</v>
      </c>
    </row>
    <row r="354" spans="1:8">
      <c r="A354" s="216" t="s">
        <v>188</v>
      </c>
      <c r="B354" s="141" t="s">
        <v>252</v>
      </c>
      <c r="C354" s="141" t="s">
        <v>515</v>
      </c>
      <c r="D354" s="141"/>
      <c r="E354" s="141"/>
      <c r="F354" s="221">
        <v>618537333</v>
      </c>
      <c r="G354" s="221">
        <v>618537333</v>
      </c>
      <c r="H354" s="149" t="str">
        <f t="shared" si="5"/>
        <v>0702</v>
      </c>
    </row>
    <row r="355" spans="1:8" ht="153">
      <c r="A355" s="216" t="s">
        <v>533</v>
      </c>
      <c r="B355" s="141" t="s">
        <v>252</v>
      </c>
      <c r="C355" s="141" t="s">
        <v>515</v>
      </c>
      <c r="D355" s="141" t="s">
        <v>959</v>
      </c>
      <c r="E355" s="141"/>
      <c r="F355" s="221">
        <v>62320997</v>
      </c>
      <c r="G355" s="221">
        <v>62320997</v>
      </c>
      <c r="H355" s="149" t="str">
        <f t="shared" si="5"/>
        <v>07020110040020</v>
      </c>
    </row>
    <row r="356" spans="1:8">
      <c r="A356" s="216" t="s">
        <v>1603</v>
      </c>
      <c r="B356" s="141" t="s">
        <v>252</v>
      </c>
      <c r="C356" s="141" t="s">
        <v>515</v>
      </c>
      <c r="D356" s="141" t="s">
        <v>959</v>
      </c>
      <c r="E356" s="141" t="s">
        <v>460</v>
      </c>
      <c r="F356" s="221">
        <v>37963200</v>
      </c>
      <c r="G356" s="221">
        <v>37963200</v>
      </c>
      <c r="H356" s="149" t="str">
        <f t="shared" si="5"/>
        <v>07020110040020111</v>
      </c>
    </row>
    <row r="357" spans="1:8" ht="51">
      <c r="A357" s="216" t="s">
        <v>1604</v>
      </c>
      <c r="B357" s="141" t="s">
        <v>252</v>
      </c>
      <c r="C357" s="141" t="s">
        <v>515</v>
      </c>
      <c r="D357" s="141" t="s">
        <v>959</v>
      </c>
      <c r="E357" s="141" t="s">
        <v>1290</v>
      </c>
      <c r="F357" s="221">
        <v>11464887</v>
      </c>
      <c r="G357" s="221">
        <v>11464887</v>
      </c>
      <c r="H357" s="149" t="str">
        <f t="shared" si="5"/>
        <v>07020110040020119</v>
      </c>
    </row>
    <row r="358" spans="1:8" ht="38.25">
      <c r="A358" s="216" t="s">
        <v>445</v>
      </c>
      <c r="B358" s="141" t="s">
        <v>252</v>
      </c>
      <c r="C358" s="141" t="s">
        <v>515</v>
      </c>
      <c r="D358" s="141" t="s">
        <v>959</v>
      </c>
      <c r="E358" s="141" t="s">
        <v>446</v>
      </c>
      <c r="F358" s="221">
        <v>12892910</v>
      </c>
      <c r="G358" s="221">
        <v>12892910</v>
      </c>
      <c r="H358" s="149" t="str">
        <f t="shared" si="5"/>
        <v>07020110040020244</v>
      </c>
    </row>
    <row r="359" spans="1:8" ht="204">
      <c r="A359" s="216" t="s">
        <v>535</v>
      </c>
      <c r="B359" s="141" t="s">
        <v>252</v>
      </c>
      <c r="C359" s="141" t="s">
        <v>515</v>
      </c>
      <c r="D359" s="141" t="s">
        <v>960</v>
      </c>
      <c r="E359" s="141"/>
      <c r="F359" s="221">
        <v>44949200</v>
      </c>
      <c r="G359" s="221">
        <v>44949200</v>
      </c>
      <c r="H359" s="149" t="str">
        <f t="shared" si="5"/>
        <v>07020110041020</v>
      </c>
    </row>
    <row r="360" spans="1:8">
      <c r="A360" s="216" t="s">
        <v>1603</v>
      </c>
      <c r="B360" s="141" t="s">
        <v>252</v>
      </c>
      <c r="C360" s="141" t="s">
        <v>515</v>
      </c>
      <c r="D360" s="141" t="s">
        <v>960</v>
      </c>
      <c r="E360" s="141" t="s">
        <v>460</v>
      </c>
      <c r="F360" s="221">
        <v>34523200</v>
      </c>
      <c r="G360" s="221">
        <v>34523200</v>
      </c>
      <c r="H360" s="149" t="str">
        <f t="shared" si="5"/>
        <v>07020110041020111</v>
      </c>
    </row>
    <row r="361" spans="1:8" ht="51">
      <c r="A361" s="216" t="s">
        <v>1604</v>
      </c>
      <c r="B361" s="141" t="s">
        <v>252</v>
      </c>
      <c r="C361" s="141" t="s">
        <v>515</v>
      </c>
      <c r="D361" s="141" t="s">
        <v>960</v>
      </c>
      <c r="E361" s="141" t="s">
        <v>1290</v>
      </c>
      <c r="F361" s="156">
        <v>10426000</v>
      </c>
      <c r="G361" s="156">
        <v>10426000</v>
      </c>
      <c r="H361" s="149" t="str">
        <f t="shared" si="5"/>
        <v>07020110041020119</v>
      </c>
    </row>
    <row r="362" spans="1:8" ht="178.5">
      <c r="A362" s="216" t="s">
        <v>659</v>
      </c>
      <c r="B362" s="141" t="s">
        <v>252</v>
      </c>
      <c r="C362" s="141" t="s">
        <v>515</v>
      </c>
      <c r="D362" s="141" t="s">
        <v>966</v>
      </c>
      <c r="E362" s="141"/>
      <c r="F362" s="156">
        <v>1800000</v>
      </c>
      <c r="G362" s="156">
        <v>1800000</v>
      </c>
      <c r="H362" s="149" t="str">
        <f t="shared" si="5"/>
        <v>07020110043020</v>
      </c>
    </row>
    <row r="363" spans="1:8" ht="25.5">
      <c r="A363" s="216" t="s">
        <v>1617</v>
      </c>
      <c r="B363" s="141" t="s">
        <v>252</v>
      </c>
      <c r="C363" s="141" t="s">
        <v>515</v>
      </c>
      <c r="D363" s="141" t="s">
        <v>966</v>
      </c>
      <c r="E363" s="141" t="s">
        <v>509</v>
      </c>
      <c r="F363" s="156">
        <v>457000</v>
      </c>
      <c r="G363" s="156">
        <v>457000</v>
      </c>
      <c r="H363" s="149" t="str">
        <f t="shared" si="5"/>
        <v>07020110043020112</v>
      </c>
    </row>
    <row r="364" spans="1:8" ht="51">
      <c r="A364" s="229" t="s">
        <v>1619</v>
      </c>
      <c r="B364" s="141" t="s">
        <v>252</v>
      </c>
      <c r="C364" s="141" t="s">
        <v>515</v>
      </c>
      <c r="D364" s="141" t="s">
        <v>966</v>
      </c>
      <c r="E364" s="141" t="s">
        <v>1295</v>
      </c>
      <c r="F364" s="156">
        <v>190000</v>
      </c>
      <c r="G364" s="156">
        <v>190000</v>
      </c>
      <c r="H364" s="149" t="str">
        <f t="shared" si="5"/>
        <v>07020110043020113</v>
      </c>
    </row>
    <row r="365" spans="1:8" ht="38.25">
      <c r="A365" s="216" t="s">
        <v>445</v>
      </c>
      <c r="B365" s="141" t="s">
        <v>252</v>
      </c>
      <c r="C365" s="141" t="s">
        <v>515</v>
      </c>
      <c r="D365" s="141" t="s">
        <v>966</v>
      </c>
      <c r="E365" s="141" t="s">
        <v>446</v>
      </c>
      <c r="F365" s="156">
        <v>1153000</v>
      </c>
      <c r="G365" s="156">
        <v>1153000</v>
      </c>
      <c r="H365" s="149" t="str">
        <f t="shared" si="5"/>
        <v>07020110043020244</v>
      </c>
    </row>
    <row r="366" spans="1:8" ht="153">
      <c r="A366" s="216" t="s">
        <v>743</v>
      </c>
      <c r="B366" s="141" t="s">
        <v>252</v>
      </c>
      <c r="C366" s="141" t="s">
        <v>515</v>
      </c>
      <c r="D366" s="141" t="s">
        <v>961</v>
      </c>
      <c r="E366" s="141"/>
      <c r="F366" s="156">
        <v>1386225</v>
      </c>
      <c r="G366" s="156">
        <v>1386225</v>
      </c>
      <c r="H366" s="149" t="str">
        <f t="shared" si="5"/>
        <v>07020110047020</v>
      </c>
    </row>
    <row r="367" spans="1:8" ht="25.5">
      <c r="A367" s="216" t="s">
        <v>1617</v>
      </c>
      <c r="B367" s="141" t="s">
        <v>252</v>
      </c>
      <c r="C367" s="141" t="s">
        <v>515</v>
      </c>
      <c r="D367" s="141" t="s">
        <v>961</v>
      </c>
      <c r="E367" s="141" t="s">
        <v>509</v>
      </c>
      <c r="F367" s="156">
        <v>1386225</v>
      </c>
      <c r="G367" s="156">
        <v>1386225</v>
      </c>
      <c r="H367" s="149" t="str">
        <f t="shared" si="5"/>
        <v>07020110047020112</v>
      </c>
    </row>
    <row r="368" spans="1:8" ht="165.75">
      <c r="A368" s="216" t="s">
        <v>745</v>
      </c>
      <c r="B368" s="141" t="s">
        <v>252</v>
      </c>
      <c r="C368" s="141" t="s">
        <v>515</v>
      </c>
      <c r="D368" s="141" t="s">
        <v>962</v>
      </c>
      <c r="E368" s="141"/>
      <c r="F368" s="156">
        <v>74413472</v>
      </c>
      <c r="G368" s="156">
        <v>74413472</v>
      </c>
      <c r="H368" s="149" t="str">
        <f t="shared" si="5"/>
        <v>0702011004Г020</v>
      </c>
    </row>
    <row r="369" spans="1:8" ht="38.25">
      <c r="A369" s="216" t="s">
        <v>445</v>
      </c>
      <c r="B369" s="141" t="s">
        <v>252</v>
      </c>
      <c r="C369" s="141" t="s">
        <v>515</v>
      </c>
      <c r="D369" s="141" t="s">
        <v>962</v>
      </c>
      <c r="E369" s="141" t="s">
        <v>446</v>
      </c>
      <c r="F369" s="156">
        <v>74413472</v>
      </c>
      <c r="G369" s="156">
        <v>74413472</v>
      </c>
      <c r="H369" s="149" t="str">
        <f t="shared" ref="H369:H429" si="6">CONCATENATE(C369,,D369,E369)</f>
        <v>0702011004Г020244</v>
      </c>
    </row>
    <row r="370" spans="1:8" ht="140.25">
      <c r="A370" s="216" t="s">
        <v>747</v>
      </c>
      <c r="B370" s="141" t="s">
        <v>252</v>
      </c>
      <c r="C370" s="141" t="s">
        <v>515</v>
      </c>
      <c r="D370" s="141" t="s">
        <v>967</v>
      </c>
      <c r="E370" s="141"/>
      <c r="F370" s="156">
        <v>3552600</v>
      </c>
      <c r="G370" s="156">
        <v>3552600</v>
      </c>
      <c r="H370" s="149" t="str">
        <f t="shared" si="6"/>
        <v>0702011004П020</v>
      </c>
    </row>
    <row r="371" spans="1:8" ht="38.25">
      <c r="A371" s="216" t="s">
        <v>445</v>
      </c>
      <c r="B371" s="141" t="s">
        <v>252</v>
      </c>
      <c r="C371" s="141" t="s">
        <v>515</v>
      </c>
      <c r="D371" s="141" t="s">
        <v>967</v>
      </c>
      <c r="E371" s="141" t="s">
        <v>446</v>
      </c>
      <c r="F371" s="156">
        <v>3552600</v>
      </c>
      <c r="G371" s="156">
        <v>3552600</v>
      </c>
      <c r="H371" s="149" t="str">
        <f t="shared" si="6"/>
        <v>0702011004П020244</v>
      </c>
    </row>
    <row r="372" spans="1:8" ht="140.25">
      <c r="A372" s="216" t="s">
        <v>1187</v>
      </c>
      <c r="B372" s="141" t="s">
        <v>252</v>
      </c>
      <c r="C372" s="141" t="s">
        <v>515</v>
      </c>
      <c r="D372" s="141" t="s">
        <v>1188</v>
      </c>
      <c r="E372" s="141"/>
      <c r="F372" s="156">
        <v>8438829</v>
      </c>
      <c r="G372" s="156">
        <v>8438829</v>
      </c>
      <c r="H372" s="149" t="str">
        <f t="shared" si="6"/>
        <v>0702011004Э020</v>
      </c>
    </row>
    <row r="373" spans="1:8" ht="38.25">
      <c r="A373" s="216" t="s">
        <v>445</v>
      </c>
      <c r="B373" s="141" t="s">
        <v>252</v>
      </c>
      <c r="C373" s="141" t="s">
        <v>515</v>
      </c>
      <c r="D373" s="141" t="s">
        <v>1188</v>
      </c>
      <c r="E373" s="141" t="s">
        <v>446</v>
      </c>
      <c r="F373" s="221">
        <v>8438829</v>
      </c>
      <c r="G373" s="221">
        <v>8438829</v>
      </c>
      <c r="H373" s="149" t="str">
        <f t="shared" si="6"/>
        <v>0702011004Э020244</v>
      </c>
    </row>
    <row r="374" spans="1:8" ht="255">
      <c r="A374" s="216" t="s">
        <v>1191</v>
      </c>
      <c r="B374" s="141" t="s">
        <v>252</v>
      </c>
      <c r="C374" s="141" t="s">
        <v>515</v>
      </c>
      <c r="D374" s="141" t="s">
        <v>958</v>
      </c>
      <c r="E374" s="141"/>
      <c r="F374" s="221">
        <v>69960700</v>
      </c>
      <c r="G374" s="221">
        <v>69960700</v>
      </c>
      <c r="H374" s="149" t="str">
        <f t="shared" si="6"/>
        <v>07020110074090</v>
      </c>
    </row>
    <row r="375" spans="1:8">
      <c r="A375" s="216" t="s">
        <v>1603</v>
      </c>
      <c r="B375" s="141" t="s">
        <v>252</v>
      </c>
      <c r="C375" s="141" t="s">
        <v>515</v>
      </c>
      <c r="D375" s="141" t="s">
        <v>958</v>
      </c>
      <c r="E375" s="141" t="s">
        <v>460</v>
      </c>
      <c r="F375" s="221">
        <v>49098900.719999999</v>
      </c>
      <c r="G375" s="221">
        <v>49098900.719999999</v>
      </c>
      <c r="H375" s="149" t="str">
        <f t="shared" si="6"/>
        <v>07020110074090111</v>
      </c>
    </row>
    <row r="376" spans="1:8" ht="25.5">
      <c r="A376" s="216" t="s">
        <v>1617</v>
      </c>
      <c r="B376" s="141" t="s">
        <v>252</v>
      </c>
      <c r="C376" s="141" t="s">
        <v>515</v>
      </c>
      <c r="D376" s="141" t="s">
        <v>958</v>
      </c>
      <c r="E376" s="141" t="s">
        <v>509</v>
      </c>
      <c r="F376" s="221">
        <v>1900000</v>
      </c>
      <c r="G376" s="221">
        <v>1900000</v>
      </c>
      <c r="H376" s="149" t="str">
        <f t="shared" si="6"/>
        <v>07020110074090112</v>
      </c>
    </row>
    <row r="377" spans="1:8" ht="51">
      <c r="A377" s="216" t="s">
        <v>1604</v>
      </c>
      <c r="B377" s="141" t="s">
        <v>252</v>
      </c>
      <c r="C377" s="141" t="s">
        <v>515</v>
      </c>
      <c r="D377" s="141" t="s">
        <v>958</v>
      </c>
      <c r="E377" s="141" t="s">
        <v>1290</v>
      </c>
      <c r="F377" s="221">
        <v>14827773.220000001</v>
      </c>
      <c r="G377" s="221">
        <v>14827773.220000001</v>
      </c>
      <c r="H377" s="149" t="str">
        <f t="shared" si="6"/>
        <v>07020110074090119</v>
      </c>
    </row>
    <row r="378" spans="1:8" ht="38.25">
      <c r="A378" s="216" t="s">
        <v>445</v>
      </c>
      <c r="B378" s="141" t="s">
        <v>252</v>
      </c>
      <c r="C378" s="141" t="s">
        <v>515</v>
      </c>
      <c r="D378" s="141" t="s">
        <v>958</v>
      </c>
      <c r="E378" s="141" t="s">
        <v>446</v>
      </c>
      <c r="F378" s="221">
        <v>4134026.06</v>
      </c>
      <c r="G378" s="221">
        <v>4134026.06</v>
      </c>
      <c r="H378" s="149" t="str">
        <f t="shared" si="6"/>
        <v>07020110074090244</v>
      </c>
    </row>
    <row r="379" spans="1:8" ht="204">
      <c r="A379" s="216" t="s">
        <v>532</v>
      </c>
      <c r="B379" s="141" t="s">
        <v>252</v>
      </c>
      <c r="C379" s="141" t="s">
        <v>515</v>
      </c>
      <c r="D379" s="141" t="s">
        <v>956</v>
      </c>
      <c r="E379" s="141"/>
      <c r="F379" s="221">
        <v>350917300</v>
      </c>
      <c r="G379" s="221">
        <v>350917300</v>
      </c>
      <c r="H379" s="149" t="str">
        <f t="shared" si="6"/>
        <v>07020110075640</v>
      </c>
    </row>
    <row r="380" spans="1:8">
      <c r="A380" s="216" t="s">
        <v>1603</v>
      </c>
      <c r="B380" s="141" t="s">
        <v>252</v>
      </c>
      <c r="C380" s="141" t="s">
        <v>515</v>
      </c>
      <c r="D380" s="141" t="s">
        <v>956</v>
      </c>
      <c r="E380" s="141" t="s">
        <v>460</v>
      </c>
      <c r="F380" s="221">
        <v>246957295</v>
      </c>
      <c r="G380" s="221">
        <v>246957295</v>
      </c>
      <c r="H380" s="149" t="str">
        <f t="shared" si="6"/>
        <v>07020110075640111</v>
      </c>
    </row>
    <row r="381" spans="1:8" ht="25.5">
      <c r="A381" s="216" t="s">
        <v>1617</v>
      </c>
      <c r="B381" s="141" t="s">
        <v>252</v>
      </c>
      <c r="C381" s="141" t="s">
        <v>515</v>
      </c>
      <c r="D381" s="141" t="s">
        <v>956</v>
      </c>
      <c r="E381" s="141" t="s">
        <v>509</v>
      </c>
      <c r="F381" s="221">
        <v>5000000</v>
      </c>
      <c r="G381" s="221">
        <v>5000000</v>
      </c>
      <c r="H381" s="149" t="str">
        <f t="shared" si="6"/>
        <v>07020110075640112</v>
      </c>
    </row>
    <row r="382" spans="1:8" ht="51">
      <c r="A382" s="216" t="s">
        <v>1604</v>
      </c>
      <c r="B382" s="141" t="s">
        <v>252</v>
      </c>
      <c r="C382" s="141" t="s">
        <v>515</v>
      </c>
      <c r="D382" s="141" t="s">
        <v>956</v>
      </c>
      <c r="E382" s="141" t="s">
        <v>1290</v>
      </c>
      <c r="F382" s="221">
        <v>74581102</v>
      </c>
      <c r="G382" s="221">
        <v>74581102</v>
      </c>
      <c r="H382" s="149" t="str">
        <f t="shared" si="6"/>
        <v>07020110075640119</v>
      </c>
    </row>
    <row r="383" spans="1:8" ht="38.25">
      <c r="A383" s="216" t="s">
        <v>445</v>
      </c>
      <c r="B383" s="141" t="s">
        <v>252</v>
      </c>
      <c r="C383" s="141" t="s">
        <v>515</v>
      </c>
      <c r="D383" s="141" t="s">
        <v>956</v>
      </c>
      <c r="E383" s="141" t="s">
        <v>446</v>
      </c>
      <c r="F383" s="221">
        <v>24378903</v>
      </c>
      <c r="G383" s="221">
        <v>24378903</v>
      </c>
      <c r="H383" s="149" t="str">
        <f t="shared" si="6"/>
        <v>07020110075640244</v>
      </c>
    </row>
    <row r="384" spans="1:8" ht="89.25">
      <c r="A384" s="216" t="s">
        <v>531</v>
      </c>
      <c r="B384" s="141" t="s">
        <v>252</v>
      </c>
      <c r="C384" s="141" t="s">
        <v>515</v>
      </c>
      <c r="D384" s="141" t="s">
        <v>970</v>
      </c>
      <c r="E384" s="141"/>
      <c r="F384" s="221">
        <v>538000</v>
      </c>
      <c r="G384" s="221">
        <v>538000</v>
      </c>
      <c r="H384" s="149" t="str">
        <f t="shared" si="6"/>
        <v>07020110080020</v>
      </c>
    </row>
    <row r="385" spans="1:8" ht="38.25">
      <c r="A385" s="216" t="s">
        <v>445</v>
      </c>
      <c r="B385" s="141" t="s">
        <v>252</v>
      </c>
      <c r="C385" s="141" t="s">
        <v>515</v>
      </c>
      <c r="D385" s="141" t="s">
        <v>970</v>
      </c>
      <c r="E385" s="141" t="s">
        <v>446</v>
      </c>
      <c r="F385" s="221">
        <v>433000</v>
      </c>
      <c r="G385" s="221">
        <v>433000</v>
      </c>
      <c r="H385" s="149" t="str">
        <f t="shared" si="6"/>
        <v>07020110080020244</v>
      </c>
    </row>
    <row r="386" spans="1:8">
      <c r="A386" s="229" t="s">
        <v>660</v>
      </c>
      <c r="B386" s="141" t="s">
        <v>252</v>
      </c>
      <c r="C386" s="141" t="s">
        <v>515</v>
      </c>
      <c r="D386" s="141" t="s">
        <v>970</v>
      </c>
      <c r="E386" s="141" t="s">
        <v>661</v>
      </c>
      <c r="F386" s="221">
        <v>105000</v>
      </c>
      <c r="G386" s="221">
        <v>105000</v>
      </c>
      <c r="H386" s="149" t="str">
        <f t="shared" si="6"/>
        <v>07020110080020360</v>
      </c>
    </row>
    <row r="387" spans="1:8" ht="89.25">
      <c r="A387" s="216" t="s">
        <v>662</v>
      </c>
      <c r="B387" s="141" t="s">
        <v>252</v>
      </c>
      <c r="C387" s="141" t="s">
        <v>515</v>
      </c>
      <c r="D387" s="141" t="s">
        <v>973</v>
      </c>
      <c r="E387" s="141"/>
      <c r="F387" s="221">
        <v>172000</v>
      </c>
      <c r="G387" s="221">
        <v>172000</v>
      </c>
      <c r="H387" s="149" t="str">
        <f t="shared" si="6"/>
        <v>07020110080040</v>
      </c>
    </row>
    <row r="388" spans="1:8" ht="25.5">
      <c r="A388" s="229" t="s">
        <v>456</v>
      </c>
      <c r="B388" s="141" t="s">
        <v>252</v>
      </c>
      <c r="C388" s="141" t="s">
        <v>515</v>
      </c>
      <c r="D388" s="141" t="s">
        <v>973</v>
      </c>
      <c r="E388" s="141" t="s">
        <v>457</v>
      </c>
      <c r="F388" s="221">
        <v>172000</v>
      </c>
      <c r="G388" s="221">
        <v>172000</v>
      </c>
      <c r="H388" s="149" t="str">
        <f t="shared" si="6"/>
        <v>07020110080040330</v>
      </c>
    </row>
    <row r="389" spans="1:8" ht="76.5">
      <c r="A389" s="216" t="s">
        <v>749</v>
      </c>
      <c r="B389" s="141" t="s">
        <v>252</v>
      </c>
      <c r="C389" s="141" t="s">
        <v>515</v>
      </c>
      <c r="D389" s="141" t="s">
        <v>972</v>
      </c>
      <c r="E389" s="141"/>
      <c r="F389" s="221">
        <v>35000</v>
      </c>
      <c r="G389" s="221">
        <v>35000</v>
      </c>
      <c r="H389" s="149" t="str">
        <f t="shared" si="6"/>
        <v>0702011008П020</v>
      </c>
    </row>
    <row r="390" spans="1:8" ht="38.25">
      <c r="A390" s="229" t="s">
        <v>445</v>
      </c>
      <c r="B390" s="141" t="s">
        <v>252</v>
      </c>
      <c r="C390" s="141" t="s">
        <v>515</v>
      </c>
      <c r="D390" s="141" t="s">
        <v>972</v>
      </c>
      <c r="E390" s="141" t="s">
        <v>446</v>
      </c>
      <c r="F390" s="221">
        <v>35000</v>
      </c>
      <c r="G390" s="221">
        <v>35000</v>
      </c>
      <c r="H390" s="149" t="str">
        <f t="shared" si="6"/>
        <v>0702011008П020244</v>
      </c>
    </row>
    <row r="391" spans="1:8" ht="76.5">
      <c r="A391" s="216" t="s">
        <v>527</v>
      </c>
      <c r="B391" s="141" t="s">
        <v>252</v>
      </c>
      <c r="C391" s="141" t="s">
        <v>515</v>
      </c>
      <c r="D391" s="141" t="s">
        <v>975</v>
      </c>
      <c r="E391" s="141"/>
      <c r="F391" s="221">
        <v>53010</v>
      </c>
      <c r="G391" s="221">
        <v>53010</v>
      </c>
      <c r="H391" s="149" t="str">
        <f t="shared" si="6"/>
        <v>07020930080010</v>
      </c>
    </row>
    <row r="392" spans="1:8" ht="25.5">
      <c r="A392" s="216" t="s">
        <v>1617</v>
      </c>
      <c r="B392" s="141" t="s">
        <v>252</v>
      </c>
      <c r="C392" s="141" t="s">
        <v>515</v>
      </c>
      <c r="D392" s="141" t="s">
        <v>975</v>
      </c>
      <c r="E392" s="141" t="s">
        <v>509</v>
      </c>
      <c r="F392" s="221">
        <v>5220</v>
      </c>
      <c r="G392" s="221">
        <v>5220</v>
      </c>
      <c r="H392" s="149" t="str">
        <f t="shared" si="6"/>
        <v>07020930080010112</v>
      </c>
    </row>
    <row r="393" spans="1:8" ht="51">
      <c r="A393" s="216" t="s">
        <v>1619</v>
      </c>
      <c r="B393" s="141" t="s">
        <v>252</v>
      </c>
      <c r="C393" s="141" t="s">
        <v>515</v>
      </c>
      <c r="D393" s="141" t="s">
        <v>975</v>
      </c>
      <c r="E393" s="141" t="s">
        <v>1295</v>
      </c>
      <c r="F393" s="221">
        <v>6780</v>
      </c>
      <c r="G393" s="221">
        <v>6780</v>
      </c>
      <c r="H393" s="149" t="str">
        <f t="shared" si="6"/>
        <v>07020930080010113</v>
      </c>
    </row>
    <row r="394" spans="1:8" ht="38.25">
      <c r="A394" s="229" t="s">
        <v>445</v>
      </c>
      <c r="B394" s="141" t="s">
        <v>252</v>
      </c>
      <c r="C394" s="141" t="s">
        <v>515</v>
      </c>
      <c r="D394" s="141" t="s">
        <v>975</v>
      </c>
      <c r="E394" s="141" t="s">
        <v>446</v>
      </c>
      <c r="F394" s="221">
        <v>41010</v>
      </c>
      <c r="G394" s="221">
        <v>41010</v>
      </c>
      <c r="H394" s="149" t="str">
        <f t="shared" si="6"/>
        <v>07020930080010244</v>
      </c>
    </row>
    <row r="395" spans="1:8">
      <c r="A395" s="216" t="s">
        <v>1442</v>
      </c>
      <c r="B395" s="141" t="s">
        <v>252</v>
      </c>
      <c r="C395" s="141" t="s">
        <v>1443</v>
      </c>
      <c r="D395" s="141"/>
      <c r="E395" s="141"/>
      <c r="F395" s="221">
        <v>35558746</v>
      </c>
      <c r="G395" s="221">
        <v>35558746</v>
      </c>
      <c r="H395" s="149" t="str">
        <f t="shared" si="6"/>
        <v>0703</v>
      </c>
    </row>
    <row r="396" spans="1:8" ht="140.25">
      <c r="A396" s="229" t="s">
        <v>534</v>
      </c>
      <c r="B396" s="141" t="s">
        <v>252</v>
      </c>
      <c r="C396" s="141" t="s">
        <v>1443</v>
      </c>
      <c r="D396" s="141" t="s">
        <v>963</v>
      </c>
      <c r="E396" s="141"/>
      <c r="F396" s="221">
        <v>28726102</v>
      </c>
      <c r="G396" s="221">
        <v>28726102</v>
      </c>
      <c r="H396" s="149" t="str">
        <f t="shared" si="6"/>
        <v>07030110040030</v>
      </c>
    </row>
    <row r="397" spans="1:8">
      <c r="A397" s="216" t="s">
        <v>1603</v>
      </c>
      <c r="B397" s="141" t="s">
        <v>252</v>
      </c>
      <c r="C397" s="141" t="s">
        <v>1443</v>
      </c>
      <c r="D397" s="141" t="s">
        <v>963</v>
      </c>
      <c r="E397" s="141" t="s">
        <v>460</v>
      </c>
      <c r="F397" s="221">
        <v>12840000</v>
      </c>
      <c r="G397" s="221">
        <v>12840000</v>
      </c>
      <c r="H397" s="149" t="str">
        <f t="shared" si="6"/>
        <v>07030110040030111</v>
      </c>
    </row>
    <row r="398" spans="1:8" ht="25.5">
      <c r="A398" s="216" t="s">
        <v>1617</v>
      </c>
      <c r="B398" s="141" t="s">
        <v>252</v>
      </c>
      <c r="C398" s="141" t="s">
        <v>1443</v>
      </c>
      <c r="D398" s="141" t="s">
        <v>963</v>
      </c>
      <c r="E398" s="141" t="s">
        <v>509</v>
      </c>
      <c r="F398" s="221">
        <v>120000</v>
      </c>
      <c r="G398" s="221">
        <v>120000</v>
      </c>
      <c r="H398" s="149" t="str">
        <f t="shared" si="6"/>
        <v>07030110040030112</v>
      </c>
    </row>
    <row r="399" spans="1:8" ht="51">
      <c r="A399" s="216" t="s">
        <v>1604</v>
      </c>
      <c r="B399" s="141" t="s">
        <v>252</v>
      </c>
      <c r="C399" s="141" t="s">
        <v>1443</v>
      </c>
      <c r="D399" s="141" t="s">
        <v>963</v>
      </c>
      <c r="E399" s="141" t="s">
        <v>1290</v>
      </c>
      <c r="F399" s="221">
        <v>3877680</v>
      </c>
      <c r="G399" s="221">
        <v>3877680</v>
      </c>
      <c r="H399" s="149" t="str">
        <f t="shared" si="6"/>
        <v>07030110040030119</v>
      </c>
    </row>
    <row r="400" spans="1:8" ht="38.25">
      <c r="A400" s="216" t="s">
        <v>445</v>
      </c>
      <c r="B400" s="141" t="s">
        <v>252</v>
      </c>
      <c r="C400" s="141" t="s">
        <v>1443</v>
      </c>
      <c r="D400" s="141" t="s">
        <v>963</v>
      </c>
      <c r="E400" s="141" t="s">
        <v>446</v>
      </c>
      <c r="F400" s="221">
        <v>716990</v>
      </c>
      <c r="G400" s="221">
        <v>716990</v>
      </c>
      <c r="H400" s="149" t="str">
        <f t="shared" si="6"/>
        <v>07030110040030244</v>
      </c>
    </row>
    <row r="401" spans="1:8" ht="76.5">
      <c r="A401" s="216" t="s">
        <v>465</v>
      </c>
      <c r="B401" s="141" t="s">
        <v>252</v>
      </c>
      <c r="C401" s="141" t="s">
        <v>1443</v>
      </c>
      <c r="D401" s="141" t="s">
        <v>963</v>
      </c>
      <c r="E401" s="141" t="s">
        <v>466</v>
      </c>
      <c r="F401" s="221">
        <v>11171432</v>
      </c>
      <c r="G401" s="221">
        <v>11171432</v>
      </c>
      <c r="H401" s="149" t="str">
        <f t="shared" si="6"/>
        <v>07030110040030611</v>
      </c>
    </row>
    <row r="402" spans="1:8" ht="191.25">
      <c r="A402" s="216" t="s">
        <v>741</v>
      </c>
      <c r="B402" s="141" t="s">
        <v>252</v>
      </c>
      <c r="C402" s="141" t="s">
        <v>1443</v>
      </c>
      <c r="D402" s="141" t="s">
        <v>964</v>
      </c>
      <c r="E402" s="141"/>
      <c r="F402" s="221">
        <v>2695400</v>
      </c>
      <c r="G402" s="221">
        <v>2695400</v>
      </c>
      <c r="H402" s="149" t="str">
        <f t="shared" si="6"/>
        <v>07030110041030</v>
      </c>
    </row>
    <row r="403" spans="1:8">
      <c r="A403" s="216" t="s">
        <v>1603</v>
      </c>
      <c r="B403" s="141" t="s">
        <v>252</v>
      </c>
      <c r="C403" s="141" t="s">
        <v>1443</v>
      </c>
      <c r="D403" s="141" t="s">
        <v>964</v>
      </c>
      <c r="E403" s="141" t="s">
        <v>460</v>
      </c>
      <c r="F403" s="221">
        <v>1839800</v>
      </c>
      <c r="G403" s="221">
        <v>1839800</v>
      </c>
      <c r="H403" s="149" t="str">
        <f t="shared" si="6"/>
        <v>07030110041030111</v>
      </c>
    </row>
    <row r="404" spans="1:8" ht="51">
      <c r="A404" s="216" t="s">
        <v>1604</v>
      </c>
      <c r="B404" s="141" t="s">
        <v>252</v>
      </c>
      <c r="C404" s="141" t="s">
        <v>1443</v>
      </c>
      <c r="D404" s="141" t="s">
        <v>964</v>
      </c>
      <c r="E404" s="141" t="s">
        <v>1290</v>
      </c>
      <c r="F404" s="221">
        <v>555600</v>
      </c>
      <c r="G404" s="221">
        <v>555600</v>
      </c>
      <c r="H404" s="149" t="str">
        <f t="shared" si="6"/>
        <v>07030110041030119</v>
      </c>
    </row>
    <row r="405" spans="1:8" ht="76.5">
      <c r="A405" s="216" t="s">
        <v>465</v>
      </c>
      <c r="B405" s="141" t="s">
        <v>252</v>
      </c>
      <c r="C405" s="141" t="s">
        <v>1443</v>
      </c>
      <c r="D405" s="141" t="s">
        <v>964</v>
      </c>
      <c r="E405" s="141" t="s">
        <v>466</v>
      </c>
      <c r="F405" s="221">
        <v>300000</v>
      </c>
      <c r="G405" s="221">
        <v>300000</v>
      </c>
      <c r="H405" s="149" t="str">
        <f t="shared" si="6"/>
        <v>07030110041030611</v>
      </c>
    </row>
    <row r="406" spans="1:8" ht="153">
      <c r="A406" s="216" t="s">
        <v>742</v>
      </c>
      <c r="B406" s="141" t="s">
        <v>252</v>
      </c>
      <c r="C406" s="141" t="s">
        <v>1443</v>
      </c>
      <c r="D406" s="141" t="s">
        <v>965</v>
      </c>
      <c r="E406" s="141"/>
      <c r="F406" s="221">
        <v>69532</v>
      </c>
      <c r="G406" s="221">
        <v>69532</v>
      </c>
      <c r="H406" s="149" t="str">
        <f t="shared" si="6"/>
        <v>07030110045030</v>
      </c>
    </row>
    <row r="407" spans="1:8">
      <c r="A407" s="216" t="s">
        <v>1603</v>
      </c>
      <c r="B407" s="141" t="s">
        <v>252</v>
      </c>
      <c r="C407" s="141" t="s">
        <v>1443</v>
      </c>
      <c r="D407" s="141" t="s">
        <v>965</v>
      </c>
      <c r="E407" s="141" t="s">
        <v>460</v>
      </c>
      <c r="F407" s="221">
        <v>13404</v>
      </c>
      <c r="G407" s="221">
        <v>13404</v>
      </c>
      <c r="H407" s="149" t="str">
        <f t="shared" si="6"/>
        <v>07030110045030111</v>
      </c>
    </row>
    <row r="408" spans="1:8" ht="51">
      <c r="A408" s="216" t="s">
        <v>1604</v>
      </c>
      <c r="B408" s="141" t="s">
        <v>252</v>
      </c>
      <c r="C408" s="141" t="s">
        <v>1443</v>
      </c>
      <c r="D408" s="141" t="s">
        <v>965</v>
      </c>
      <c r="E408" s="141" t="s">
        <v>1290</v>
      </c>
      <c r="F408" s="285">
        <v>4048</v>
      </c>
      <c r="G408" s="221">
        <v>4048</v>
      </c>
      <c r="H408" s="149" t="str">
        <f t="shared" si="6"/>
        <v>07030110045030119</v>
      </c>
    </row>
    <row r="409" spans="1:8" ht="76.5">
      <c r="A409" s="216" t="s">
        <v>465</v>
      </c>
      <c r="B409" s="141" t="s">
        <v>252</v>
      </c>
      <c r="C409" s="141" t="s">
        <v>1443</v>
      </c>
      <c r="D409" s="141" t="s">
        <v>965</v>
      </c>
      <c r="E409" s="141" t="s">
        <v>466</v>
      </c>
      <c r="F409" s="221">
        <v>52080</v>
      </c>
      <c r="G409" s="221">
        <v>52080</v>
      </c>
      <c r="H409" s="149" t="str">
        <f t="shared" si="6"/>
        <v>07030110045030611</v>
      </c>
    </row>
    <row r="410" spans="1:8" ht="140.25">
      <c r="A410" s="216" t="s">
        <v>744</v>
      </c>
      <c r="B410" s="141" t="s">
        <v>252</v>
      </c>
      <c r="C410" s="141" t="s">
        <v>1443</v>
      </c>
      <c r="D410" s="141" t="s">
        <v>968</v>
      </c>
      <c r="E410" s="141"/>
      <c r="F410" s="221">
        <v>280000</v>
      </c>
      <c r="G410" s="221">
        <v>280000</v>
      </c>
      <c r="H410" s="149" t="str">
        <f t="shared" si="6"/>
        <v>07030110047030</v>
      </c>
    </row>
    <row r="411" spans="1:8" ht="25.5">
      <c r="A411" s="216" t="s">
        <v>1617</v>
      </c>
      <c r="B411" s="141" t="s">
        <v>252</v>
      </c>
      <c r="C411" s="141" t="s">
        <v>1443</v>
      </c>
      <c r="D411" s="141" t="s">
        <v>968</v>
      </c>
      <c r="E411" s="141" t="s">
        <v>509</v>
      </c>
      <c r="F411" s="221">
        <v>200000</v>
      </c>
      <c r="G411" s="221">
        <v>200000</v>
      </c>
      <c r="H411" s="149" t="str">
        <f t="shared" si="6"/>
        <v>07030110047030112</v>
      </c>
    </row>
    <row r="412" spans="1:8" ht="25.5">
      <c r="A412" s="216" t="s">
        <v>484</v>
      </c>
      <c r="B412" s="141" t="s">
        <v>252</v>
      </c>
      <c r="C412" s="141" t="s">
        <v>1443</v>
      </c>
      <c r="D412" s="141" t="s">
        <v>968</v>
      </c>
      <c r="E412" s="141" t="s">
        <v>485</v>
      </c>
      <c r="F412" s="221">
        <v>80000</v>
      </c>
      <c r="G412" s="221">
        <v>80000</v>
      </c>
      <c r="H412" s="149" t="str">
        <f t="shared" si="6"/>
        <v>07030110047030612</v>
      </c>
    </row>
    <row r="413" spans="1:8" ht="153">
      <c r="A413" s="216" t="s">
        <v>746</v>
      </c>
      <c r="B413" s="141" t="s">
        <v>252</v>
      </c>
      <c r="C413" s="141" t="s">
        <v>1443</v>
      </c>
      <c r="D413" s="141" t="s">
        <v>969</v>
      </c>
      <c r="E413" s="141"/>
      <c r="F413" s="221">
        <v>2157992</v>
      </c>
      <c r="G413" s="221">
        <v>2157992</v>
      </c>
      <c r="H413" s="149" t="str">
        <f t="shared" si="6"/>
        <v>0703011004Г030</v>
      </c>
    </row>
    <row r="414" spans="1:8" ht="38.25">
      <c r="A414" s="216" t="s">
        <v>445</v>
      </c>
      <c r="B414" s="141" t="s">
        <v>252</v>
      </c>
      <c r="C414" s="141" t="s">
        <v>1443</v>
      </c>
      <c r="D414" s="141" t="s">
        <v>969</v>
      </c>
      <c r="E414" s="141" t="s">
        <v>446</v>
      </c>
      <c r="F414" s="221">
        <v>975968</v>
      </c>
      <c r="G414" s="221">
        <v>975968</v>
      </c>
      <c r="H414" s="149" t="str">
        <f t="shared" si="6"/>
        <v>0703011004Г030244</v>
      </c>
    </row>
    <row r="415" spans="1:8" ht="76.5">
      <c r="A415" s="216" t="s">
        <v>465</v>
      </c>
      <c r="B415" s="141" t="s">
        <v>252</v>
      </c>
      <c r="C415" s="141" t="s">
        <v>1443</v>
      </c>
      <c r="D415" s="141" t="s">
        <v>969</v>
      </c>
      <c r="E415" s="141" t="s">
        <v>466</v>
      </c>
      <c r="F415" s="221">
        <v>1182024</v>
      </c>
      <c r="G415" s="221">
        <v>1182024</v>
      </c>
      <c r="H415" s="149" t="str">
        <f t="shared" si="6"/>
        <v>0703011004Г030611</v>
      </c>
    </row>
    <row r="416" spans="1:8" ht="127.5">
      <c r="A416" s="216" t="s">
        <v>1189</v>
      </c>
      <c r="B416" s="141" t="s">
        <v>252</v>
      </c>
      <c r="C416" s="141" t="s">
        <v>1443</v>
      </c>
      <c r="D416" s="141" t="s">
        <v>1190</v>
      </c>
      <c r="E416" s="141"/>
      <c r="F416" s="221">
        <v>429720</v>
      </c>
      <c r="G416" s="221">
        <v>429720</v>
      </c>
      <c r="H416" s="149" t="str">
        <f t="shared" si="6"/>
        <v>0703011004Э030</v>
      </c>
    </row>
    <row r="417" spans="1:8" ht="38.25">
      <c r="A417" s="216" t="s">
        <v>445</v>
      </c>
      <c r="B417" s="141" t="s">
        <v>252</v>
      </c>
      <c r="C417" s="141" t="s">
        <v>1443</v>
      </c>
      <c r="D417" s="141" t="s">
        <v>1190</v>
      </c>
      <c r="E417" s="141" t="s">
        <v>446</v>
      </c>
      <c r="F417" s="221">
        <v>269380</v>
      </c>
      <c r="G417" s="221">
        <v>269380</v>
      </c>
      <c r="H417" s="149" t="str">
        <f t="shared" si="6"/>
        <v>0703011004Э030244</v>
      </c>
    </row>
    <row r="418" spans="1:8" ht="76.5">
      <c r="A418" s="216" t="s">
        <v>465</v>
      </c>
      <c r="B418" s="141" t="s">
        <v>252</v>
      </c>
      <c r="C418" s="141" t="s">
        <v>1443</v>
      </c>
      <c r="D418" s="141" t="s">
        <v>1190</v>
      </c>
      <c r="E418" s="141" t="s">
        <v>466</v>
      </c>
      <c r="F418" s="221">
        <v>160340</v>
      </c>
      <c r="G418" s="221">
        <v>160340</v>
      </c>
      <c r="H418" s="149" t="str">
        <f t="shared" si="6"/>
        <v>0703011004Э030611</v>
      </c>
    </row>
    <row r="419" spans="1:8" ht="89.25">
      <c r="A419" s="216" t="s">
        <v>531</v>
      </c>
      <c r="B419" s="141" t="s">
        <v>252</v>
      </c>
      <c r="C419" s="141" t="s">
        <v>1443</v>
      </c>
      <c r="D419" s="141" t="s">
        <v>970</v>
      </c>
      <c r="E419" s="141"/>
      <c r="F419" s="221">
        <v>1200000</v>
      </c>
      <c r="G419" s="221">
        <v>1200000</v>
      </c>
      <c r="H419" s="149" t="str">
        <f t="shared" si="6"/>
        <v>07030110080020</v>
      </c>
    </row>
    <row r="420" spans="1:8" ht="38.25">
      <c r="A420" s="216" t="s">
        <v>445</v>
      </c>
      <c r="B420" s="141" t="s">
        <v>252</v>
      </c>
      <c r="C420" s="141" t="s">
        <v>1443</v>
      </c>
      <c r="D420" s="141" t="s">
        <v>970</v>
      </c>
      <c r="E420" s="141" t="s">
        <v>446</v>
      </c>
      <c r="F420" s="221">
        <v>83000</v>
      </c>
      <c r="G420" s="221">
        <v>83000</v>
      </c>
      <c r="H420" s="149" t="str">
        <f t="shared" si="6"/>
        <v>07030110080020244</v>
      </c>
    </row>
    <row r="421" spans="1:8" ht="25.5">
      <c r="A421" s="216" t="s">
        <v>484</v>
      </c>
      <c r="B421" s="141" t="s">
        <v>252</v>
      </c>
      <c r="C421" s="141" t="s">
        <v>1443</v>
      </c>
      <c r="D421" s="141" t="s">
        <v>970</v>
      </c>
      <c r="E421" s="141" t="s">
        <v>485</v>
      </c>
      <c r="F421" s="221">
        <v>1117000</v>
      </c>
      <c r="G421" s="221">
        <v>1117000</v>
      </c>
      <c r="H421" s="149" t="str">
        <f t="shared" si="6"/>
        <v>07030110080020612</v>
      </c>
    </row>
    <row r="422" spans="1:8">
      <c r="A422" s="216" t="s">
        <v>1440</v>
      </c>
      <c r="B422" s="141" t="s">
        <v>252</v>
      </c>
      <c r="C422" s="141" t="s">
        <v>483</v>
      </c>
      <c r="D422" s="141"/>
      <c r="E422" s="141"/>
      <c r="F422" s="221">
        <v>11478162</v>
      </c>
      <c r="G422" s="221">
        <v>11478162</v>
      </c>
      <c r="H422" s="149" t="str">
        <f t="shared" si="6"/>
        <v>0707</v>
      </c>
    </row>
    <row r="423" spans="1:8" ht="140.25">
      <c r="A423" s="216" t="s">
        <v>537</v>
      </c>
      <c r="B423" s="141" t="s">
        <v>252</v>
      </c>
      <c r="C423" s="141" t="s">
        <v>483</v>
      </c>
      <c r="D423" s="141" t="s">
        <v>976</v>
      </c>
      <c r="E423" s="141"/>
      <c r="F423" s="221">
        <v>877000</v>
      </c>
      <c r="G423" s="221">
        <v>877000</v>
      </c>
      <c r="H423" s="149" t="str">
        <f t="shared" si="6"/>
        <v>07070110040040</v>
      </c>
    </row>
    <row r="424" spans="1:8" ht="76.5">
      <c r="A424" s="216" t="s">
        <v>465</v>
      </c>
      <c r="B424" s="141" t="s">
        <v>252</v>
      </c>
      <c r="C424" s="141" t="s">
        <v>483</v>
      </c>
      <c r="D424" s="141" t="s">
        <v>976</v>
      </c>
      <c r="E424" s="141" t="s">
        <v>466</v>
      </c>
      <c r="F424" s="221">
        <v>877000</v>
      </c>
      <c r="G424" s="221">
        <v>877000</v>
      </c>
      <c r="H424" s="149" t="str">
        <f t="shared" si="6"/>
        <v>07070110040040611</v>
      </c>
    </row>
    <row r="425" spans="1:8" ht="191.25">
      <c r="A425" s="216" t="s">
        <v>538</v>
      </c>
      <c r="B425" s="141" t="s">
        <v>252</v>
      </c>
      <c r="C425" s="141" t="s">
        <v>483</v>
      </c>
      <c r="D425" s="141" t="s">
        <v>977</v>
      </c>
      <c r="E425" s="141"/>
      <c r="F425" s="221">
        <v>622500</v>
      </c>
      <c r="G425" s="221">
        <v>622500</v>
      </c>
      <c r="H425" s="149" t="str">
        <f t="shared" si="6"/>
        <v>07070110041040</v>
      </c>
    </row>
    <row r="426" spans="1:8" ht="76.5">
      <c r="A426" s="216" t="s">
        <v>465</v>
      </c>
      <c r="B426" s="141" t="s">
        <v>252</v>
      </c>
      <c r="C426" s="141" t="s">
        <v>483</v>
      </c>
      <c r="D426" s="141" t="s">
        <v>977</v>
      </c>
      <c r="E426" s="141" t="s">
        <v>466</v>
      </c>
      <c r="F426" s="221">
        <v>622500</v>
      </c>
      <c r="G426" s="221">
        <v>622500</v>
      </c>
      <c r="H426" s="149" t="str">
        <f t="shared" si="6"/>
        <v>07070110041040611</v>
      </c>
    </row>
    <row r="427" spans="1:8" ht="153">
      <c r="A427" s="216" t="s">
        <v>978</v>
      </c>
      <c r="B427" s="141" t="s">
        <v>252</v>
      </c>
      <c r="C427" s="141" t="s">
        <v>483</v>
      </c>
      <c r="D427" s="141" t="s">
        <v>979</v>
      </c>
      <c r="E427" s="141"/>
      <c r="F427" s="221">
        <v>30000</v>
      </c>
      <c r="G427" s="221">
        <v>30000</v>
      </c>
      <c r="H427" s="149" t="str">
        <f t="shared" si="6"/>
        <v>07070110047040</v>
      </c>
    </row>
    <row r="428" spans="1:8" ht="25.5">
      <c r="A428" s="216" t="s">
        <v>484</v>
      </c>
      <c r="B428" s="141" t="s">
        <v>252</v>
      </c>
      <c r="C428" s="141" t="s">
        <v>483</v>
      </c>
      <c r="D428" s="141" t="s">
        <v>979</v>
      </c>
      <c r="E428" s="141" t="s">
        <v>485</v>
      </c>
      <c r="F428" s="221">
        <v>30000</v>
      </c>
      <c r="G428" s="221">
        <v>30000</v>
      </c>
      <c r="H428" s="149" t="str">
        <f t="shared" si="6"/>
        <v>07070110047040612</v>
      </c>
    </row>
    <row r="429" spans="1:8" ht="153">
      <c r="A429" s="216" t="s">
        <v>1622</v>
      </c>
      <c r="B429" s="141" t="s">
        <v>252</v>
      </c>
      <c r="C429" s="141" t="s">
        <v>483</v>
      </c>
      <c r="D429" s="141" t="s">
        <v>1623</v>
      </c>
      <c r="E429" s="141"/>
      <c r="F429" s="221">
        <v>45000</v>
      </c>
      <c r="G429" s="221">
        <v>45000</v>
      </c>
      <c r="H429" s="149" t="str">
        <f t="shared" si="6"/>
        <v>0707011004Г040</v>
      </c>
    </row>
    <row r="430" spans="1:8" ht="76.5">
      <c r="A430" s="216" t="s">
        <v>465</v>
      </c>
      <c r="B430" s="141" t="s">
        <v>252</v>
      </c>
      <c r="C430" s="141" t="s">
        <v>483</v>
      </c>
      <c r="D430" s="141" t="s">
        <v>1623</v>
      </c>
      <c r="E430" s="141" t="s">
        <v>466</v>
      </c>
      <c r="F430" s="221">
        <v>45000</v>
      </c>
      <c r="G430" s="221">
        <v>45000</v>
      </c>
      <c r="H430" s="149" t="str">
        <f t="shared" ref="H430:H495" si="7">CONCATENATE(C430,,D430,E430)</f>
        <v>0707011004Г040611</v>
      </c>
    </row>
    <row r="431" spans="1:8" ht="140.25">
      <c r="A431" s="216" t="s">
        <v>1624</v>
      </c>
      <c r="B431" s="141" t="s">
        <v>252</v>
      </c>
      <c r="C431" s="141" t="s">
        <v>483</v>
      </c>
      <c r="D431" s="141" t="s">
        <v>1625</v>
      </c>
      <c r="E431" s="141"/>
      <c r="F431" s="221">
        <v>307860</v>
      </c>
      <c r="G431" s="221">
        <v>307860</v>
      </c>
      <c r="H431" s="149" t="str">
        <f t="shared" si="7"/>
        <v>0707011004Э040</v>
      </c>
    </row>
    <row r="432" spans="1:8" ht="76.5">
      <c r="A432" s="216" t="s">
        <v>465</v>
      </c>
      <c r="B432" s="141" t="s">
        <v>252</v>
      </c>
      <c r="C432" s="141" t="s">
        <v>483</v>
      </c>
      <c r="D432" s="141" t="s">
        <v>1625</v>
      </c>
      <c r="E432" s="141" t="s">
        <v>466</v>
      </c>
      <c r="F432" s="221">
        <v>307860</v>
      </c>
      <c r="G432" s="221">
        <v>307860</v>
      </c>
      <c r="H432" s="149" t="str">
        <f t="shared" si="7"/>
        <v>0707011004Э040611</v>
      </c>
    </row>
    <row r="433" spans="1:8" ht="76.5">
      <c r="A433" s="216" t="s">
        <v>1312</v>
      </c>
      <c r="B433" s="141" t="s">
        <v>252</v>
      </c>
      <c r="C433" s="141" t="s">
        <v>483</v>
      </c>
      <c r="D433" s="141" t="s">
        <v>1313</v>
      </c>
      <c r="E433" s="141"/>
      <c r="F433" s="221">
        <v>6423600</v>
      </c>
      <c r="G433" s="221">
        <v>6423600</v>
      </c>
      <c r="H433" s="149" t="str">
        <f t="shared" si="7"/>
        <v>07070110073970</v>
      </c>
    </row>
    <row r="434" spans="1:8" ht="38.25">
      <c r="A434" s="216" t="s">
        <v>445</v>
      </c>
      <c r="B434" s="141" t="s">
        <v>252</v>
      </c>
      <c r="C434" s="141" t="s">
        <v>483</v>
      </c>
      <c r="D434" s="141" t="s">
        <v>1313</v>
      </c>
      <c r="E434" s="141" t="s">
        <v>446</v>
      </c>
      <c r="F434" s="221">
        <v>4548700</v>
      </c>
      <c r="G434" s="221">
        <v>4548700</v>
      </c>
      <c r="H434" s="149" t="str">
        <f t="shared" si="7"/>
        <v>07070110073970244</v>
      </c>
    </row>
    <row r="435" spans="1:8" ht="76.5">
      <c r="A435" s="216" t="s">
        <v>465</v>
      </c>
      <c r="B435" s="141" t="s">
        <v>252</v>
      </c>
      <c r="C435" s="141" t="s">
        <v>483</v>
      </c>
      <c r="D435" s="141" t="s">
        <v>1313</v>
      </c>
      <c r="E435" s="141" t="s">
        <v>466</v>
      </c>
      <c r="F435" s="221">
        <v>1874900</v>
      </c>
      <c r="G435" s="221">
        <v>1874900</v>
      </c>
      <c r="H435" s="149" t="str">
        <f t="shared" si="7"/>
        <v>07070110073970611</v>
      </c>
    </row>
    <row r="436" spans="1:8" ht="102">
      <c r="A436" s="216" t="s">
        <v>982</v>
      </c>
      <c r="B436" s="191" t="s">
        <v>252</v>
      </c>
      <c r="C436" s="191" t="s">
        <v>483</v>
      </c>
      <c r="D436" s="191" t="s">
        <v>983</v>
      </c>
      <c r="E436" s="191"/>
      <c r="F436" s="221">
        <v>2915402</v>
      </c>
      <c r="G436" s="221">
        <v>2915402</v>
      </c>
      <c r="H436" s="149" t="str">
        <f t="shared" si="7"/>
        <v>070701100S3970</v>
      </c>
    </row>
    <row r="437" spans="1:8" ht="38.25">
      <c r="A437" s="216" t="s">
        <v>445</v>
      </c>
      <c r="B437" s="191" t="s">
        <v>252</v>
      </c>
      <c r="C437" s="191" t="s">
        <v>483</v>
      </c>
      <c r="D437" s="191" t="s">
        <v>983</v>
      </c>
      <c r="E437" s="191" t="s">
        <v>446</v>
      </c>
      <c r="F437" s="225">
        <v>2092402</v>
      </c>
      <c r="G437" s="225">
        <v>2092402</v>
      </c>
      <c r="H437" s="149" t="str">
        <f t="shared" si="7"/>
        <v>070701100S3970244</v>
      </c>
    </row>
    <row r="438" spans="1:8" ht="76.5">
      <c r="A438" s="216" t="s">
        <v>465</v>
      </c>
      <c r="B438" s="191" t="s">
        <v>252</v>
      </c>
      <c r="C438" s="191" t="s">
        <v>483</v>
      </c>
      <c r="D438" s="191" t="s">
        <v>983</v>
      </c>
      <c r="E438" s="191" t="s">
        <v>466</v>
      </c>
      <c r="F438" s="225">
        <v>823000</v>
      </c>
      <c r="G438" s="225">
        <v>823000</v>
      </c>
      <c r="H438" s="149"/>
    </row>
    <row r="439" spans="1:8" ht="89.25">
      <c r="A439" s="54" t="s">
        <v>776</v>
      </c>
      <c r="B439" s="272" t="s">
        <v>252</v>
      </c>
      <c r="C439" s="272" t="s">
        <v>483</v>
      </c>
      <c r="D439" s="202" t="s">
        <v>1588</v>
      </c>
      <c r="E439" s="273"/>
      <c r="F439" s="286">
        <v>62450</v>
      </c>
      <c r="G439" s="225">
        <v>62450</v>
      </c>
      <c r="H439" s="149" t="str">
        <f t="shared" ref="H439:H441" si="8">CONCATENATE(C439,,D439,E439)</f>
        <v>07070130080000</v>
      </c>
    </row>
    <row r="440" spans="1:8">
      <c r="A440" s="9" t="s">
        <v>1603</v>
      </c>
      <c r="B440" s="272" t="s">
        <v>252</v>
      </c>
      <c r="C440" s="272" t="s">
        <v>483</v>
      </c>
      <c r="D440" s="202" t="s">
        <v>1588</v>
      </c>
      <c r="E440" s="273" t="s">
        <v>460</v>
      </c>
      <c r="F440" s="286">
        <v>45315</v>
      </c>
      <c r="G440" s="225">
        <v>45315</v>
      </c>
      <c r="H440" s="149" t="str">
        <f t="shared" si="8"/>
        <v>07070130080000111</v>
      </c>
    </row>
    <row r="441" spans="1:8" ht="51">
      <c r="A441" s="54" t="s">
        <v>1604</v>
      </c>
      <c r="B441" s="272" t="s">
        <v>252</v>
      </c>
      <c r="C441" s="272" t="s">
        <v>483</v>
      </c>
      <c r="D441" s="202" t="s">
        <v>1588</v>
      </c>
      <c r="E441" s="273" t="s">
        <v>1290</v>
      </c>
      <c r="F441" s="286">
        <v>13685</v>
      </c>
      <c r="G441" s="225">
        <v>13685</v>
      </c>
      <c r="H441" s="149" t="str">
        <f t="shared" si="8"/>
        <v>07070130080000119</v>
      </c>
    </row>
    <row r="442" spans="1:8" ht="38.25">
      <c r="A442" s="216" t="s">
        <v>445</v>
      </c>
      <c r="B442" s="191" t="s">
        <v>252</v>
      </c>
      <c r="C442" s="191" t="s">
        <v>483</v>
      </c>
      <c r="D442" s="191" t="s">
        <v>1588</v>
      </c>
      <c r="E442" s="191" t="s">
        <v>446</v>
      </c>
      <c r="F442" s="286">
        <v>3450</v>
      </c>
      <c r="G442" s="225">
        <v>3450</v>
      </c>
      <c r="H442" s="149" t="str">
        <f t="shared" si="7"/>
        <v>07070130080000244</v>
      </c>
    </row>
    <row r="443" spans="1:8" ht="114.75">
      <c r="A443" s="216" t="s">
        <v>777</v>
      </c>
      <c r="B443" s="191" t="s">
        <v>252</v>
      </c>
      <c r="C443" s="191" t="s">
        <v>483</v>
      </c>
      <c r="D443" s="191" t="s">
        <v>1589</v>
      </c>
      <c r="E443" s="191"/>
      <c r="F443" s="286">
        <v>194350</v>
      </c>
      <c r="G443" s="225">
        <v>194350</v>
      </c>
      <c r="H443" s="149" t="str">
        <f t="shared" si="7"/>
        <v>0707013008П000</v>
      </c>
    </row>
    <row r="444" spans="1:8" ht="38.25">
      <c r="A444" s="216" t="s">
        <v>445</v>
      </c>
      <c r="B444" s="191" t="s">
        <v>252</v>
      </c>
      <c r="C444" s="191" t="s">
        <v>483</v>
      </c>
      <c r="D444" s="191" t="s">
        <v>1589</v>
      </c>
      <c r="E444" s="191" t="s">
        <v>446</v>
      </c>
      <c r="F444" s="286">
        <v>194350</v>
      </c>
      <c r="G444" s="225">
        <v>194350</v>
      </c>
      <c r="H444" s="149" t="str">
        <f t="shared" si="7"/>
        <v>0707013008П000244</v>
      </c>
    </row>
    <row r="445" spans="1:8">
      <c r="A445" s="216" t="s">
        <v>4</v>
      </c>
      <c r="B445" s="191" t="s">
        <v>252</v>
      </c>
      <c r="C445" s="191" t="s">
        <v>540</v>
      </c>
      <c r="D445" s="191"/>
      <c r="E445" s="191"/>
      <c r="F445" s="225">
        <v>44264073</v>
      </c>
      <c r="G445" s="225">
        <v>44264073</v>
      </c>
      <c r="H445" s="149" t="str">
        <f t="shared" si="7"/>
        <v>0709</v>
      </c>
    </row>
    <row r="446" spans="1:8" ht="89.25">
      <c r="A446" s="216" t="s">
        <v>531</v>
      </c>
      <c r="B446" s="191" t="s">
        <v>252</v>
      </c>
      <c r="C446" s="191" t="s">
        <v>540</v>
      </c>
      <c r="D446" s="191" t="s">
        <v>970</v>
      </c>
      <c r="E446" s="191"/>
      <c r="F446" s="225">
        <v>220000</v>
      </c>
      <c r="G446" s="225">
        <v>220000</v>
      </c>
      <c r="H446" s="149" t="str">
        <f t="shared" si="7"/>
        <v>07090110080020</v>
      </c>
    </row>
    <row r="447" spans="1:8" ht="38.25">
      <c r="A447" s="216" t="s">
        <v>445</v>
      </c>
      <c r="B447" s="191" t="s">
        <v>252</v>
      </c>
      <c r="C447" s="191" t="s">
        <v>540</v>
      </c>
      <c r="D447" s="191" t="s">
        <v>970</v>
      </c>
      <c r="E447" s="191" t="s">
        <v>446</v>
      </c>
      <c r="F447" s="225">
        <v>220000</v>
      </c>
      <c r="G447" s="225">
        <v>220000</v>
      </c>
      <c r="H447" s="149" t="str">
        <f t="shared" si="7"/>
        <v>07090110080020244</v>
      </c>
    </row>
    <row r="448" spans="1:8" ht="72.75" customHeight="1">
      <c r="A448" s="229" t="s">
        <v>541</v>
      </c>
      <c r="B448" s="191" t="s">
        <v>252</v>
      </c>
      <c r="C448" s="191" t="s">
        <v>540</v>
      </c>
      <c r="D448" s="191" t="s">
        <v>1587</v>
      </c>
      <c r="E448" s="191"/>
      <c r="F448" s="225">
        <v>1362700</v>
      </c>
      <c r="G448" s="225">
        <v>1362700</v>
      </c>
      <c r="H448" s="149" t="str">
        <f t="shared" si="7"/>
        <v>07090120075520</v>
      </c>
    </row>
    <row r="449" spans="1:8" ht="25.5">
      <c r="A449" s="216" t="s">
        <v>1165</v>
      </c>
      <c r="B449" s="191" t="s">
        <v>252</v>
      </c>
      <c r="C449" s="191" t="s">
        <v>540</v>
      </c>
      <c r="D449" s="191" t="s">
        <v>1587</v>
      </c>
      <c r="E449" s="191" t="s">
        <v>440</v>
      </c>
      <c r="F449" s="225">
        <v>741928</v>
      </c>
      <c r="G449" s="225">
        <v>741928</v>
      </c>
      <c r="H449" s="149" t="str">
        <f t="shared" si="7"/>
        <v>07090120075520121</v>
      </c>
    </row>
    <row r="450" spans="1:8" ht="51">
      <c r="A450" s="216" t="s">
        <v>441</v>
      </c>
      <c r="B450" s="191" t="s">
        <v>252</v>
      </c>
      <c r="C450" s="191" t="s">
        <v>540</v>
      </c>
      <c r="D450" s="191" t="s">
        <v>1587</v>
      </c>
      <c r="E450" s="191" t="s">
        <v>442</v>
      </c>
      <c r="F450" s="225">
        <v>145000</v>
      </c>
      <c r="G450" s="225">
        <v>145000</v>
      </c>
      <c r="H450" s="149" t="str">
        <f t="shared" si="7"/>
        <v>07090120075520122</v>
      </c>
    </row>
    <row r="451" spans="1:8" ht="63.75">
      <c r="A451" s="216" t="s">
        <v>1288</v>
      </c>
      <c r="B451" s="191" t="s">
        <v>252</v>
      </c>
      <c r="C451" s="191" t="s">
        <v>540</v>
      </c>
      <c r="D451" s="191" t="s">
        <v>1587</v>
      </c>
      <c r="E451" s="191" t="s">
        <v>1289</v>
      </c>
      <c r="F451" s="225">
        <v>224062</v>
      </c>
      <c r="G451" s="225">
        <v>224062</v>
      </c>
      <c r="H451" s="149" t="str">
        <f t="shared" si="7"/>
        <v>07090120075520129</v>
      </c>
    </row>
    <row r="452" spans="1:8" ht="38.25">
      <c r="A452" s="216" t="s">
        <v>445</v>
      </c>
      <c r="B452" s="191" t="s">
        <v>252</v>
      </c>
      <c r="C452" s="191" t="s">
        <v>540</v>
      </c>
      <c r="D452" s="191" t="s">
        <v>1587</v>
      </c>
      <c r="E452" s="191" t="s">
        <v>446</v>
      </c>
      <c r="F452" s="225">
        <v>251710</v>
      </c>
      <c r="G452" s="225">
        <v>251710</v>
      </c>
      <c r="H452" s="149" t="str">
        <f t="shared" si="7"/>
        <v>07090120075520244</v>
      </c>
    </row>
    <row r="453" spans="1:8" ht="102">
      <c r="A453" s="216" t="s">
        <v>778</v>
      </c>
      <c r="B453" s="191" t="s">
        <v>252</v>
      </c>
      <c r="C453" s="191" t="s">
        <v>540</v>
      </c>
      <c r="D453" s="191" t="s">
        <v>1590</v>
      </c>
      <c r="E453" s="191"/>
      <c r="F453" s="225">
        <v>34562776</v>
      </c>
      <c r="G453" s="225">
        <v>34562776</v>
      </c>
      <c r="H453" s="149" t="str">
        <f t="shared" si="7"/>
        <v>07090130040000</v>
      </c>
    </row>
    <row r="454" spans="1:8">
      <c r="A454" s="216" t="s">
        <v>1603</v>
      </c>
      <c r="B454" s="191" t="s">
        <v>252</v>
      </c>
      <c r="C454" s="191" t="s">
        <v>540</v>
      </c>
      <c r="D454" s="191" t="s">
        <v>1590</v>
      </c>
      <c r="E454" s="191" t="s">
        <v>460</v>
      </c>
      <c r="F454" s="225">
        <v>21688000</v>
      </c>
      <c r="G454" s="225">
        <v>21688000</v>
      </c>
      <c r="H454" s="149" t="str">
        <f t="shared" si="7"/>
        <v>07090130040000111</v>
      </c>
    </row>
    <row r="455" spans="1:8" ht="25.5">
      <c r="A455" s="216" t="s">
        <v>1617</v>
      </c>
      <c r="B455" s="191" t="s">
        <v>252</v>
      </c>
      <c r="C455" s="191" t="s">
        <v>540</v>
      </c>
      <c r="D455" s="191" t="s">
        <v>1590</v>
      </c>
      <c r="E455" s="191" t="s">
        <v>509</v>
      </c>
      <c r="F455" s="225">
        <v>325000</v>
      </c>
      <c r="G455" s="225">
        <v>325000</v>
      </c>
      <c r="H455" s="149" t="str">
        <f t="shared" si="7"/>
        <v>07090130040000112</v>
      </c>
    </row>
    <row r="456" spans="1:8" ht="185.25" customHeight="1">
      <c r="A456" s="229" t="s">
        <v>1604</v>
      </c>
      <c r="B456" s="191" t="s">
        <v>252</v>
      </c>
      <c r="C456" s="191" t="s">
        <v>540</v>
      </c>
      <c r="D456" s="191" t="s">
        <v>1590</v>
      </c>
      <c r="E456" s="191" t="s">
        <v>1290</v>
      </c>
      <c r="F456" s="225">
        <v>6549776</v>
      </c>
      <c r="G456" s="225">
        <v>6549776</v>
      </c>
      <c r="H456" s="149" t="str">
        <f t="shared" si="7"/>
        <v>07090130040000119</v>
      </c>
    </row>
    <row r="457" spans="1:8" ht="38.25">
      <c r="A457" s="216" t="s">
        <v>445</v>
      </c>
      <c r="B457" s="191" t="s">
        <v>252</v>
      </c>
      <c r="C457" s="191" t="s">
        <v>540</v>
      </c>
      <c r="D457" s="191" t="s">
        <v>1590</v>
      </c>
      <c r="E457" s="191" t="s">
        <v>446</v>
      </c>
      <c r="F457" s="225">
        <v>6000000</v>
      </c>
      <c r="G457" s="225">
        <v>6000000</v>
      </c>
      <c r="H457" s="149" t="str">
        <f t="shared" si="7"/>
        <v>07090130040000244</v>
      </c>
    </row>
    <row r="458" spans="1:8" ht="186.75" customHeight="1">
      <c r="A458" s="229" t="s">
        <v>779</v>
      </c>
      <c r="B458" s="191" t="s">
        <v>252</v>
      </c>
      <c r="C458" s="191" t="s">
        <v>540</v>
      </c>
      <c r="D458" s="191" t="s">
        <v>1596</v>
      </c>
      <c r="E458" s="191"/>
      <c r="F458" s="225">
        <v>613367</v>
      </c>
      <c r="G458" s="225">
        <v>613367</v>
      </c>
      <c r="H458" s="149" t="str">
        <f t="shared" si="7"/>
        <v>07090130040050</v>
      </c>
    </row>
    <row r="459" spans="1:8">
      <c r="A459" s="216" t="s">
        <v>1603</v>
      </c>
      <c r="B459" s="191" t="s">
        <v>252</v>
      </c>
      <c r="C459" s="191" t="s">
        <v>540</v>
      </c>
      <c r="D459" s="191" t="s">
        <v>1596</v>
      </c>
      <c r="E459" s="191" t="s">
        <v>460</v>
      </c>
      <c r="F459" s="225">
        <v>471096</v>
      </c>
      <c r="G459" s="225">
        <v>471096</v>
      </c>
      <c r="H459" s="149" t="str">
        <f t="shared" si="7"/>
        <v>07090130040050111</v>
      </c>
    </row>
    <row r="460" spans="1:8" ht="51">
      <c r="A460" s="216" t="s">
        <v>1604</v>
      </c>
      <c r="B460" s="191" t="s">
        <v>252</v>
      </c>
      <c r="C460" s="191" t="s">
        <v>540</v>
      </c>
      <c r="D460" s="191" t="s">
        <v>1596</v>
      </c>
      <c r="E460" s="191" t="s">
        <v>1290</v>
      </c>
      <c r="F460" s="225">
        <v>142271</v>
      </c>
      <c r="G460" s="225">
        <v>142271</v>
      </c>
      <c r="H460" s="149" t="str">
        <f t="shared" si="7"/>
        <v>07090130040050119</v>
      </c>
    </row>
    <row r="461" spans="1:8" ht="140.25">
      <c r="A461" s="216" t="s">
        <v>792</v>
      </c>
      <c r="B461" s="191" t="s">
        <v>252</v>
      </c>
      <c r="C461" s="191" t="s">
        <v>540</v>
      </c>
      <c r="D461" s="191" t="s">
        <v>1591</v>
      </c>
      <c r="E461" s="191"/>
      <c r="F461" s="225">
        <v>1060000</v>
      </c>
      <c r="G461" s="225">
        <v>1060000</v>
      </c>
      <c r="H461" s="149" t="str">
        <f t="shared" si="7"/>
        <v>07090130041000</v>
      </c>
    </row>
    <row r="462" spans="1:8">
      <c r="A462" s="216" t="s">
        <v>1603</v>
      </c>
      <c r="B462" s="191" t="s">
        <v>252</v>
      </c>
      <c r="C462" s="191" t="s">
        <v>540</v>
      </c>
      <c r="D462" s="191" t="s">
        <v>1591</v>
      </c>
      <c r="E462" s="191" t="s">
        <v>460</v>
      </c>
      <c r="F462" s="225">
        <v>815000</v>
      </c>
      <c r="G462" s="225">
        <v>815000</v>
      </c>
      <c r="H462" s="149" t="str">
        <f t="shared" si="7"/>
        <v>07090130041000111</v>
      </c>
    </row>
    <row r="463" spans="1:8" ht="51">
      <c r="A463" s="216" t="s">
        <v>1604</v>
      </c>
      <c r="B463" s="287" t="s">
        <v>252</v>
      </c>
      <c r="C463" s="287" t="s">
        <v>540</v>
      </c>
      <c r="D463" s="202" t="s">
        <v>1591</v>
      </c>
      <c r="E463" s="287" t="s">
        <v>1290</v>
      </c>
      <c r="F463" s="225">
        <v>245000</v>
      </c>
      <c r="G463" s="225">
        <v>245000</v>
      </c>
      <c r="H463" s="149" t="str">
        <f t="shared" si="7"/>
        <v>07090130041000119</v>
      </c>
    </row>
    <row r="464" spans="1:8" ht="114.75">
      <c r="A464" s="216" t="s">
        <v>780</v>
      </c>
      <c r="B464" s="287" t="s">
        <v>252</v>
      </c>
      <c r="C464" s="287" t="s">
        <v>540</v>
      </c>
      <c r="D464" s="202" t="s">
        <v>1592</v>
      </c>
      <c r="E464" s="287"/>
      <c r="F464" s="225">
        <v>445000</v>
      </c>
      <c r="G464" s="225">
        <v>445000</v>
      </c>
      <c r="H464" s="149" t="str">
        <f t="shared" si="7"/>
        <v>07090130047000</v>
      </c>
    </row>
    <row r="465" spans="1:8" ht="25.5">
      <c r="A465" s="216" t="s">
        <v>1617</v>
      </c>
      <c r="B465" s="287" t="s">
        <v>252</v>
      </c>
      <c r="C465" s="287" t="s">
        <v>540</v>
      </c>
      <c r="D465" s="202" t="s">
        <v>1592</v>
      </c>
      <c r="E465" s="287" t="s">
        <v>509</v>
      </c>
      <c r="F465" s="225">
        <v>445000</v>
      </c>
      <c r="G465" s="225">
        <v>445000</v>
      </c>
      <c r="H465" s="149" t="str">
        <f t="shared" si="7"/>
        <v>07090130047000112</v>
      </c>
    </row>
    <row r="466" spans="1:8" ht="89.25">
      <c r="A466" s="216" t="s">
        <v>781</v>
      </c>
      <c r="B466" s="287" t="s">
        <v>252</v>
      </c>
      <c r="C466" s="287" t="s">
        <v>540</v>
      </c>
      <c r="D466" s="202" t="s">
        <v>1593</v>
      </c>
      <c r="E466" s="287"/>
      <c r="F466" s="225">
        <v>200000</v>
      </c>
      <c r="G466" s="225">
        <v>200000</v>
      </c>
      <c r="H466" s="149" t="str">
        <f t="shared" si="7"/>
        <v>0709013004Г000</v>
      </c>
    </row>
    <row r="467" spans="1:8" ht="38.25">
      <c r="A467" s="216" t="s">
        <v>445</v>
      </c>
      <c r="B467" s="287" t="s">
        <v>252</v>
      </c>
      <c r="C467" s="287" t="s">
        <v>540</v>
      </c>
      <c r="D467" s="202" t="s">
        <v>1593</v>
      </c>
      <c r="E467" s="287" t="s">
        <v>446</v>
      </c>
      <c r="F467" s="225">
        <v>200000</v>
      </c>
      <c r="G467" s="225">
        <v>200000</v>
      </c>
      <c r="H467" s="149" t="str">
        <f t="shared" si="7"/>
        <v>0709013004Г000244</v>
      </c>
    </row>
    <row r="468" spans="1:8" ht="76.5">
      <c r="A468" s="216" t="s">
        <v>1192</v>
      </c>
      <c r="B468" s="287" t="s">
        <v>252</v>
      </c>
      <c r="C468" s="287" t="s">
        <v>540</v>
      </c>
      <c r="D468" s="202" t="s">
        <v>1626</v>
      </c>
      <c r="E468" s="287"/>
      <c r="F468" s="225">
        <v>1142000</v>
      </c>
      <c r="G468" s="225">
        <v>1142000</v>
      </c>
      <c r="H468" s="149" t="str">
        <f t="shared" si="7"/>
        <v>0709013004Э000</v>
      </c>
    </row>
    <row r="469" spans="1:8" ht="38.25">
      <c r="A469" s="216" t="s">
        <v>445</v>
      </c>
      <c r="B469" s="287" t="s">
        <v>252</v>
      </c>
      <c r="C469" s="287" t="s">
        <v>540</v>
      </c>
      <c r="D469" s="202" t="s">
        <v>1626</v>
      </c>
      <c r="E469" s="287" t="s">
        <v>446</v>
      </c>
      <c r="F469" s="225">
        <v>1142000</v>
      </c>
      <c r="G469" s="225">
        <v>1142000</v>
      </c>
      <c r="H469" s="149" t="str">
        <f t="shared" si="7"/>
        <v>0709013004Э000244</v>
      </c>
    </row>
    <row r="470" spans="1:8" ht="102">
      <c r="A470" s="216" t="s">
        <v>782</v>
      </c>
      <c r="B470" s="287" t="s">
        <v>252</v>
      </c>
      <c r="C470" s="287" t="s">
        <v>540</v>
      </c>
      <c r="D470" s="202" t="s">
        <v>1594</v>
      </c>
      <c r="E470" s="287"/>
      <c r="F470" s="225">
        <v>4450930</v>
      </c>
      <c r="G470" s="225">
        <v>4450930</v>
      </c>
      <c r="H470" s="149" t="str">
        <f t="shared" si="7"/>
        <v>07090130060000</v>
      </c>
    </row>
    <row r="471" spans="1:8" ht="25.5">
      <c r="A471" s="216" t="s">
        <v>1165</v>
      </c>
      <c r="B471" s="287" t="s">
        <v>252</v>
      </c>
      <c r="C471" s="287" t="s">
        <v>540</v>
      </c>
      <c r="D471" s="202" t="s">
        <v>1594</v>
      </c>
      <c r="E471" s="287" t="s">
        <v>440</v>
      </c>
      <c r="F471" s="225">
        <v>3198410</v>
      </c>
      <c r="G471" s="225">
        <v>3198410</v>
      </c>
      <c r="H471" s="149" t="str">
        <f t="shared" si="7"/>
        <v>07090130060000121</v>
      </c>
    </row>
    <row r="472" spans="1:8" ht="51">
      <c r="A472" s="216" t="s">
        <v>441</v>
      </c>
      <c r="B472" s="287" t="s">
        <v>252</v>
      </c>
      <c r="C472" s="287" t="s">
        <v>540</v>
      </c>
      <c r="D472" s="202" t="s">
        <v>1594</v>
      </c>
      <c r="E472" s="287" t="s">
        <v>442</v>
      </c>
      <c r="F472" s="225">
        <v>140000</v>
      </c>
      <c r="G472" s="225">
        <v>140000</v>
      </c>
      <c r="H472" s="149" t="str">
        <f t="shared" si="7"/>
        <v>07090130060000122</v>
      </c>
    </row>
    <row r="473" spans="1:8" ht="63.75">
      <c r="A473" s="216" t="s">
        <v>1288</v>
      </c>
      <c r="B473" s="287" t="s">
        <v>252</v>
      </c>
      <c r="C473" s="202" t="s">
        <v>540</v>
      </c>
      <c r="D473" s="287" t="s">
        <v>1594</v>
      </c>
      <c r="E473" s="287" t="s">
        <v>1289</v>
      </c>
      <c r="F473" s="225">
        <v>965920</v>
      </c>
      <c r="G473" s="225">
        <v>965920</v>
      </c>
      <c r="H473" s="149" t="str">
        <f t="shared" si="7"/>
        <v>07090130060000129</v>
      </c>
    </row>
    <row r="474" spans="1:8" ht="38.25">
      <c r="A474" s="216" t="s">
        <v>445</v>
      </c>
      <c r="B474" s="287" t="s">
        <v>252</v>
      </c>
      <c r="C474" s="287" t="s">
        <v>540</v>
      </c>
      <c r="D474" s="287" t="s">
        <v>1594</v>
      </c>
      <c r="E474" s="287" t="s">
        <v>446</v>
      </c>
      <c r="F474" s="225">
        <v>146600</v>
      </c>
      <c r="G474" s="225">
        <v>146600</v>
      </c>
      <c r="H474" s="149" t="str">
        <f t="shared" si="7"/>
        <v>07090130060000244</v>
      </c>
    </row>
    <row r="475" spans="1:8" ht="127.5">
      <c r="A475" s="216" t="s">
        <v>783</v>
      </c>
      <c r="B475" s="287" t="s">
        <v>252</v>
      </c>
      <c r="C475" s="287" t="s">
        <v>540</v>
      </c>
      <c r="D475" s="287" t="s">
        <v>1595</v>
      </c>
      <c r="E475" s="287"/>
      <c r="F475" s="225">
        <v>207300</v>
      </c>
      <c r="G475" s="225">
        <v>207300</v>
      </c>
      <c r="H475" s="149" t="str">
        <f t="shared" si="7"/>
        <v>07090130067000</v>
      </c>
    </row>
    <row r="476" spans="1:8" ht="51">
      <c r="A476" s="216" t="s">
        <v>441</v>
      </c>
      <c r="B476" s="287" t="s">
        <v>252</v>
      </c>
      <c r="C476" s="287" t="s">
        <v>540</v>
      </c>
      <c r="D476" s="287" t="s">
        <v>1595</v>
      </c>
      <c r="E476" s="287" t="s">
        <v>442</v>
      </c>
      <c r="F476" s="225">
        <v>207300</v>
      </c>
      <c r="G476" s="225">
        <v>207300</v>
      </c>
      <c r="H476" s="149" t="str">
        <f t="shared" si="7"/>
        <v>07090130067000122</v>
      </c>
    </row>
    <row r="477" spans="1:8">
      <c r="A477" s="216" t="s">
        <v>174</v>
      </c>
      <c r="B477" s="287" t="s">
        <v>252</v>
      </c>
      <c r="C477" s="287" t="s">
        <v>1609</v>
      </c>
      <c r="D477" s="287"/>
      <c r="E477" s="287"/>
      <c r="F477" s="225">
        <v>38470800</v>
      </c>
      <c r="G477" s="225">
        <v>38470800</v>
      </c>
      <c r="H477" s="149" t="str">
        <f t="shared" si="7"/>
        <v>1000</v>
      </c>
    </row>
    <row r="478" spans="1:8">
      <c r="A478" s="216" t="s">
        <v>127</v>
      </c>
      <c r="B478" s="287" t="s">
        <v>252</v>
      </c>
      <c r="C478" s="287" t="s">
        <v>496</v>
      </c>
      <c r="D478" s="287"/>
      <c r="E478" s="287"/>
      <c r="F478" s="225">
        <v>28111400</v>
      </c>
      <c r="G478" s="225">
        <v>28111400</v>
      </c>
      <c r="H478" s="149" t="str">
        <f t="shared" si="7"/>
        <v>1003</v>
      </c>
    </row>
    <row r="479" spans="1:8" ht="204">
      <c r="A479" s="216" t="s">
        <v>663</v>
      </c>
      <c r="B479" s="287" t="s">
        <v>252</v>
      </c>
      <c r="C479" s="287" t="s">
        <v>496</v>
      </c>
      <c r="D479" s="287" t="s">
        <v>994</v>
      </c>
      <c r="E479" s="287"/>
      <c r="F479" s="225">
        <v>543100</v>
      </c>
      <c r="G479" s="225">
        <v>543100</v>
      </c>
      <c r="H479" s="149" t="str">
        <f t="shared" si="7"/>
        <v>10030110075540</v>
      </c>
    </row>
    <row r="480" spans="1:8" ht="38.25">
      <c r="A480" s="216" t="s">
        <v>445</v>
      </c>
      <c r="B480" s="287" t="s">
        <v>252</v>
      </c>
      <c r="C480" s="287" t="s">
        <v>496</v>
      </c>
      <c r="D480" s="287" t="s">
        <v>994</v>
      </c>
      <c r="E480" s="287" t="s">
        <v>446</v>
      </c>
      <c r="F480" s="225">
        <v>543100</v>
      </c>
      <c r="G480" s="225">
        <v>543100</v>
      </c>
      <c r="H480" s="149" t="str">
        <f t="shared" si="7"/>
        <v>10030110075540244</v>
      </c>
    </row>
    <row r="481" spans="1:8" ht="140.25">
      <c r="A481" s="216" t="s">
        <v>542</v>
      </c>
      <c r="B481" s="287" t="s">
        <v>252</v>
      </c>
      <c r="C481" s="287" t="s">
        <v>496</v>
      </c>
      <c r="D481" s="287" t="s">
        <v>995</v>
      </c>
      <c r="E481" s="287"/>
      <c r="F481" s="225">
        <v>27568300</v>
      </c>
      <c r="G481" s="225">
        <v>27568300</v>
      </c>
      <c r="H481" s="149" t="str">
        <f t="shared" si="7"/>
        <v>10030110075660</v>
      </c>
    </row>
    <row r="482" spans="1:8">
      <c r="A482" s="216" t="s">
        <v>1603</v>
      </c>
      <c r="B482" s="287" t="s">
        <v>252</v>
      </c>
      <c r="C482" s="287" t="s">
        <v>496</v>
      </c>
      <c r="D482" s="287" t="s">
        <v>995</v>
      </c>
      <c r="E482" s="287" t="s">
        <v>460</v>
      </c>
      <c r="F482" s="225">
        <v>2433160</v>
      </c>
      <c r="G482" s="225">
        <v>2433160</v>
      </c>
      <c r="H482" s="149" t="str">
        <f t="shared" si="7"/>
        <v>10030110075660111</v>
      </c>
    </row>
    <row r="483" spans="1:8" ht="51">
      <c r="A483" s="216" t="s">
        <v>1604</v>
      </c>
      <c r="B483" s="287" t="s">
        <v>252</v>
      </c>
      <c r="C483" s="287" t="s">
        <v>496</v>
      </c>
      <c r="D483" s="287" t="s">
        <v>995</v>
      </c>
      <c r="E483" s="287" t="s">
        <v>1290</v>
      </c>
      <c r="F483" s="225">
        <v>675340</v>
      </c>
      <c r="G483" s="225">
        <v>675340</v>
      </c>
      <c r="H483" s="149" t="str">
        <f t="shared" si="7"/>
        <v>10030110075660119</v>
      </c>
    </row>
    <row r="484" spans="1:8" ht="38.25">
      <c r="A484" s="216" t="s">
        <v>445</v>
      </c>
      <c r="B484" s="287" t="s">
        <v>252</v>
      </c>
      <c r="C484" s="287" t="s">
        <v>496</v>
      </c>
      <c r="D484" s="287" t="s">
        <v>995</v>
      </c>
      <c r="E484" s="287" t="s">
        <v>446</v>
      </c>
      <c r="F484" s="225">
        <v>23911400</v>
      </c>
      <c r="G484" s="225">
        <v>23911400</v>
      </c>
      <c r="H484" s="149" t="str">
        <f t="shared" si="7"/>
        <v>10030110075660244</v>
      </c>
    </row>
    <row r="485" spans="1:8" ht="38.25">
      <c r="A485" s="216" t="s">
        <v>497</v>
      </c>
      <c r="B485" s="287" t="s">
        <v>252</v>
      </c>
      <c r="C485" s="287" t="s">
        <v>496</v>
      </c>
      <c r="D485" s="287" t="s">
        <v>995</v>
      </c>
      <c r="E485" s="287" t="s">
        <v>498</v>
      </c>
      <c r="F485" s="225">
        <v>548400</v>
      </c>
      <c r="G485" s="225">
        <v>548400</v>
      </c>
      <c r="H485" s="149" t="str">
        <f t="shared" si="7"/>
        <v>10030110075660321</v>
      </c>
    </row>
    <row r="486" spans="1:8">
      <c r="A486" s="216" t="s">
        <v>25</v>
      </c>
      <c r="B486" s="287" t="s">
        <v>252</v>
      </c>
      <c r="C486" s="287" t="s">
        <v>543</v>
      </c>
      <c r="D486" s="287"/>
      <c r="E486" s="287"/>
      <c r="F486" s="225">
        <v>10359400</v>
      </c>
      <c r="G486" s="225">
        <v>10359400</v>
      </c>
      <c r="H486" s="149" t="str">
        <f t="shared" si="7"/>
        <v>1004</v>
      </c>
    </row>
    <row r="487" spans="1:8" ht="140.25">
      <c r="A487" s="216" t="s">
        <v>544</v>
      </c>
      <c r="B487" s="287" t="s">
        <v>252</v>
      </c>
      <c r="C487" s="202" t="s">
        <v>543</v>
      </c>
      <c r="D487" s="287" t="s">
        <v>996</v>
      </c>
      <c r="E487" s="287"/>
      <c r="F487" s="225">
        <v>10359400</v>
      </c>
      <c r="G487" s="225">
        <v>10359400</v>
      </c>
      <c r="H487" s="149" t="str">
        <f t="shared" si="7"/>
        <v>10040110075560</v>
      </c>
    </row>
    <row r="488" spans="1:8" ht="38.25">
      <c r="A488" s="216" t="s">
        <v>445</v>
      </c>
      <c r="B488" s="287" t="s">
        <v>252</v>
      </c>
      <c r="C488" s="287" t="s">
        <v>543</v>
      </c>
      <c r="D488" s="287" t="s">
        <v>996</v>
      </c>
      <c r="E488" s="287" t="s">
        <v>446</v>
      </c>
      <c r="F488" s="225">
        <v>203100</v>
      </c>
      <c r="G488" s="225">
        <v>203100</v>
      </c>
      <c r="H488" s="149" t="str">
        <f t="shared" si="7"/>
        <v>10040110075560244</v>
      </c>
    </row>
    <row r="489" spans="1:8" ht="38.25">
      <c r="A489" s="216" t="s">
        <v>497</v>
      </c>
      <c r="B489" s="287" t="s">
        <v>252</v>
      </c>
      <c r="C489" s="287" t="s">
        <v>543</v>
      </c>
      <c r="D489" s="287" t="s">
        <v>996</v>
      </c>
      <c r="E489" s="287" t="s">
        <v>498</v>
      </c>
      <c r="F489" s="225">
        <v>10156300</v>
      </c>
      <c r="G489" s="225">
        <v>10156300</v>
      </c>
      <c r="H489" s="149" t="str">
        <f t="shared" si="7"/>
        <v>10040110075560321</v>
      </c>
    </row>
    <row r="490" spans="1:8" ht="25.5">
      <c r="A490" s="216" t="s">
        <v>1627</v>
      </c>
      <c r="B490" s="287" t="s">
        <v>1164</v>
      </c>
      <c r="C490" s="287"/>
      <c r="D490" s="287"/>
      <c r="E490" s="287"/>
      <c r="F490" s="225">
        <v>23799902</v>
      </c>
      <c r="G490" s="225">
        <v>23799902</v>
      </c>
      <c r="H490" s="149" t="str">
        <f t="shared" si="7"/>
        <v/>
      </c>
    </row>
    <row r="491" spans="1:8" ht="38.25">
      <c r="A491" s="216" t="s">
        <v>286</v>
      </c>
      <c r="B491" s="287" t="s">
        <v>1164</v>
      </c>
      <c r="C491" s="287" t="s">
        <v>1602</v>
      </c>
      <c r="D491" s="287"/>
      <c r="E491" s="287"/>
      <c r="F491" s="225">
        <v>21954100</v>
      </c>
      <c r="G491" s="225">
        <v>21954100</v>
      </c>
      <c r="H491" s="149" t="str">
        <f t="shared" si="7"/>
        <v>0300</v>
      </c>
    </row>
    <row r="492" spans="1:8">
      <c r="A492" s="216" t="s">
        <v>133</v>
      </c>
      <c r="B492" s="287" t="s">
        <v>1164</v>
      </c>
      <c r="C492" s="287" t="s">
        <v>463</v>
      </c>
      <c r="D492" s="287"/>
      <c r="E492" s="287"/>
      <c r="F492" s="225">
        <v>21954100</v>
      </c>
      <c r="G492" s="225">
        <v>21954100</v>
      </c>
      <c r="H492" s="149" t="str">
        <f t="shared" si="7"/>
        <v>0310</v>
      </c>
    </row>
    <row r="493" spans="1:8" ht="153">
      <c r="A493" s="216" t="s">
        <v>464</v>
      </c>
      <c r="B493" s="287" t="s">
        <v>1164</v>
      </c>
      <c r="C493" s="287" t="s">
        <v>463</v>
      </c>
      <c r="D493" s="287" t="s">
        <v>867</v>
      </c>
      <c r="E493" s="287"/>
      <c r="F493" s="225">
        <v>15966164</v>
      </c>
      <c r="G493" s="225">
        <v>15966164</v>
      </c>
      <c r="H493" s="149" t="str">
        <f t="shared" si="7"/>
        <v>03100420040010</v>
      </c>
    </row>
    <row r="494" spans="1:8">
      <c r="A494" s="216" t="s">
        <v>1603</v>
      </c>
      <c r="B494" s="287" t="s">
        <v>1164</v>
      </c>
      <c r="C494" s="287" t="s">
        <v>463</v>
      </c>
      <c r="D494" s="287" t="s">
        <v>867</v>
      </c>
      <c r="E494" s="287" t="s">
        <v>460</v>
      </c>
      <c r="F494" s="225">
        <v>11409658</v>
      </c>
      <c r="G494" s="225">
        <v>11409658</v>
      </c>
      <c r="H494" s="149" t="str">
        <f t="shared" si="7"/>
        <v>03100420040010111</v>
      </c>
    </row>
    <row r="495" spans="1:8" ht="25.5">
      <c r="A495" s="216" t="s">
        <v>1617</v>
      </c>
      <c r="B495" s="287" t="s">
        <v>1164</v>
      </c>
      <c r="C495" s="287" t="s">
        <v>463</v>
      </c>
      <c r="D495" s="287" t="s">
        <v>867</v>
      </c>
      <c r="E495" s="287" t="s">
        <v>509</v>
      </c>
      <c r="F495" s="225">
        <v>36260</v>
      </c>
      <c r="G495" s="225">
        <v>36260</v>
      </c>
      <c r="H495" s="149" t="str">
        <f t="shared" si="7"/>
        <v>03100420040010112</v>
      </c>
    </row>
    <row r="496" spans="1:8" ht="51">
      <c r="A496" s="216" t="s">
        <v>1604</v>
      </c>
      <c r="B496" s="287" t="s">
        <v>1164</v>
      </c>
      <c r="C496" s="287" t="s">
        <v>463</v>
      </c>
      <c r="D496" s="287" t="s">
        <v>867</v>
      </c>
      <c r="E496" s="287" t="s">
        <v>1290</v>
      </c>
      <c r="F496" s="225">
        <v>3445716</v>
      </c>
      <c r="G496" s="225">
        <v>3445716</v>
      </c>
      <c r="H496" s="149" t="str">
        <f t="shared" ref="H496:H554" si="9">CONCATENATE(C496,,D496,E496)</f>
        <v>03100420040010119</v>
      </c>
    </row>
    <row r="497" spans="1:8" ht="38.25">
      <c r="A497" s="216" t="s">
        <v>445</v>
      </c>
      <c r="B497" s="287" t="s">
        <v>1164</v>
      </c>
      <c r="C497" s="287" t="s">
        <v>463</v>
      </c>
      <c r="D497" s="287" t="s">
        <v>867</v>
      </c>
      <c r="E497" s="287" t="s">
        <v>446</v>
      </c>
      <c r="F497" s="225">
        <v>1061530</v>
      </c>
      <c r="G497" s="225">
        <v>1061530</v>
      </c>
      <c r="H497" s="149" t="str">
        <f t="shared" si="9"/>
        <v>03100420040010244</v>
      </c>
    </row>
    <row r="498" spans="1:8">
      <c r="A498" s="216" t="s">
        <v>1168</v>
      </c>
      <c r="B498" s="287" t="s">
        <v>1164</v>
      </c>
      <c r="C498" s="287" t="s">
        <v>463</v>
      </c>
      <c r="D498" s="287" t="s">
        <v>867</v>
      </c>
      <c r="E498" s="287" t="s">
        <v>626</v>
      </c>
      <c r="F498" s="225">
        <v>12000</v>
      </c>
      <c r="G498" s="225">
        <v>12000</v>
      </c>
      <c r="H498" s="149" t="str">
        <f t="shared" si="9"/>
        <v>03100420040010852</v>
      </c>
    </row>
    <row r="499" spans="1:8">
      <c r="A499" s="216" t="s">
        <v>1293</v>
      </c>
      <c r="B499" s="287" t="s">
        <v>1164</v>
      </c>
      <c r="C499" s="287" t="s">
        <v>463</v>
      </c>
      <c r="D499" s="287" t="s">
        <v>867</v>
      </c>
      <c r="E499" s="287" t="s">
        <v>1294</v>
      </c>
      <c r="F499" s="225">
        <v>1000</v>
      </c>
      <c r="G499" s="225">
        <v>1000</v>
      </c>
      <c r="H499" s="149" t="str">
        <f t="shared" si="9"/>
        <v>03100420040010853</v>
      </c>
    </row>
    <row r="500" spans="1:8" ht="178.5">
      <c r="A500" s="216" t="s">
        <v>872</v>
      </c>
      <c r="B500" s="287" t="s">
        <v>1164</v>
      </c>
      <c r="C500" s="287" t="s">
        <v>463</v>
      </c>
      <c r="D500" s="287" t="s">
        <v>873</v>
      </c>
      <c r="E500" s="287"/>
      <c r="F500" s="225">
        <v>3232840</v>
      </c>
      <c r="G500" s="225">
        <v>3232840</v>
      </c>
      <c r="H500" s="149" t="str">
        <f t="shared" si="9"/>
        <v>03100420040090</v>
      </c>
    </row>
    <row r="501" spans="1:8">
      <c r="A501" s="216" t="s">
        <v>1603</v>
      </c>
      <c r="B501" s="287" t="s">
        <v>1164</v>
      </c>
      <c r="C501" s="287" t="s">
        <v>463</v>
      </c>
      <c r="D501" s="287" t="s">
        <v>873</v>
      </c>
      <c r="E501" s="287" t="s">
        <v>460</v>
      </c>
      <c r="F501" s="225">
        <v>1787140</v>
      </c>
      <c r="G501" s="225">
        <v>1787140</v>
      </c>
      <c r="H501" s="149" t="str">
        <f t="shared" si="9"/>
        <v>03100420040090111</v>
      </c>
    </row>
    <row r="502" spans="1:8" ht="51">
      <c r="A502" s="216" t="s">
        <v>1604</v>
      </c>
      <c r="B502" s="287" t="s">
        <v>1164</v>
      </c>
      <c r="C502" s="287" t="s">
        <v>463</v>
      </c>
      <c r="D502" s="287" t="s">
        <v>873</v>
      </c>
      <c r="E502" s="287" t="s">
        <v>1290</v>
      </c>
      <c r="F502" s="225">
        <v>539710</v>
      </c>
      <c r="G502" s="225">
        <v>539710</v>
      </c>
      <c r="H502" s="149" t="str">
        <f t="shared" si="9"/>
        <v>03100420040090119</v>
      </c>
    </row>
    <row r="503" spans="1:8" ht="38.25">
      <c r="A503" s="216" t="s">
        <v>445</v>
      </c>
      <c r="B503" s="287" t="s">
        <v>1164</v>
      </c>
      <c r="C503" s="287" t="s">
        <v>463</v>
      </c>
      <c r="D503" s="287" t="s">
        <v>873</v>
      </c>
      <c r="E503" s="287" t="s">
        <v>446</v>
      </c>
      <c r="F503" s="225">
        <v>797300</v>
      </c>
      <c r="G503" s="225">
        <v>797300</v>
      </c>
      <c r="H503" s="149" t="str">
        <f t="shared" si="9"/>
        <v>03100420040090244</v>
      </c>
    </row>
    <row r="504" spans="1:8">
      <c r="A504" s="216" t="s">
        <v>1168</v>
      </c>
      <c r="B504" s="287" t="s">
        <v>1164</v>
      </c>
      <c r="C504" s="287" t="s">
        <v>463</v>
      </c>
      <c r="D504" s="287" t="s">
        <v>873</v>
      </c>
      <c r="E504" s="287" t="s">
        <v>626</v>
      </c>
      <c r="F504" s="225">
        <v>105000</v>
      </c>
      <c r="G504" s="225">
        <v>105000</v>
      </c>
      <c r="H504" s="149" t="str">
        <f t="shared" si="9"/>
        <v>03100420040090852</v>
      </c>
    </row>
    <row r="505" spans="1:8">
      <c r="A505" s="216" t="s">
        <v>1293</v>
      </c>
      <c r="B505" s="287" t="s">
        <v>1164</v>
      </c>
      <c r="C505" s="287" t="s">
        <v>463</v>
      </c>
      <c r="D505" s="287" t="s">
        <v>873</v>
      </c>
      <c r="E505" s="287" t="s">
        <v>1294</v>
      </c>
      <c r="F505" s="225">
        <v>3690</v>
      </c>
      <c r="G505" s="225">
        <v>3690</v>
      </c>
      <c r="H505" s="149" t="str">
        <f t="shared" si="9"/>
        <v>03100420040090853</v>
      </c>
    </row>
    <row r="506" spans="1:8" ht="165.75">
      <c r="A506" s="216" t="s">
        <v>1628</v>
      </c>
      <c r="B506" s="287" t="s">
        <v>1164</v>
      </c>
      <c r="C506" s="202" t="s">
        <v>463</v>
      </c>
      <c r="D506" s="287" t="s">
        <v>869</v>
      </c>
      <c r="E506" s="287"/>
      <c r="F506" s="225">
        <v>1794269</v>
      </c>
      <c r="G506" s="225">
        <v>1794269</v>
      </c>
      <c r="H506" s="149" t="str">
        <f t="shared" si="9"/>
        <v>0310042004Г010</v>
      </c>
    </row>
    <row r="507" spans="1:8" ht="38.25">
      <c r="A507" s="216" t="s">
        <v>445</v>
      </c>
      <c r="B507" s="287" t="s">
        <v>1164</v>
      </c>
      <c r="C507" s="287" t="s">
        <v>463</v>
      </c>
      <c r="D507" s="287" t="s">
        <v>869</v>
      </c>
      <c r="E507" s="287" t="s">
        <v>446</v>
      </c>
      <c r="F507" s="225">
        <v>1794269</v>
      </c>
      <c r="G507" s="225">
        <v>1794269</v>
      </c>
      <c r="H507" s="149" t="str">
        <f t="shared" si="9"/>
        <v>0310042004Г010244</v>
      </c>
    </row>
    <row r="508" spans="1:8" ht="191.25">
      <c r="A508" s="216" t="s">
        <v>1629</v>
      </c>
      <c r="B508" s="287" t="s">
        <v>1164</v>
      </c>
      <c r="C508" s="287" t="s">
        <v>463</v>
      </c>
      <c r="D508" s="287" t="s">
        <v>875</v>
      </c>
      <c r="E508" s="287"/>
      <c r="F508" s="225">
        <v>554660</v>
      </c>
      <c r="G508" s="225">
        <v>554660</v>
      </c>
      <c r="H508" s="149" t="str">
        <f t="shared" si="9"/>
        <v>0310042004Г090</v>
      </c>
    </row>
    <row r="509" spans="1:8" ht="38.25">
      <c r="A509" s="216" t="s">
        <v>445</v>
      </c>
      <c r="B509" s="287" t="s">
        <v>1164</v>
      </c>
      <c r="C509" s="287" t="s">
        <v>463</v>
      </c>
      <c r="D509" s="287" t="s">
        <v>875</v>
      </c>
      <c r="E509" s="287" t="s">
        <v>446</v>
      </c>
      <c r="F509" s="225">
        <v>554660</v>
      </c>
      <c r="G509" s="225">
        <v>554660</v>
      </c>
      <c r="H509" s="149" t="str">
        <f t="shared" si="9"/>
        <v>0310042004Г090244</v>
      </c>
    </row>
    <row r="510" spans="1:8" ht="153">
      <c r="A510" s="216" t="s">
        <v>1193</v>
      </c>
      <c r="B510" s="287" t="s">
        <v>1164</v>
      </c>
      <c r="C510" s="287" t="s">
        <v>463</v>
      </c>
      <c r="D510" s="287" t="s">
        <v>1194</v>
      </c>
      <c r="E510" s="287"/>
      <c r="F510" s="225">
        <v>406167</v>
      </c>
      <c r="G510" s="225">
        <v>406167</v>
      </c>
      <c r="H510" s="149" t="str">
        <f t="shared" si="9"/>
        <v>0310042004Э010</v>
      </c>
    </row>
    <row r="511" spans="1:8" ht="38.25">
      <c r="A511" s="216" t="s">
        <v>445</v>
      </c>
      <c r="B511" s="287" t="s">
        <v>1164</v>
      </c>
      <c r="C511" s="287" t="s">
        <v>463</v>
      </c>
      <c r="D511" s="287" t="s">
        <v>1194</v>
      </c>
      <c r="E511" s="287" t="s">
        <v>446</v>
      </c>
      <c r="F511" s="225">
        <v>406167</v>
      </c>
      <c r="G511" s="225">
        <v>406167</v>
      </c>
      <c r="H511" s="149" t="str">
        <f t="shared" si="9"/>
        <v>0310042004Э010244</v>
      </c>
    </row>
    <row r="512" spans="1:8" ht="25.5">
      <c r="A512" s="216" t="s">
        <v>287</v>
      </c>
      <c r="B512" s="287" t="s">
        <v>1164</v>
      </c>
      <c r="C512" s="287" t="s">
        <v>1607</v>
      </c>
      <c r="D512" s="287"/>
      <c r="E512" s="287"/>
      <c r="F512" s="225">
        <v>1845802</v>
      </c>
      <c r="G512" s="225">
        <v>1845802</v>
      </c>
      <c r="H512" s="149" t="str">
        <f t="shared" si="9"/>
        <v>0500</v>
      </c>
    </row>
    <row r="513" spans="1:8">
      <c r="A513" s="216" t="s">
        <v>181</v>
      </c>
      <c r="B513" s="287" t="s">
        <v>1164</v>
      </c>
      <c r="C513" s="287" t="s">
        <v>482</v>
      </c>
      <c r="D513" s="287"/>
      <c r="E513" s="287"/>
      <c r="F513" s="225">
        <v>1845802</v>
      </c>
      <c r="G513" s="225">
        <v>1845802</v>
      </c>
      <c r="H513" s="149" t="str">
        <f t="shared" si="9"/>
        <v>0502</v>
      </c>
    </row>
    <row r="514" spans="1:8" ht="140.25">
      <c r="A514" s="216" t="s">
        <v>1742</v>
      </c>
      <c r="B514" s="287" t="s">
        <v>1164</v>
      </c>
      <c r="C514" s="287" t="s">
        <v>482</v>
      </c>
      <c r="D514" s="287" t="s">
        <v>888</v>
      </c>
      <c r="E514" s="287"/>
      <c r="F514" s="225">
        <v>1845802</v>
      </c>
      <c r="G514" s="225">
        <v>1845802</v>
      </c>
      <c r="H514" s="149" t="str">
        <f t="shared" si="9"/>
        <v>05020320075700</v>
      </c>
    </row>
    <row r="515" spans="1:8">
      <c r="A515" s="216" t="s">
        <v>1603</v>
      </c>
      <c r="B515" s="287" t="s">
        <v>1164</v>
      </c>
      <c r="C515" s="287" t="s">
        <v>482</v>
      </c>
      <c r="D515" s="287" t="s">
        <v>888</v>
      </c>
      <c r="E515" s="287" t="s">
        <v>460</v>
      </c>
      <c r="F515" s="225">
        <v>936845</v>
      </c>
      <c r="G515" s="225">
        <v>936845</v>
      </c>
      <c r="H515" s="149" t="str">
        <f t="shared" si="9"/>
        <v>05020320075700111</v>
      </c>
    </row>
    <row r="516" spans="1:8" ht="51">
      <c r="A516" s="216" t="s">
        <v>1604</v>
      </c>
      <c r="B516" s="287" t="s">
        <v>1164</v>
      </c>
      <c r="C516" s="287" t="s">
        <v>482</v>
      </c>
      <c r="D516" s="287" t="s">
        <v>888</v>
      </c>
      <c r="E516" s="287" t="s">
        <v>1290</v>
      </c>
      <c r="F516" s="225">
        <v>282933</v>
      </c>
      <c r="G516" s="225">
        <v>282933</v>
      </c>
      <c r="H516" s="149" t="str">
        <f t="shared" si="9"/>
        <v>05020320075700119</v>
      </c>
    </row>
    <row r="517" spans="1:8" ht="38.25">
      <c r="A517" s="216" t="s">
        <v>445</v>
      </c>
      <c r="B517" s="287" t="s">
        <v>1164</v>
      </c>
      <c r="C517" s="287" t="s">
        <v>482</v>
      </c>
      <c r="D517" s="287" t="s">
        <v>888</v>
      </c>
      <c r="E517" s="287" t="s">
        <v>446</v>
      </c>
      <c r="F517" s="225">
        <v>575434</v>
      </c>
      <c r="G517" s="225">
        <v>575434</v>
      </c>
      <c r="H517" s="149" t="str">
        <f t="shared" si="9"/>
        <v>05020320075700244</v>
      </c>
    </row>
    <row r="518" spans="1:8">
      <c r="A518" s="216" t="s">
        <v>1168</v>
      </c>
      <c r="B518" s="287" t="s">
        <v>1164</v>
      </c>
      <c r="C518" s="287" t="s">
        <v>482</v>
      </c>
      <c r="D518" s="287" t="s">
        <v>888</v>
      </c>
      <c r="E518" s="287" t="s">
        <v>626</v>
      </c>
      <c r="F518" s="225">
        <v>50280</v>
      </c>
      <c r="G518" s="225">
        <v>50280</v>
      </c>
      <c r="H518" s="149" t="str">
        <f t="shared" si="9"/>
        <v>05020320075700852</v>
      </c>
    </row>
    <row r="519" spans="1:8">
      <c r="A519" s="216" t="s">
        <v>1293</v>
      </c>
      <c r="B519" s="287" t="s">
        <v>1164</v>
      </c>
      <c r="C519" s="287" t="s">
        <v>482</v>
      </c>
      <c r="D519" s="287" t="s">
        <v>888</v>
      </c>
      <c r="E519" s="287" t="s">
        <v>1294</v>
      </c>
      <c r="F519" s="225">
        <v>310</v>
      </c>
      <c r="G519" s="225">
        <v>310</v>
      </c>
      <c r="H519" s="149" t="str">
        <f t="shared" si="9"/>
        <v>05020320075700853</v>
      </c>
    </row>
    <row r="520" spans="1:8" ht="25.5">
      <c r="A520" s="216" t="s">
        <v>43</v>
      </c>
      <c r="B520" s="287" t="s">
        <v>253</v>
      </c>
      <c r="C520" s="287"/>
      <c r="D520" s="287"/>
      <c r="E520" s="287"/>
      <c r="F520" s="225">
        <v>69059475</v>
      </c>
      <c r="G520" s="225">
        <v>58608680</v>
      </c>
      <c r="H520" s="149" t="str">
        <f t="shared" si="9"/>
        <v/>
      </c>
    </row>
    <row r="521" spans="1:8">
      <c r="A521" s="216" t="s">
        <v>282</v>
      </c>
      <c r="B521" s="287" t="s">
        <v>253</v>
      </c>
      <c r="C521" s="287" t="s">
        <v>1598</v>
      </c>
      <c r="D521" s="287"/>
      <c r="E521" s="287"/>
      <c r="F521" s="225">
        <v>14898600</v>
      </c>
      <c r="G521" s="225">
        <v>14898600</v>
      </c>
      <c r="H521" s="149" t="str">
        <f t="shared" si="9"/>
        <v>0100</v>
      </c>
    </row>
    <row r="522" spans="1:8" ht="51">
      <c r="A522" s="216" t="s">
        <v>264</v>
      </c>
      <c r="B522" s="287" t="s">
        <v>253</v>
      </c>
      <c r="C522" s="287" t="s">
        <v>448</v>
      </c>
      <c r="D522" s="287"/>
      <c r="E522" s="287"/>
      <c r="F522" s="225">
        <v>12620500</v>
      </c>
      <c r="G522" s="225">
        <v>12620500</v>
      </c>
      <c r="H522" s="149" t="str">
        <f t="shared" si="9"/>
        <v>0106</v>
      </c>
    </row>
    <row r="523" spans="1:8" ht="89.25">
      <c r="A523" s="216" t="s">
        <v>545</v>
      </c>
      <c r="B523" s="287" t="s">
        <v>253</v>
      </c>
      <c r="C523" s="287" t="s">
        <v>448</v>
      </c>
      <c r="D523" s="287" t="s">
        <v>997</v>
      </c>
      <c r="E523" s="287"/>
      <c r="F523" s="225">
        <v>9604534</v>
      </c>
      <c r="G523" s="225">
        <v>9604534</v>
      </c>
      <c r="H523" s="149" t="str">
        <f t="shared" si="9"/>
        <v>01061120060000</v>
      </c>
    </row>
    <row r="524" spans="1:8" ht="25.5">
      <c r="A524" s="216" t="s">
        <v>1165</v>
      </c>
      <c r="B524" s="287" t="s">
        <v>253</v>
      </c>
      <c r="C524" s="287" t="s">
        <v>448</v>
      </c>
      <c r="D524" s="287" t="s">
        <v>997</v>
      </c>
      <c r="E524" s="287" t="s">
        <v>440</v>
      </c>
      <c r="F524" s="225">
        <v>6101515</v>
      </c>
      <c r="G524" s="225">
        <v>6101515</v>
      </c>
      <c r="H524" s="149" t="str">
        <f t="shared" si="9"/>
        <v>01061120060000121</v>
      </c>
    </row>
    <row r="525" spans="1:8" ht="51">
      <c r="A525" s="216" t="s">
        <v>441</v>
      </c>
      <c r="B525" s="287" t="s">
        <v>253</v>
      </c>
      <c r="C525" s="287" t="s">
        <v>448</v>
      </c>
      <c r="D525" s="287" t="s">
        <v>997</v>
      </c>
      <c r="E525" s="287" t="s">
        <v>442</v>
      </c>
      <c r="F525" s="225">
        <v>65700</v>
      </c>
      <c r="G525" s="225">
        <v>65700</v>
      </c>
      <c r="H525" s="149" t="str">
        <f t="shared" si="9"/>
        <v>01061120060000122</v>
      </c>
    </row>
    <row r="526" spans="1:8" ht="63.75">
      <c r="A526" s="216" t="s">
        <v>1288</v>
      </c>
      <c r="B526" s="287" t="s">
        <v>253</v>
      </c>
      <c r="C526" s="287" t="s">
        <v>448</v>
      </c>
      <c r="D526" s="287" t="s">
        <v>997</v>
      </c>
      <c r="E526" s="287" t="s">
        <v>1289</v>
      </c>
      <c r="F526" s="225">
        <v>1842658</v>
      </c>
      <c r="G526" s="225">
        <v>1842658</v>
      </c>
      <c r="H526" s="149" t="str">
        <f t="shared" si="9"/>
        <v>01061120060000129</v>
      </c>
    </row>
    <row r="527" spans="1:8" ht="38.25">
      <c r="A527" s="216" t="s">
        <v>445</v>
      </c>
      <c r="B527" s="287" t="s">
        <v>253</v>
      </c>
      <c r="C527" s="287" t="s">
        <v>448</v>
      </c>
      <c r="D527" s="287" t="s">
        <v>997</v>
      </c>
      <c r="E527" s="287" t="s">
        <v>446</v>
      </c>
      <c r="F527" s="225">
        <v>1569161</v>
      </c>
      <c r="G527" s="225">
        <v>1569161</v>
      </c>
      <c r="H527" s="149" t="str">
        <f t="shared" si="9"/>
        <v>01061120060000244</v>
      </c>
    </row>
    <row r="528" spans="1:8">
      <c r="A528" s="216" t="s">
        <v>1168</v>
      </c>
      <c r="B528" s="287" t="s">
        <v>253</v>
      </c>
      <c r="C528" s="287" t="s">
        <v>448</v>
      </c>
      <c r="D528" s="287" t="s">
        <v>997</v>
      </c>
      <c r="E528" s="287" t="s">
        <v>626</v>
      </c>
      <c r="F528" s="225">
        <v>25000</v>
      </c>
      <c r="G528" s="225">
        <v>25000</v>
      </c>
      <c r="H528" s="149" t="str">
        <f t="shared" si="9"/>
        <v>01061120060000852</v>
      </c>
    </row>
    <row r="529" spans="1:8">
      <c r="A529" s="216" t="s">
        <v>1293</v>
      </c>
      <c r="B529" s="287" t="s">
        <v>253</v>
      </c>
      <c r="C529" s="287" t="s">
        <v>448</v>
      </c>
      <c r="D529" s="287" t="s">
        <v>997</v>
      </c>
      <c r="E529" s="287" t="s">
        <v>1294</v>
      </c>
      <c r="F529" s="225">
        <v>500</v>
      </c>
      <c r="G529" s="225">
        <v>500</v>
      </c>
      <c r="H529" s="149" t="str">
        <f t="shared" si="9"/>
        <v>01061120060000853</v>
      </c>
    </row>
    <row r="530" spans="1:8" ht="127.5">
      <c r="A530" s="216" t="s">
        <v>664</v>
      </c>
      <c r="B530" s="287" t="s">
        <v>253</v>
      </c>
      <c r="C530" s="287" t="s">
        <v>448</v>
      </c>
      <c r="D530" s="287" t="s">
        <v>998</v>
      </c>
      <c r="E530" s="287"/>
      <c r="F530" s="225">
        <v>284000</v>
      </c>
      <c r="G530" s="225">
        <v>284000</v>
      </c>
      <c r="H530" s="149" t="str">
        <f t="shared" si="9"/>
        <v>01061120061000</v>
      </c>
    </row>
    <row r="531" spans="1:8" ht="25.5">
      <c r="A531" s="216" t="s">
        <v>1165</v>
      </c>
      <c r="B531" s="287" t="s">
        <v>253</v>
      </c>
      <c r="C531" s="287" t="s">
        <v>448</v>
      </c>
      <c r="D531" s="287" t="s">
        <v>998</v>
      </c>
      <c r="E531" s="287" t="s">
        <v>440</v>
      </c>
      <c r="F531" s="225">
        <v>218126</v>
      </c>
      <c r="G531" s="225">
        <v>218126</v>
      </c>
      <c r="H531" s="149" t="str">
        <f t="shared" si="9"/>
        <v>01061120061000121</v>
      </c>
    </row>
    <row r="532" spans="1:8" ht="63.75">
      <c r="A532" s="216" t="s">
        <v>1288</v>
      </c>
      <c r="B532" s="287" t="s">
        <v>253</v>
      </c>
      <c r="C532" s="287" t="s">
        <v>448</v>
      </c>
      <c r="D532" s="287" t="s">
        <v>998</v>
      </c>
      <c r="E532" s="287" t="s">
        <v>1289</v>
      </c>
      <c r="F532" s="225">
        <v>65874</v>
      </c>
      <c r="G532" s="225">
        <v>65874</v>
      </c>
      <c r="H532" s="149" t="str">
        <f t="shared" si="9"/>
        <v>01061120061000129</v>
      </c>
    </row>
    <row r="533" spans="1:8" ht="114.75">
      <c r="A533" s="216" t="s">
        <v>750</v>
      </c>
      <c r="B533" s="287" t="s">
        <v>253</v>
      </c>
      <c r="C533" s="287" t="s">
        <v>448</v>
      </c>
      <c r="D533" s="287" t="s">
        <v>999</v>
      </c>
      <c r="E533" s="287"/>
      <c r="F533" s="225">
        <v>330000</v>
      </c>
      <c r="G533" s="225">
        <v>330000</v>
      </c>
      <c r="H533" s="149" t="str">
        <f t="shared" si="9"/>
        <v>01061120067000</v>
      </c>
    </row>
    <row r="534" spans="1:8" ht="51">
      <c r="A534" s="216" t="s">
        <v>441</v>
      </c>
      <c r="B534" s="287" t="s">
        <v>253</v>
      </c>
      <c r="C534" s="287" t="s">
        <v>448</v>
      </c>
      <c r="D534" s="287" t="s">
        <v>999</v>
      </c>
      <c r="E534" s="287" t="s">
        <v>442</v>
      </c>
      <c r="F534" s="225">
        <v>330000</v>
      </c>
      <c r="G534" s="225">
        <v>330000</v>
      </c>
      <c r="H534" s="149" t="str">
        <f t="shared" si="9"/>
        <v>01061120067000122</v>
      </c>
    </row>
    <row r="535" spans="1:8" ht="102">
      <c r="A535" s="216" t="s">
        <v>1144</v>
      </c>
      <c r="B535" s="287" t="s">
        <v>253</v>
      </c>
      <c r="C535" s="287" t="s">
        <v>448</v>
      </c>
      <c r="D535" s="287" t="s">
        <v>1143</v>
      </c>
      <c r="E535" s="287"/>
      <c r="F535" s="225">
        <v>1498166</v>
      </c>
      <c r="G535" s="225">
        <v>1498166</v>
      </c>
      <c r="H535" s="149" t="str">
        <f t="shared" si="9"/>
        <v>0106112006Б000</v>
      </c>
    </row>
    <row r="536" spans="1:8" ht="25.5">
      <c r="A536" s="216" t="s">
        <v>1165</v>
      </c>
      <c r="B536" s="287" t="s">
        <v>253</v>
      </c>
      <c r="C536" s="287" t="s">
        <v>448</v>
      </c>
      <c r="D536" s="287" t="s">
        <v>1143</v>
      </c>
      <c r="E536" s="287" t="s">
        <v>440</v>
      </c>
      <c r="F536" s="225">
        <v>1150665</v>
      </c>
      <c r="G536" s="225">
        <v>1150665</v>
      </c>
      <c r="H536" s="149" t="str">
        <f t="shared" si="9"/>
        <v>0106112006Б000121</v>
      </c>
    </row>
    <row r="537" spans="1:8" ht="63.75">
      <c r="A537" s="216" t="s">
        <v>1288</v>
      </c>
      <c r="B537" s="287" t="s">
        <v>253</v>
      </c>
      <c r="C537" s="202" t="s">
        <v>448</v>
      </c>
      <c r="D537" s="287" t="s">
        <v>1143</v>
      </c>
      <c r="E537" s="287" t="s">
        <v>1289</v>
      </c>
      <c r="F537" s="225">
        <v>347501</v>
      </c>
      <c r="G537" s="225">
        <v>347501</v>
      </c>
      <c r="H537" s="149" t="str">
        <f t="shared" si="9"/>
        <v>0106112006Б000129</v>
      </c>
    </row>
    <row r="538" spans="1:8" ht="76.5">
      <c r="A538" s="216" t="s">
        <v>751</v>
      </c>
      <c r="B538" s="287" t="s">
        <v>253</v>
      </c>
      <c r="C538" s="287" t="s">
        <v>448</v>
      </c>
      <c r="D538" s="287" t="s">
        <v>1000</v>
      </c>
      <c r="E538" s="287"/>
      <c r="F538" s="225">
        <v>369449</v>
      </c>
      <c r="G538" s="225">
        <v>369449</v>
      </c>
      <c r="H538" s="149" t="str">
        <f t="shared" si="9"/>
        <v>0106112006Г000</v>
      </c>
    </row>
    <row r="539" spans="1:8" ht="38.25">
      <c r="A539" s="216" t="s">
        <v>445</v>
      </c>
      <c r="B539" s="287" t="s">
        <v>253</v>
      </c>
      <c r="C539" s="287" t="s">
        <v>448</v>
      </c>
      <c r="D539" s="287" t="s">
        <v>1000</v>
      </c>
      <c r="E539" s="287" t="s">
        <v>446</v>
      </c>
      <c r="F539" s="225">
        <v>369449</v>
      </c>
      <c r="G539" s="225">
        <v>369449</v>
      </c>
      <c r="H539" s="149" t="str">
        <f t="shared" si="9"/>
        <v>0106112006Г000244</v>
      </c>
    </row>
    <row r="540" spans="1:8" ht="63.75">
      <c r="A540" s="216" t="s">
        <v>1195</v>
      </c>
      <c r="B540" s="287" t="s">
        <v>253</v>
      </c>
      <c r="C540" s="287" t="s">
        <v>448</v>
      </c>
      <c r="D540" s="287" t="s">
        <v>1196</v>
      </c>
      <c r="E540" s="287"/>
      <c r="F540" s="225">
        <v>149860</v>
      </c>
      <c r="G540" s="225">
        <v>149860</v>
      </c>
      <c r="H540" s="149" t="str">
        <f t="shared" si="9"/>
        <v>0106112006Э000</v>
      </c>
    </row>
    <row r="541" spans="1:8" ht="38.25">
      <c r="A541" s="216" t="s">
        <v>445</v>
      </c>
      <c r="B541" s="287" t="s">
        <v>253</v>
      </c>
      <c r="C541" s="202" t="s">
        <v>448</v>
      </c>
      <c r="D541" s="287" t="s">
        <v>1196</v>
      </c>
      <c r="E541" s="287" t="s">
        <v>446</v>
      </c>
      <c r="F541" s="225">
        <v>149860</v>
      </c>
      <c r="G541" s="225">
        <v>149860</v>
      </c>
      <c r="H541" s="149" t="str">
        <f t="shared" si="9"/>
        <v>0106112006Э000244</v>
      </c>
    </row>
    <row r="542" spans="1:8" ht="89.25">
      <c r="A542" s="216" t="s">
        <v>665</v>
      </c>
      <c r="B542" s="287" t="s">
        <v>253</v>
      </c>
      <c r="C542" s="287" t="s">
        <v>448</v>
      </c>
      <c r="D542" s="287" t="s">
        <v>1001</v>
      </c>
      <c r="E542" s="287"/>
      <c r="F542" s="225">
        <v>384491</v>
      </c>
      <c r="G542" s="225">
        <v>384491</v>
      </c>
      <c r="H542" s="149" t="str">
        <f t="shared" si="9"/>
        <v>010611200Ч0060</v>
      </c>
    </row>
    <row r="543" spans="1:8" ht="25.5">
      <c r="A543" s="216" t="s">
        <v>1165</v>
      </c>
      <c r="B543" s="287" t="s">
        <v>253</v>
      </c>
      <c r="C543" s="287" t="s">
        <v>448</v>
      </c>
      <c r="D543" s="287" t="s">
        <v>1001</v>
      </c>
      <c r="E543" s="287" t="s">
        <v>440</v>
      </c>
      <c r="F543" s="225">
        <v>295308</v>
      </c>
      <c r="G543" s="225">
        <v>295308</v>
      </c>
      <c r="H543" s="149" t="str">
        <f t="shared" si="9"/>
        <v>010611200Ч0060121</v>
      </c>
    </row>
    <row r="544" spans="1:8" ht="63.75">
      <c r="A544" s="216" t="s">
        <v>1288</v>
      </c>
      <c r="B544" s="287" t="s">
        <v>253</v>
      </c>
      <c r="C544" s="287" t="s">
        <v>448</v>
      </c>
      <c r="D544" s="287" t="s">
        <v>1001</v>
      </c>
      <c r="E544" s="287" t="s">
        <v>1289</v>
      </c>
      <c r="F544" s="225">
        <v>89183</v>
      </c>
      <c r="G544" s="225">
        <v>89183</v>
      </c>
      <c r="H544" s="149" t="str">
        <f t="shared" si="9"/>
        <v>010611200Ч0060129</v>
      </c>
    </row>
    <row r="545" spans="1:8">
      <c r="A545" s="216" t="s">
        <v>69</v>
      </c>
      <c r="B545" s="202" t="s">
        <v>253</v>
      </c>
      <c r="C545" s="202" t="s">
        <v>546</v>
      </c>
      <c r="D545" s="287"/>
      <c r="E545" s="287"/>
      <c r="F545" s="225">
        <v>2000000</v>
      </c>
      <c r="G545" s="225">
        <v>2000000</v>
      </c>
      <c r="H545" s="149" t="str">
        <f t="shared" si="9"/>
        <v>0111</v>
      </c>
    </row>
    <row r="546" spans="1:8" ht="51">
      <c r="A546" s="216" t="s">
        <v>547</v>
      </c>
      <c r="B546" s="287" t="s">
        <v>253</v>
      </c>
      <c r="C546" s="287" t="s">
        <v>546</v>
      </c>
      <c r="D546" s="287" t="s">
        <v>1002</v>
      </c>
      <c r="E546" s="287"/>
      <c r="F546" s="225">
        <v>2000000</v>
      </c>
      <c r="G546" s="225">
        <v>2000000</v>
      </c>
      <c r="H546" s="149" t="str">
        <f t="shared" si="9"/>
        <v>01119010080000</v>
      </c>
    </row>
    <row r="547" spans="1:8">
      <c r="A547" s="216" t="s">
        <v>548</v>
      </c>
      <c r="B547" s="287" t="s">
        <v>253</v>
      </c>
      <c r="C547" s="287" t="s">
        <v>546</v>
      </c>
      <c r="D547" s="287" t="s">
        <v>1002</v>
      </c>
      <c r="E547" s="287" t="s">
        <v>549</v>
      </c>
      <c r="F547" s="225">
        <v>2000000</v>
      </c>
      <c r="G547" s="225">
        <v>2000000</v>
      </c>
      <c r="H547" s="149" t="str">
        <f t="shared" si="9"/>
        <v>01119010080000870</v>
      </c>
    </row>
    <row r="548" spans="1:8">
      <c r="A548" s="216" t="s">
        <v>265</v>
      </c>
      <c r="B548" s="287" t="s">
        <v>253</v>
      </c>
      <c r="C548" s="287" t="s">
        <v>454</v>
      </c>
      <c r="D548" s="287"/>
      <c r="E548" s="287"/>
      <c r="F548" s="225">
        <v>278100</v>
      </c>
      <c r="G548" s="225">
        <v>278100</v>
      </c>
      <c r="H548" s="149" t="str">
        <f t="shared" si="9"/>
        <v>0113</v>
      </c>
    </row>
    <row r="549" spans="1:8" ht="140.25">
      <c r="A549" s="216" t="s">
        <v>666</v>
      </c>
      <c r="B549" s="287" t="s">
        <v>253</v>
      </c>
      <c r="C549" s="202" t="s">
        <v>454</v>
      </c>
      <c r="D549" s="287" t="s">
        <v>1003</v>
      </c>
      <c r="E549" s="287"/>
      <c r="F549" s="225">
        <v>178100</v>
      </c>
      <c r="G549" s="225">
        <v>178100</v>
      </c>
      <c r="H549" s="149" t="str">
        <f t="shared" si="9"/>
        <v>01131110075140</v>
      </c>
    </row>
    <row r="550" spans="1:8">
      <c r="A550" s="216" t="s">
        <v>554</v>
      </c>
      <c r="B550" s="287" t="s">
        <v>253</v>
      </c>
      <c r="C550" s="287" t="s">
        <v>454</v>
      </c>
      <c r="D550" s="287" t="s">
        <v>1003</v>
      </c>
      <c r="E550" s="287" t="s">
        <v>555</v>
      </c>
      <c r="F550" s="225">
        <v>178100</v>
      </c>
      <c r="G550" s="225">
        <v>178100</v>
      </c>
      <c r="H550" s="149" t="str">
        <f t="shared" si="9"/>
        <v>01131110075140530</v>
      </c>
    </row>
    <row r="551" spans="1:8" ht="38.25">
      <c r="A551" s="216" t="s">
        <v>551</v>
      </c>
      <c r="B551" s="287" t="s">
        <v>253</v>
      </c>
      <c r="C551" s="287" t="s">
        <v>454</v>
      </c>
      <c r="D551" s="287" t="s">
        <v>1004</v>
      </c>
      <c r="E551" s="287"/>
      <c r="F551" s="225">
        <v>100000</v>
      </c>
      <c r="G551" s="225">
        <v>100000</v>
      </c>
      <c r="H551" s="149" t="str">
        <f t="shared" si="9"/>
        <v>01139090080000</v>
      </c>
    </row>
    <row r="552" spans="1:8" ht="38.25">
      <c r="A552" s="216" t="s">
        <v>1758</v>
      </c>
      <c r="B552" s="287" t="s">
        <v>253</v>
      </c>
      <c r="C552" s="287" t="s">
        <v>454</v>
      </c>
      <c r="D552" s="287" t="s">
        <v>1004</v>
      </c>
      <c r="E552" s="287" t="s">
        <v>552</v>
      </c>
      <c r="F552" s="225">
        <v>100000</v>
      </c>
      <c r="G552" s="225">
        <v>100000</v>
      </c>
      <c r="H552" s="149" t="str">
        <f t="shared" si="9"/>
        <v>01139090080000831</v>
      </c>
    </row>
    <row r="553" spans="1:8">
      <c r="A553" s="216" t="s">
        <v>222</v>
      </c>
      <c r="B553" s="287" t="s">
        <v>253</v>
      </c>
      <c r="C553" s="202" t="s">
        <v>1605</v>
      </c>
      <c r="D553" s="287"/>
      <c r="E553" s="287"/>
      <c r="F553" s="225">
        <v>10400000</v>
      </c>
      <c r="G553" s="225">
        <v>0</v>
      </c>
      <c r="H553" s="149" t="str">
        <f t="shared" si="9"/>
        <v>0400</v>
      </c>
    </row>
    <row r="554" spans="1:8">
      <c r="A554" s="216" t="s">
        <v>224</v>
      </c>
      <c r="B554" s="287" t="s">
        <v>253</v>
      </c>
      <c r="C554" s="202" t="s">
        <v>474</v>
      </c>
      <c r="D554" s="287"/>
      <c r="E554" s="287"/>
      <c r="F554" s="225">
        <v>10400000</v>
      </c>
      <c r="G554" s="225">
        <v>0</v>
      </c>
      <c r="H554" s="149" t="str">
        <f t="shared" si="9"/>
        <v>0408</v>
      </c>
    </row>
    <row r="555" spans="1:8" ht="102">
      <c r="A555" s="216" t="s">
        <v>1006</v>
      </c>
      <c r="B555" s="287" t="s">
        <v>253</v>
      </c>
      <c r="C555" s="202" t="s">
        <v>474</v>
      </c>
      <c r="D555" s="287" t="s">
        <v>1007</v>
      </c>
      <c r="E555" s="287"/>
      <c r="F555" s="225">
        <v>10400000</v>
      </c>
      <c r="G555" s="225">
        <v>0</v>
      </c>
      <c r="H555" s="149" t="str">
        <f t="shared" ref="H555:H615" si="10">CONCATENATE(C555,,D555,E555)</f>
        <v>040809200Ч0090</v>
      </c>
    </row>
    <row r="556" spans="1:8">
      <c r="A556" s="216" t="s">
        <v>93</v>
      </c>
      <c r="B556" s="287" t="s">
        <v>253</v>
      </c>
      <c r="C556" s="202" t="s">
        <v>474</v>
      </c>
      <c r="D556" s="287" t="s">
        <v>1007</v>
      </c>
      <c r="E556" s="287" t="s">
        <v>550</v>
      </c>
      <c r="F556" s="225">
        <v>10400000</v>
      </c>
      <c r="G556" s="225">
        <v>0</v>
      </c>
      <c r="H556" s="149" t="str">
        <f t="shared" si="10"/>
        <v>040809200Ч0090540</v>
      </c>
    </row>
    <row r="557" spans="1:8">
      <c r="A557" s="216" t="s">
        <v>173</v>
      </c>
      <c r="B557" s="287" t="s">
        <v>253</v>
      </c>
      <c r="C557" s="202" t="s">
        <v>1608</v>
      </c>
      <c r="D557" s="287"/>
      <c r="E557" s="287"/>
      <c r="F557" s="225">
        <v>674240</v>
      </c>
      <c r="G557" s="225">
        <v>674240</v>
      </c>
      <c r="H557" s="149" t="str">
        <f t="shared" si="10"/>
        <v>0700</v>
      </c>
    </row>
    <row r="558" spans="1:8">
      <c r="A558" s="216" t="s">
        <v>1440</v>
      </c>
      <c r="B558" s="287" t="s">
        <v>253</v>
      </c>
      <c r="C558" s="202" t="s">
        <v>483</v>
      </c>
      <c r="D558" s="287"/>
      <c r="E558" s="287"/>
      <c r="F558" s="225">
        <v>674240</v>
      </c>
      <c r="G558" s="225">
        <v>674240</v>
      </c>
      <c r="H558" s="149" t="str">
        <f t="shared" si="10"/>
        <v>0707</v>
      </c>
    </row>
    <row r="559" spans="1:8" ht="89.25">
      <c r="A559" s="216" t="s">
        <v>556</v>
      </c>
      <c r="B559" s="287" t="s">
        <v>253</v>
      </c>
      <c r="C559" s="202" t="s">
        <v>483</v>
      </c>
      <c r="D559" s="287" t="s">
        <v>1008</v>
      </c>
      <c r="E559" s="287"/>
      <c r="F559" s="225">
        <v>674240</v>
      </c>
      <c r="G559" s="225">
        <v>674240</v>
      </c>
      <c r="H559" s="149" t="str">
        <f t="shared" si="10"/>
        <v>070706100Ч0050</v>
      </c>
    </row>
    <row r="560" spans="1:8">
      <c r="A560" s="216" t="s">
        <v>93</v>
      </c>
      <c r="B560" s="287" t="s">
        <v>253</v>
      </c>
      <c r="C560" s="287" t="s">
        <v>483</v>
      </c>
      <c r="D560" s="287" t="s">
        <v>1008</v>
      </c>
      <c r="E560" s="287" t="s">
        <v>550</v>
      </c>
      <c r="F560" s="6">
        <v>674240</v>
      </c>
      <c r="G560" s="6">
        <v>674240</v>
      </c>
      <c r="H560" s="149" t="str">
        <f t="shared" si="10"/>
        <v>070706100Ч0050540</v>
      </c>
    </row>
    <row r="561" spans="1:8">
      <c r="A561" s="216" t="s">
        <v>296</v>
      </c>
      <c r="B561" s="287" t="s">
        <v>253</v>
      </c>
      <c r="C561" s="287" t="s">
        <v>1631</v>
      </c>
      <c r="D561" s="287"/>
      <c r="E561" s="287"/>
      <c r="F561" s="6">
        <v>64000</v>
      </c>
      <c r="G561" s="6">
        <v>64000</v>
      </c>
      <c r="H561" s="149" t="str">
        <f t="shared" si="10"/>
        <v>0900</v>
      </c>
    </row>
    <row r="562" spans="1:8" ht="25.5">
      <c r="A562" s="216" t="s">
        <v>1632</v>
      </c>
      <c r="B562" s="287" t="s">
        <v>253</v>
      </c>
      <c r="C562" s="287" t="s">
        <v>491</v>
      </c>
      <c r="D562" s="287"/>
      <c r="E562" s="287"/>
      <c r="F562" s="6">
        <v>64000</v>
      </c>
      <c r="G562" s="6">
        <v>64000</v>
      </c>
      <c r="H562" s="149" t="str">
        <f t="shared" si="10"/>
        <v>0909</v>
      </c>
    </row>
    <row r="563" spans="1:8" ht="63.75">
      <c r="A563" s="216" t="s">
        <v>492</v>
      </c>
      <c r="B563" s="287" t="s">
        <v>253</v>
      </c>
      <c r="C563" s="287" t="s">
        <v>491</v>
      </c>
      <c r="D563" s="287" t="s">
        <v>1009</v>
      </c>
      <c r="E563" s="287"/>
      <c r="F563" s="6">
        <v>64000</v>
      </c>
      <c r="G563" s="6">
        <v>64000</v>
      </c>
      <c r="H563" s="149" t="str">
        <f t="shared" si="10"/>
        <v>09099090075550</v>
      </c>
    </row>
    <row r="564" spans="1:8">
      <c r="A564" s="216" t="s">
        <v>93</v>
      </c>
      <c r="B564" s="287" t="s">
        <v>253</v>
      </c>
      <c r="C564" s="287" t="s">
        <v>491</v>
      </c>
      <c r="D564" s="287" t="s">
        <v>1009</v>
      </c>
      <c r="E564" s="287" t="s">
        <v>550</v>
      </c>
      <c r="F564" s="6">
        <v>64000</v>
      </c>
      <c r="G564" s="6">
        <v>64000</v>
      </c>
      <c r="H564" s="149" t="str">
        <f t="shared" si="10"/>
        <v>09099090075550540</v>
      </c>
    </row>
    <row r="565" spans="1:8" ht="25.5">
      <c r="A565" s="216" t="s">
        <v>299</v>
      </c>
      <c r="B565" s="287" t="s">
        <v>253</v>
      </c>
      <c r="C565" s="287" t="s">
        <v>1633</v>
      </c>
      <c r="D565" s="287"/>
      <c r="E565" s="287"/>
      <c r="F565" s="6">
        <v>53535</v>
      </c>
      <c r="G565" s="6">
        <v>2740</v>
      </c>
      <c r="H565" s="149" t="str">
        <f t="shared" si="10"/>
        <v>1300</v>
      </c>
    </row>
    <row r="566" spans="1:8" ht="25.5">
      <c r="A566" s="216" t="s">
        <v>300</v>
      </c>
      <c r="B566" s="287" t="s">
        <v>253</v>
      </c>
      <c r="C566" s="287" t="s">
        <v>557</v>
      </c>
      <c r="D566" s="287"/>
      <c r="E566" s="287"/>
      <c r="F566" s="6">
        <v>53535</v>
      </c>
      <c r="G566" s="6">
        <v>2740</v>
      </c>
      <c r="H566" s="149" t="str">
        <f t="shared" si="10"/>
        <v>1301</v>
      </c>
    </row>
    <row r="567" spans="1:8" ht="38.25">
      <c r="A567" s="216" t="s">
        <v>551</v>
      </c>
      <c r="B567" s="287" t="s">
        <v>253</v>
      </c>
      <c r="C567" s="287" t="s">
        <v>557</v>
      </c>
      <c r="D567" s="287" t="s">
        <v>1004</v>
      </c>
      <c r="E567" s="287"/>
      <c r="F567" s="6">
        <v>53535</v>
      </c>
      <c r="G567" s="6">
        <v>2740</v>
      </c>
      <c r="H567" s="149" t="str">
        <f t="shared" si="10"/>
        <v>13019090080000</v>
      </c>
    </row>
    <row r="568" spans="1:8">
      <c r="A568" s="216" t="s">
        <v>558</v>
      </c>
      <c r="B568" s="287" t="s">
        <v>253</v>
      </c>
      <c r="C568" s="287" t="s">
        <v>557</v>
      </c>
      <c r="D568" s="287" t="s">
        <v>1004</v>
      </c>
      <c r="E568" s="287" t="s">
        <v>559</v>
      </c>
      <c r="F568" s="6">
        <v>53535</v>
      </c>
      <c r="G568" s="6">
        <v>2740</v>
      </c>
      <c r="H568" s="149" t="str">
        <f t="shared" si="10"/>
        <v>13019090080000730</v>
      </c>
    </row>
    <row r="569" spans="1:8" ht="51">
      <c r="A569" s="216" t="s">
        <v>1634</v>
      </c>
      <c r="B569" s="287" t="s">
        <v>253</v>
      </c>
      <c r="C569" s="287" t="s">
        <v>1635</v>
      </c>
      <c r="D569" s="287"/>
      <c r="E569" s="287"/>
      <c r="F569" s="6">
        <v>42969100</v>
      </c>
      <c r="G569" s="6">
        <v>42969100</v>
      </c>
      <c r="H569" s="149" t="str">
        <f t="shared" si="10"/>
        <v>1400</v>
      </c>
    </row>
    <row r="570" spans="1:8" ht="38.25">
      <c r="A570" s="216" t="s">
        <v>259</v>
      </c>
      <c r="B570" s="287" t="s">
        <v>253</v>
      </c>
      <c r="C570" s="287" t="s">
        <v>560</v>
      </c>
      <c r="D570" s="287"/>
      <c r="E570" s="287"/>
      <c r="F570" s="6">
        <v>42969100</v>
      </c>
      <c r="G570" s="6">
        <v>42969100</v>
      </c>
      <c r="H570" s="149" t="str">
        <f t="shared" si="10"/>
        <v>1401</v>
      </c>
    </row>
    <row r="571" spans="1:8" ht="178.5">
      <c r="A571" s="216" t="s">
        <v>1314</v>
      </c>
      <c r="B571" s="287" t="s">
        <v>253</v>
      </c>
      <c r="C571" s="287" t="s">
        <v>560</v>
      </c>
      <c r="D571" s="287" t="s">
        <v>1010</v>
      </c>
      <c r="E571" s="287"/>
      <c r="F571" s="6">
        <v>20969100</v>
      </c>
      <c r="G571" s="6">
        <v>20969100</v>
      </c>
      <c r="H571" s="149" t="str">
        <f t="shared" si="10"/>
        <v>14011110076010</v>
      </c>
    </row>
    <row r="572" spans="1:8" ht="25.5">
      <c r="A572" s="216" t="s">
        <v>680</v>
      </c>
      <c r="B572" s="287" t="s">
        <v>253</v>
      </c>
      <c r="C572" s="287" t="s">
        <v>560</v>
      </c>
      <c r="D572" s="287" t="s">
        <v>1010</v>
      </c>
      <c r="E572" s="287" t="s">
        <v>561</v>
      </c>
      <c r="F572" s="6">
        <v>20969100</v>
      </c>
      <c r="G572" s="6">
        <v>20969100</v>
      </c>
      <c r="H572" s="149" t="str">
        <f t="shared" si="10"/>
        <v>14011110076010511</v>
      </c>
    </row>
    <row r="573" spans="1:8" ht="127.5">
      <c r="A573" s="216" t="s">
        <v>669</v>
      </c>
      <c r="B573" s="287" t="s">
        <v>253</v>
      </c>
      <c r="C573" s="287" t="s">
        <v>560</v>
      </c>
      <c r="D573" s="287" t="s">
        <v>1011</v>
      </c>
      <c r="E573" s="287"/>
      <c r="F573" s="6">
        <v>22000000</v>
      </c>
      <c r="G573" s="6">
        <v>22000000</v>
      </c>
      <c r="H573" s="149" t="str">
        <f t="shared" si="10"/>
        <v>14011110080130</v>
      </c>
    </row>
    <row r="574" spans="1:8" ht="25.5">
      <c r="A574" s="216" t="s">
        <v>680</v>
      </c>
      <c r="B574" s="287" t="s">
        <v>253</v>
      </c>
      <c r="C574" s="287" t="s">
        <v>560</v>
      </c>
      <c r="D574" s="287" t="s">
        <v>1011</v>
      </c>
      <c r="E574" s="287" t="s">
        <v>561</v>
      </c>
      <c r="F574" s="6">
        <v>22000000</v>
      </c>
      <c r="G574" s="6">
        <v>22000000</v>
      </c>
      <c r="H574" s="149" t="str">
        <f t="shared" si="10"/>
        <v>14011110080130511</v>
      </c>
    </row>
    <row r="575" spans="1:8">
      <c r="A575" s="216" t="s">
        <v>319</v>
      </c>
      <c r="B575" s="287"/>
      <c r="C575" s="202"/>
      <c r="D575" s="287"/>
      <c r="E575" s="287"/>
      <c r="F575" s="225">
        <v>18100000</v>
      </c>
      <c r="G575" s="225">
        <v>37370000</v>
      </c>
      <c r="H575" s="149" t="str">
        <f t="shared" si="10"/>
        <v/>
      </c>
    </row>
    <row r="576" spans="1:8">
      <c r="H576" s="149" t="str">
        <f t="shared" si="10"/>
        <v/>
      </c>
    </row>
    <row r="577" spans="1:8">
      <c r="H577" s="149" t="str">
        <f t="shared" si="10"/>
        <v/>
      </c>
    </row>
    <row r="578" spans="1:8">
      <c r="H578" s="149" t="str">
        <f t="shared" si="10"/>
        <v/>
      </c>
    </row>
    <row r="579" spans="1:8">
      <c r="H579" s="149" t="str">
        <f t="shared" si="10"/>
        <v/>
      </c>
    </row>
    <row r="580" spans="1:8">
      <c r="H580" s="149" t="str">
        <f t="shared" si="10"/>
        <v/>
      </c>
    </row>
    <row r="581" spans="1:8">
      <c r="H581" s="149" t="str">
        <f t="shared" si="10"/>
        <v/>
      </c>
    </row>
    <row r="582" spans="1:8">
      <c r="H582" s="149" t="str">
        <f t="shared" si="10"/>
        <v/>
      </c>
    </row>
    <row r="583" spans="1:8">
      <c r="H583" s="149" t="str">
        <f t="shared" si="10"/>
        <v/>
      </c>
    </row>
    <row r="584" spans="1:8">
      <c r="H584" s="149" t="str">
        <f t="shared" si="10"/>
        <v/>
      </c>
    </row>
    <row r="585" spans="1:8">
      <c r="H585" s="149" t="str">
        <f t="shared" si="10"/>
        <v/>
      </c>
    </row>
    <row r="586" spans="1:8">
      <c r="H586" s="149" t="str">
        <f t="shared" si="10"/>
        <v/>
      </c>
    </row>
    <row r="587" spans="1:8">
      <c r="H587" s="149" t="str">
        <f t="shared" si="10"/>
        <v/>
      </c>
    </row>
    <row r="588" spans="1:8">
      <c r="H588" s="149" t="str">
        <f t="shared" si="10"/>
        <v/>
      </c>
    </row>
    <row r="589" spans="1:8">
      <c r="A589" s="331"/>
      <c r="B589" s="332"/>
      <c r="C589" s="333"/>
      <c r="D589" s="332"/>
      <c r="E589" s="332"/>
      <c r="F589" s="334"/>
      <c r="G589" s="334"/>
      <c r="H589" s="149" t="str">
        <f t="shared" si="10"/>
        <v/>
      </c>
    </row>
    <row r="590" spans="1:8">
      <c r="H590" s="149" t="str">
        <f t="shared" si="10"/>
        <v/>
      </c>
    </row>
    <row r="591" spans="1:8">
      <c r="H591" s="149" t="str">
        <f t="shared" si="10"/>
        <v/>
      </c>
    </row>
    <row r="592" spans="1:8">
      <c r="H592" s="149" t="str">
        <f t="shared" si="10"/>
        <v/>
      </c>
    </row>
    <row r="593" spans="8:8">
      <c r="H593" s="149" t="str">
        <f t="shared" si="10"/>
        <v/>
      </c>
    </row>
    <row r="594" spans="8:8">
      <c r="H594" s="149" t="str">
        <f t="shared" si="10"/>
        <v/>
      </c>
    </row>
    <row r="595" spans="8:8">
      <c r="H595" s="149" t="str">
        <f t="shared" si="10"/>
        <v/>
      </c>
    </row>
    <row r="596" spans="8:8">
      <c r="H596" s="149" t="str">
        <f t="shared" si="10"/>
        <v/>
      </c>
    </row>
    <row r="597" spans="8:8">
      <c r="H597" s="149" t="str">
        <f t="shared" si="10"/>
        <v/>
      </c>
    </row>
    <row r="598" spans="8:8">
      <c r="H598" s="149" t="str">
        <f t="shared" si="10"/>
        <v/>
      </c>
    </row>
    <row r="599" spans="8:8">
      <c r="H599" s="149" t="str">
        <f t="shared" si="10"/>
        <v/>
      </c>
    </row>
    <row r="600" spans="8:8">
      <c r="H600" s="149" t="str">
        <f t="shared" si="10"/>
        <v/>
      </c>
    </row>
    <row r="601" spans="8:8">
      <c r="H601" s="149" t="str">
        <f t="shared" si="10"/>
        <v/>
      </c>
    </row>
    <row r="602" spans="8:8">
      <c r="H602" s="149" t="str">
        <f t="shared" si="10"/>
        <v/>
      </c>
    </row>
    <row r="603" spans="8:8">
      <c r="H603" s="149" t="str">
        <f t="shared" si="10"/>
        <v/>
      </c>
    </row>
    <row r="604" spans="8:8">
      <c r="H604" s="149" t="str">
        <f t="shared" si="10"/>
        <v/>
      </c>
    </row>
    <row r="605" spans="8:8">
      <c r="H605" s="149" t="str">
        <f t="shared" si="10"/>
        <v/>
      </c>
    </row>
    <row r="606" spans="8:8">
      <c r="H606" s="149" t="str">
        <f t="shared" si="10"/>
        <v/>
      </c>
    </row>
    <row r="607" spans="8:8">
      <c r="H607" s="149" t="str">
        <f t="shared" si="10"/>
        <v/>
      </c>
    </row>
    <row r="608" spans="8:8">
      <c r="H608" s="149" t="str">
        <f t="shared" si="10"/>
        <v/>
      </c>
    </row>
    <row r="609" spans="8:8">
      <c r="H609" s="149" t="str">
        <f t="shared" si="10"/>
        <v/>
      </c>
    </row>
    <row r="610" spans="8:8">
      <c r="H610" s="149" t="str">
        <f t="shared" si="10"/>
        <v/>
      </c>
    </row>
    <row r="611" spans="8:8">
      <c r="H611" s="149" t="str">
        <f t="shared" si="10"/>
        <v/>
      </c>
    </row>
    <row r="612" spans="8:8">
      <c r="H612" s="149" t="str">
        <f t="shared" si="10"/>
        <v/>
      </c>
    </row>
    <row r="613" spans="8:8">
      <c r="H613" s="149" t="str">
        <f t="shared" si="10"/>
        <v/>
      </c>
    </row>
    <row r="614" spans="8:8">
      <c r="H614" s="149" t="str">
        <f t="shared" si="10"/>
        <v/>
      </c>
    </row>
    <row r="615" spans="8:8">
      <c r="H615" s="149" t="str">
        <f t="shared" si="10"/>
        <v/>
      </c>
    </row>
    <row r="616" spans="8:8">
      <c r="H616" s="149" t="str">
        <f t="shared" ref="H616:H679" si="11">CONCATENATE(C616,,D616,E616)</f>
        <v/>
      </c>
    </row>
    <row r="617" spans="8:8">
      <c r="H617" s="149" t="str">
        <f t="shared" si="11"/>
        <v/>
      </c>
    </row>
    <row r="618" spans="8:8">
      <c r="H618" s="149" t="str">
        <f t="shared" si="11"/>
        <v/>
      </c>
    </row>
    <row r="619" spans="8:8">
      <c r="H619" s="149" t="str">
        <f t="shared" si="11"/>
        <v/>
      </c>
    </row>
    <row r="620" spans="8:8">
      <c r="H620" s="149" t="str">
        <f t="shared" si="11"/>
        <v/>
      </c>
    </row>
    <row r="621" spans="8:8">
      <c r="H621" s="149" t="str">
        <f t="shared" si="11"/>
        <v/>
      </c>
    </row>
    <row r="622" spans="8:8">
      <c r="H622" s="149" t="str">
        <f t="shared" si="11"/>
        <v/>
      </c>
    </row>
    <row r="623" spans="8:8">
      <c r="H623" s="149" t="str">
        <f t="shared" si="11"/>
        <v/>
      </c>
    </row>
    <row r="624" spans="8:8">
      <c r="H624" s="149" t="str">
        <f t="shared" si="11"/>
        <v/>
      </c>
    </row>
    <row r="625" spans="8:8">
      <c r="H625" s="149" t="str">
        <f t="shared" si="11"/>
        <v/>
      </c>
    </row>
    <row r="626" spans="8:8">
      <c r="H626" s="149" t="str">
        <f t="shared" si="11"/>
        <v/>
      </c>
    </row>
    <row r="627" spans="8:8">
      <c r="H627" s="149" t="str">
        <f t="shared" si="11"/>
        <v/>
      </c>
    </row>
    <row r="628" spans="8:8">
      <c r="H628" s="149" t="str">
        <f t="shared" si="11"/>
        <v/>
      </c>
    </row>
    <row r="629" spans="8:8">
      <c r="H629" s="149" t="str">
        <f t="shared" si="11"/>
        <v/>
      </c>
    </row>
    <row r="630" spans="8:8">
      <c r="H630" s="149" t="str">
        <f t="shared" si="11"/>
        <v/>
      </c>
    </row>
    <row r="631" spans="8:8">
      <c r="H631" s="149" t="str">
        <f t="shared" si="11"/>
        <v/>
      </c>
    </row>
    <row r="632" spans="8:8">
      <c r="H632" s="149" t="str">
        <f t="shared" si="11"/>
        <v/>
      </c>
    </row>
    <row r="633" spans="8:8">
      <c r="H633" s="149" t="str">
        <f t="shared" si="11"/>
        <v/>
      </c>
    </row>
    <row r="634" spans="8:8">
      <c r="H634" s="149" t="str">
        <f t="shared" si="11"/>
        <v/>
      </c>
    </row>
    <row r="635" spans="8:8">
      <c r="H635" s="149" t="str">
        <f t="shared" si="11"/>
        <v/>
      </c>
    </row>
    <row r="636" spans="8:8">
      <c r="H636" s="149" t="str">
        <f t="shared" si="11"/>
        <v/>
      </c>
    </row>
    <row r="637" spans="8:8">
      <c r="H637" s="149" t="str">
        <f t="shared" si="11"/>
        <v/>
      </c>
    </row>
    <row r="638" spans="8:8">
      <c r="H638" s="149" t="str">
        <f t="shared" si="11"/>
        <v/>
      </c>
    </row>
    <row r="639" spans="8:8">
      <c r="H639" s="149" t="str">
        <f t="shared" si="11"/>
        <v/>
      </c>
    </row>
    <row r="640" spans="8:8">
      <c r="H640" s="149" t="str">
        <f t="shared" si="11"/>
        <v/>
      </c>
    </row>
    <row r="641" spans="8:8">
      <c r="H641" s="149" t="str">
        <f t="shared" si="11"/>
        <v/>
      </c>
    </row>
    <row r="642" spans="8:8">
      <c r="H642" s="149" t="str">
        <f t="shared" si="11"/>
        <v/>
      </c>
    </row>
    <row r="643" spans="8:8">
      <c r="H643" s="149" t="str">
        <f t="shared" si="11"/>
        <v/>
      </c>
    </row>
    <row r="644" spans="8:8">
      <c r="H644" s="149" t="str">
        <f t="shared" si="11"/>
        <v/>
      </c>
    </row>
    <row r="645" spans="8:8">
      <c r="H645" s="149" t="str">
        <f t="shared" si="11"/>
        <v/>
      </c>
    </row>
    <row r="646" spans="8:8">
      <c r="H646" s="149" t="str">
        <f t="shared" si="11"/>
        <v/>
      </c>
    </row>
    <row r="647" spans="8:8">
      <c r="H647" s="149" t="str">
        <f t="shared" si="11"/>
        <v/>
      </c>
    </row>
    <row r="648" spans="8:8">
      <c r="H648" s="149" t="str">
        <f t="shared" si="11"/>
        <v/>
      </c>
    </row>
    <row r="649" spans="8:8">
      <c r="H649" s="149" t="str">
        <f t="shared" si="11"/>
        <v/>
      </c>
    </row>
    <row r="650" spans="8:8">
      <c r="H650" s="149" t="str">
        <f t="shared" si="11"/>
        <v/>
      </c>
    </row>
    <row r="651" spans="8:8">
      <c r="H651" s="149" t="str">
        <f t="shared" si="11"/>
        <v/>
      </c>
    </row>
    <row r="652" spans="8:8">
      <c r="H652" s="149" t="str">
        <f t="shared" si="11"/>
        <v/>
      </c>
    </row>
    <row r="653" spans="8:8">
      <c r="H653" s="149" t="str">
        <f t="shared" si="11"/>
        <v/>
      </c>
    </row>
    <row r="654" spans="8:8">
      <c r="H654" s="149" t="str">
        <f t="shared" si="11"/>
        <v/>
      </c>
    </row>
    <row r="655" spans="8:8">
      <c r="H655" s="149" t="str">
        <f t="shared" si="11"/>
        <v/>
      </c>
    </row>
    <row r="656" spans="8:8">
      <c r="H656" s="149" t="str">
        <f t="shared" si="11"/>
        <v/>
      </c>
    </row>
    <row r="657" spans="8:8">
      <c r="H657" s="149" t="str">
        <f t="shared" si="11"/>
        <v/>
      </c>
    </row>
    <row r="658" spans="8:8">
      <c r="H658" s="149" t="str">
        <f t="shared" si="11"/>
        <v/>
      </c>
    </row>
    <row r="659" spans="8:8">
      <c r="H659" s="149" t="str">
        <f t="shared" si="11"/>
        <v/>
      </c>
    </row>
    <row r="660" spans="8:8">
      <c r="H660" s="149" t="str">
        <f t="shared" si="11"/>
        <v/>
      </c>
    </row>
    <row r="661" spans="8:8">
      <c r="H661" s="149" t="str">
        <f t="shared" si="11"/>
        <v/>
      </c>
    </row>
    <row r="662" spans="8:8">
      <c r="H662" s="149" t="str">
        <f t="shared" si="11"/>
        <v/>
      </c>
    </row>
    <row r="663" spans="8:8">
      <c r="H663" s="149" t="str">
        <f t="shared" si="11"/>
        <v/>
      </c>
    </row>
    <row r="664" spans="8:8">
      <c r="H664" s="149" t="str">
        <f t="shared" si="11"/>
        <v/>
      </c>
    </row>
    <row r="665" spans="8:8">
      <c r="H665" s="149" t="str">
        <f t="shared" si="11"/>
        <v/>
      </c>
    </row>
    <row r="666" spans="8:8">
      <c r="H666" s="149" t="str">
        <f t="shared" si="11"/>
        <v/>
      </c>
    </row>
    <row r="667" spans="8:8">
      <c r="H667" s="149" t="str">
        <f t="shared" si="11"/>
        <v/>
      </c>
    </row>
    <row r="668" spans="8:8">
      <c r="H668" s="149" t="str">
        <f t="shared" si="11"/>
        <v/>
      </c>
    </row>
    <row r="669" spans="8:8">
      <c r="H669" s="149" t="str">
        <f t="shared" si="11"/>
        <v/>
      </c>
    </row>
    <row r="670" spans="8:8">
      <c r="H670" s="149" t="str">
        <f t="shared" si="11"/>
        <v/>
      </c>
    </row>
    <row r="671" spans="8:8">
      <c r="H671" s="149" t="str">
        <f t="shared" si="11"/>
        <v/>
      </c>
    </row>
    <row r="672" spans="8:8">
      <c r="H672" s="149" t="str">
        <f t="shared" si="11"/>
        <v/>
      </c>
    </row>
    <row r="673" spans="8:8">
      <c r="H673" s="149" t="str">
        <f t="shared" si="11"/>
        <v/>
      </c>
    </row>
    <row r="674" spans="8:8">
      <c r="H674" s="149" t="str">
        <f t="shared" si="11"/>
        <v/>
      </c>
    </row>
    <row r="675" spans="8:8">
      <c r="H675" s="149" t="str">
        <f t="shared" si="11"/>
        <v/>
      </c>
    </row>
    <row r="676" spans="8:8">
      <c r="H676" s="149" t="str">
        <f t="shared" si="11"/>
        <v/>
      </c>
    </row>
    <row r="677" spans="8:8">
      <c r="H677" s="149" t="str">
        <f t="shared" si="11"/>
        <v/>
      </c>
    </row>
    <row r="678" spans="8:8">
      <c r="H678" s="149" t="str">
        <f t="shared" si="11"/>
        <v/>
      </c>
    </row>
    <row r="679" spans="8:8">
      <c r="H679" s="149" t="str">
        <f t="shared" si="11"/>
        <v/>
      </c>
    </row>
    <row r="680" spans="8:8">
      <c r="H680" s="149" t="str">
        <f t="shared" ref="H680:H695" si="12">CONCATENATE(C680,,D680,E680)</f>
        <v/>
      </c>
    </row>
    <row r="681" spans="8:8">
      <c r="H681" s="149" t="str">
        <f t="shared" si="12"/>
        <v/>
      </c>
    </row>
    <row r="682" spans="8:8">
      <c r="H682" s="149" t="str">
        <f t="shared" si="12"/>
        <v/>
      </c>
    </row>
    <row r="683" spans="8:8">
      <c r="H683" s="149" t="str">
        <f t="shared" si="12"/>
        <v/>
      </c>
    </row>
    <row r="684" spans="8:8">
      <c r="H684" s="149" t="str">
        <f t="shared" si="12"/>
        <v/>
      </c>
    </row>
    <row r="685" spans="8:8">
      <c r="H685" s="149" t="str">
        <f t="shared" si="12"/>
        <v/>
      </c>
    </row>
    <row r="686" spans="8:8">
      <c r="H686" s="149" t="str">
        <f t="shared" si="12"/>
        <v/>
      </c>
    </row>
    <row r="687" spans="8:8">
      <c r="H687" s="149" t="str">
        <f t="shared" si="12"/>
        <v/>
      </c>
    </row>
    <row r="688" spans="8:8">
      <c r="H688" s="149" t="str">
        <f t="shared" si="12"/>
        <v/>
      </c>
    </row>
    <row r="689" spans="8:8">
      <c r="H689" s="149" t="str">
        <f t="shared" si="12"/>
        <v/>
      </c>
    </row>
    <row r="690" spans="8:8">
      <c r="H690" s="149" t="str">
        <f t="shared" si="12"/>
        <v/>
      </c>
    </row>
    <row r="691" spans="8:8">
      <c r="H691" s="149" t="str">
        <f t="shared" si="12"/>
        <v/>
      </c>
    </row>
    <row r="692" spans="8:8">
      <c r="H692" s="149" t="str">
        <f t="shared" si="12"/>
        <v/>
      </c>
    </row>
    <row r="693" spans="8:8">
      <c r="H693" s="149" t="str">
        <f t="shared" si="12"/>
        <v/>
      </c>
    </row>
    <row r="694" spans="8:8">
      <c r="H694" s="149" t="str">
        <f t="shared" si="12"/>
        <v/>
      </c>
    </row>
    <row r="695" spans="8:8">
      <c r="H695" s="149" t="str">
        <f t="shared" si="12"/>
        <v/>
      </c>
    </row>
  </sheetData>
  <autoFilter ref="A6:I695">
    <filterColumn colId="1"/>
  </autoFilter>
  <mergeCells count="8">
    <mergeCell ref="A1:G1"/>
    <mergeCell ref="A2:G2"/>
    <mergeCell ref="A3:G3"/>
    <mergeCell ref="A7:E7"/>
    <mergeCell ref="G5:G6"/>
    <mergeCell ref="A5:A6"/>
    <mergeCell ref="B5:E5"/>
    <mergeCell ref="F5:F6"/>
  </mergeCells>
  <pageMargins left="0.70866141732283472" right="0.31496062992125984" top="0.74803149606299213" bottom="0.74803149606299213" header="0.31496062992125984" footer="0.31496062992125984"/>
  <pageSetup paperSize="9" scale="80" orientation="portrait" r:id="rId1"/>
</worksheet>
</file>

<file path=xl/worksheets/sheet13.xml><?xml version="1.0" encoding="utf-8"?>
<worksheet xmlns="http://schemas.openxmlformats.org/spreadsheetml/2006/main" xmlns:r="http://schemas.openxmlformats.org/officeDocument/2006/relationships">
  <sheetPr codeName="Лист6">
    <tabColor rgb="FF92D050"/>
  </sheetPr>
  <dimension ref="A1:G54"/>
  <sheetViews>
    <sheetView topLeftCell="A2" workbookViewId="0">
      <selection activeCell="I10" sqref="I10"/>
    </sheetView>
  </sheetViews>
  <sheetFormatPr defaultRowHeight="12.75"/>
  <cols>
    <col min="1" max="1" width="46.28515625" style="55" customWidth="1"/>
    <col min="2" max="2" width="8.140625" style="4" customWidth="1"/>
    <col min="3" max="3" width="5.7109375" style="4" customWidth="1"/>
    <col min="4" max="4" width="16.5703125" style="4" customWidth="1"/>
    <col min="5" max="5" width="17" style="4" customWidth="1"/>
    <col min="6" max="6" width="11" style="4" customWidth="1"/>
    <col min="7" max="7" width="18.42578125" style="4" customWidth="1"/>
    <col min="8" max="16384" width="9.140625" style="4"/>
  </cols>
  <sheetData>
    <row r="1" spans="1:7" ht="44.25" hidden="1" customHeight="1">
      <c r="A1" s="508"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508"/>
      <c r="C1" s="508"/>
      <c r="D1" s="508"/>
      <c r="E1" s="414"/>
      <c r="F1" s="414"/>
      <c r="G1" s="414"/>
    </row>
    <row r="2" spans="1:7" ht="48" customHeight="1">
      <c r="A2" s="508" t="str">
        <f>"Приложение №"&amp;Н1фун&amp;" к решению
Богучанского районного Совета депутатов
от "&amp;Р1дата&amp;" года №"&amp;Р1номер</f>
        <v>Приложение №4 к решению
Богучанского районного Совета депутатов
от     " " 2018 года №</v>
      </c>
      <c r="B2" s="508"/>
      <c r="C2" s="508"/>
      <c r="D2" s="508"/>
      <c r="E2" s="508"/>
      <c r="F2" s="508"/>
      <c r="G2" s="414"/>
    </row>
    <row r="3" spans="1:7" ht="60" customHeight="1">
      <c r="A3" s="509" t="str">
        <f>"Распределение бюджетных ассигнований по разделам и подразделам бюджетной классификации расходов бюджетов  Российской  Федерации за "&amp;год&amp;" год"</f>
        <v>Распределение бюджетных ассигнований по разделам и подразделам бюджетной классификации расходов бюджетов  Российской  Федерации за 2017 год</v>
      </c>
      <c r="B3" s="509"/>
      <c r="C3" s="509"/>
      <c r="D3" s="509"/>
      <c r="E3" s="509"/>
      <c r="F3" s="509"/>
      <c r="G3" s="413"/>
    </row>
    <row r="4" spans="1:7">
      <c r="E4" s="11"/>
      <c r="F4" s="11" t="s">
        <v>94</v>
      </c>
      <c r="G4" s="11"/>
    </row>
    <row r="5" spans="1:7">
      <c r="A5" s="563" t="s">
        <v>280</v>
      </c>
      <c r="B5" s="568" t="s">
        <v>214</v>
      </c>
      <c r="C5" s="569"/>
      <c r="D5" s="563" t="s">
        <v>2454</v>
      </c>
      <c r="E5" s="563" t="s">
        <v>2455</v>
      </c>
      <c r="F5" s="563" t="s">
        <v>2194</v>
      </c>
      <c r="G5" s="415"/>
    </row>
    <row r="6" spans="1:7" ht="38.25">
      <c r="A6" s="563"/>
      <c r="B6" s="248" t="s">
        <v>1249</v>
      </c>
      <c r="C6" s="248" t="s">
        <v>281</v>
      </c>
      <c r="D6" s="563"/>
      <c r="E6" s="563"/>
      <c r="F6" s="563"/>
      <c r="G6" s="415"/>
    </row>
    <row r="7" spans="1:7" s="14" customFormat="1">
      <c r="A7" s="565" t="s">
        <v>846</v>
      </c>
      <c r="B7" s="566"/>
      <c r="C7" s="567"/>
      <c r="D7" s="213">
        <v>2119922020.1199999</v>
      </c>
      <c r="E7" s="213">
        <v>2028300069.1700001</v>
      </c>
      <c r="F7" s="213">
        <f>E7/D7*100</f>
        <v>95.67805088675793</v>
      </c>
      <c r="G7" s="416"/>
    </row>
    <row r="8" spans="1:7">
      <c r="A8" s="54" t="s">
        <v>282</v>
      </c>
      <c r="B8" s="218" t="s">
        <v>163</v>
      </c>
      <c r="C8" s="217" t="s">
        <v>159</v>
      </c>
      <c r="D8" s="219">
        <v>70487736.030000001</v>
      </c>
      <c r="E8" s="219">
        <v>67447547.040000007</v>
      </c>
      <c r="F8" s="213">
        <f t="shared" ref="F8:F54" si="0">E8/D8*100</f>
        <v>95.68692490179275</v>
      </c>
      <c r="G8" s="417"/>
    </row>
    <row r="9" spans="1:7" ht="38.25">
      <c r="A9" s="54" t="s">
        <v>1883</v>
      </c>
      <c r="B9" s="217" t="s">
        <v>163</v>
      </c>
      <c r="C9" s="217" t="s">
        <v>271</v>
      </c>
      <c r="D9" s="219">
        <v>1314246</v>
      </c>
      <c r="E9" s="219">
        <v>1257174.3899999999</v>
      </c>
      <c r="F9" s="213">
        <f t="shared" si="0"/>
        <v>95.657463671184843</v>
      </c>
      <c r="G9" s="417"/>
    </row>
    <row r="10" spans="1:7" ht="51">
      <c r="A10" s="54" t="s">
        <v>92</v>
      </c>
      <c r="B10" s="217" t="s">
        <v>163</v>
      </c>
      <c r="C10" s="217" t="s">
        <v>283</v>
      </c>
      <c r="D10" s="219">
        <v>4386710</v>
      </c>
      <c r="E10" s="219">
        <v>4370547.3499999996</v>
      </c>
      <c r="F10" s="213">
        <f t="shared" si="0"/>
        <v>99.631554171577321</v>
      </c>
      <c r="G10" s="417"/>
    </row>
    <row r="11" spans="1:7" ht="51">
      <c r="A11" s="54" t="s">
        <v>284</v>
      </c>
      <c r="B11" s="217" t="s">
        <v>163</v>
      </c>
      <c r="C11" s="217" t="s">
        <v>285</v>
      </c>
      <c r="D11" s="219">
        <v>44581090.509999998</v>
      </c>
      <c r="E11" s="219">
        <v>42475950.710000001</v>
      </c>
      <c r="F11" s="213">
        <f t="shared" si="0"/>
        <v>95.277953554034767</v>
      </c>
      <c r="G11" s="417"/>
    </row>
    <row r="12" spans="1:7" ht="38.25">
      <c r="A12" s="53" t="s">
        <v>264</v>
      </c>
      <c r="B12" s="137" t="s">
        <v>163</v>
      </c>
      <c r="C12" s="137" t="s">
        <v>276</v>
      </c>
      <c r="D12" s="219">
        <v>14037350.890000001</v>
      </c>
      <c r="E12" s="219">
        <v>14008570.189999999</v>
      </c>
      <c r="F12" s="213">
        <f t="shared" si="0"/>
        <v>99.794970573682079</v>
      </c>
      <c r="G12" s="417"/>
    </row>
    <row r="13" spans="1:7">
      <c r="A13" s="54" t="s">
        <v>69</v>
      </c>
      <c r="B13" s="217" t="s">
        <v>163</v>
      </c>
      <c r="C13" s="217" t="s">
        <v>35</v>
      </c>
      <c r="D13" s="219">
        <v>679646</v>
      </c>
      <c r="E13" s="219">
        <v>0</v>
      </c>
      <c r="F13" s="213">
        <f t="shared" si="0"/>
        <v>0</v>
      </c>
      <c r="G13" s="417"/>
    </row>
    <row r="14" spans="1:7">
      <c r="A14" s="54" t="s">
        <v>265</v>
      </c>
      <c r="B14" s="217" t="s">
        <v>163</v>
      </c>
      <c r="C14" s="217" t="s">
        <v>96</v>
      </c>
      <c r="D14" s="219">
        <v>5488692.6299999999</v>
      </c>
      <c r="E14" s="219">
        <v>5335304.4000000004</v>
      </c>
      <c r="F14" s="213">
        <f t="shared" si="0"/>
        <v>97.205377667504777</v>
      </c>
      <c r="G14" s="417"/>
    </row>
    <row r="15" spans="1:7">
      <c r="A15" s="54" t="s">
        <v>232</v>
      </c>
      <c r="B15" s="217" t="s">
        <v>271</v>
      </c>
      <c r="C15" s="217" t="s">
        <v>159</v>
      </c>
      <c r="D15" s="219">
        <v>4131005</v>
      </c>
      <c r="E15" s="219">
        <v>4076645.37</v>
      </c>
      <c r="F15" s="213">
        <f t="shared" si="0"/>
        <v>98.684106409941407</v>
      </c>
      <c r="G15" s="417"/>
    </row>
    <row r="16" spans="1:7">
      <c r="A16" s="54" t="s">
        <v>233</v>
      </c>
      <c r="B16" s="217" t="s">
        <v>271</v>
      </c>
      <c r="C16" s="217" t="s">
        <v>283</v>
      </c>
      <c r="D16" s="219">
        <v>4131005</v>
      </c>
      <c r="E16" s="219">
        <v>4076645.37</v>
      </c>
      <c r="F16" s="213">
        <f t="shared" si="0"/>
        <v>98.684106409941407</v>
      </c>
      <c r="G16" s="417"/>
    </row>
    <row r="17" spans="1:7" ht="25.5">
      <c r="A17" s="54" t="s">
        <v>286</v>
      </c>
      <c r="B17" s="217" t="s">
        <v>283</v>
      </c>
      <c r="C17" s="217" t="s">
        <v>159</v>
      </c>
      <c r="D17" s="219">
        <v>26960613.489999998</v>
      </c>
      <c r="E17" s="219">
        <v>24422092.289999999</v>
      </c>
      <c r="F17" s="213">
        <f t="shared" si="0"/>
        <v>90.584334436819972</v>
      </c>
      <c r="G17" s="417"/>
    </row>
    <row r="18" spans="1:7" ht="38.25">
      <c r="A18" s="54" t="s">
        <v>311</v>
      </c>
      <c r="B18" s="217" t="s">
        <v>283</v>
      </c>
      <c r="C18" s="217" t="s">
        <v>34</v>
      </c>
      <c r="D18" s="219">
        <v>3031115.04</v>
      </c>
      <c r="E18" s="219">
        <v>2259804.34</v>
      </c>
      <c r="F18" s="213">
        <f t="shared" si="0"/>
        <v>74.553565607988276</v>
      </c>
      <c r="G18" s="417"/>
    </row>
    <row r="19" spans="1:7">
      <c r="A19" s="54" t="s">
        <v>133</v>
      </c>
      <c r="B19" s="217" t="s">
        <v>283</v>
      </c>
      <c r="C19" s="217" t="s">
        <v>237</v>
      </c>
      <c r="D19" s="219">
        <v>23929498.449999999</v>
      </c>
      <c r="E19" s="219">
        <v>22162287.949999999</v>
      </c>
      <c r="F19" s="213">
        <f t="shared" si="0"/>
        <v>92.614928793043717</v>
      </c>
      <c r="G19" s="417"/>
    </row>
    <row r="20" spans="1:7">
      <c r="A20" s="54" t="s">
        <v>222</v>
      </c>
      <c r="B20" s="217" t="s">
        <v>285</v>
      </c>
      <c r="C20" s="217" t="s">
        <v>159</v>
      </c>
      <c r="D20" s="219">
        <v>78622187.129999995</v>
      </c>
      <c r="E20" s="219">
        <v>75145515.209999993</v>
      </c>
      <c r="F20" s="213">
        <f t="shared" si="0"/>
        <v>95.578001519785488</v>
      </c>
      <c r="G20" s="417"/>
    </row>
    <row r="21" spans="1:7">
      <c r="A21" s="54" t="s">
        <v>223</v>
      </c>
      <c r="B21" s="217" t="s">
        <v>285</v>
      </c>
      <c r="C21" s="217" t="s">
        <v>275</v>
      </c>
      <c r="D21" s="219">
        <v>1182812.98</v>
      </c>
      <c r="E21" s="219">
        <v>1133020.27</v>
      </c>
      <c r="F21" s="213">
        <f t="shared" si="0"/>
        <v>95.790314205040261</v>
      </c>
      <c r="G21" s="417"/>
    </row>
    <row r="22" spans="1:7">
      <c r="A22" s="54" t="s">
        <v>224</v>
      </c>
      <c r="B22" s="217" t="s">
        <v>285</v>
      </c>
      <c r="C22" s="217" t="s">
        <v>39</v>
      </c>
      <c r="D22" s="219">
        <v>34957000</v>
      </c>
      <c r="E22" s="219">
        <v>34635970.030000001</v>
      </c>
      <c r="F22" s="213">
        <f t="shared" si="0"/>
        <v>99.081643247418256</v>
      </c>
      <c r="G22" s="417"/>
    </row>
    <row r="23" spans="1:7">
      <c r="A23" s="54" t="s">
        <v>303</v>
      </c>
      <c r="B23" s="217" t="s">
        <v>285</v>
      </c>
      <c r="C23" s="217" t="s">
        <v>34</v>
      </c>
      <c r="D23" s="219">
        <v>35292330</v>
      </c>
      <c r="E23" s="219">
        <v>35041166.649999999</v>
      </c>
      <c r="F23" s="213">
        <f t="shared" si="0"/>
        <v>99.288334462473841</v>
      </c>
      <c r="G23" s="417"/>
    </row>
    <row r="24" spans="1:7">
      <c r="A24" s="54" t="s">
        <v>1889</v>
      </c>
      <c r="B24" s="217" t="s">
        <v>285</v>
      </c>
      <c r="C24" s="217" t="s">
        <v>237</v>
      </c>
      <c r="D24" s="219">
        <v>112813</v>
      </c>
      <c r="E24" s="219">
        <v>63225.81</v>
      </c>
      <c r="F24" s="213">
        <f t="shared" si="0"/>
        <v>56.044790937214685</v>
      </c>
      <c r="G24" s="417"/>
    </row>
    <row r="25" spans="1:7" ht="25.5">
      <c r="A25" s="54" t="s">
        <v>180</v>
      </c>
      <c r="B25" s="217" t="s">
        <v>285</v>
      </c>
      <c r="C25" s="217" t="s">
        <v>244</v>
      </c>
      <c r="D25" s="219">
        <v>7077231.1500000004</v>
      </c>
      <c r="E25" s="219">
        <v>4272132.45</v>
      </c>
      <c r="F25" s="213">
        <f t="shared" si="0"/>
        <v>60.364461177730497</v>
      </c>
      <c r="G25" s="417"/>
    </row>
    <row r="26" spans="1:7">
      <c r="A26" s="54" t="s">
        <v>287</v>
      </c>
      <c r="B26" s="217" t="s">
        <v>275</v>
      </c>
      <c r="C26" s="217" t="s">
        <v>159</v>
      </c>
      <c r="D26" s="219">
        <v>279233789.22000003</v>
      </c>
      <c r="E26" s="219">
        <v>257765054.52000001</v>
      </c>
      <c r="F26" s="213">
        <f t="shared" si="0"/>
        <v>92.311555575000469</v>
      </c>
      <c r="G26" s="417"/>
    </row>
    <row r="27" spans="1:7">
      <c r="A27" s="54" t="s">
        <v>3</v>
      </c>
      <c r="B27" s="217" t="s">
        <v>275</v>
      </c>
      <c r="C27" s="217" t="s">
        <v>163</v>
      </c>
      <c r="D27" s="219">
        <v>8208378.25</v>
      </c>
      <c r="E27" s="219">
        <v>8208378.25</v>
      </c>
      <c r="F27" s="213">
        <f t="shared" si="0"/>
        <v>100</v>
      </c>
      <c r="G27" s="417"/>
    </row>
    <row r="28" spans="1:7">
      <c r="A28" s="54" t="s">
        <v>181</v>
      </c>
      <c r="B28" s="217" t="s">
        <v>275</v>
      </c>
      <c r="C28" s="217" t="s">
        <v>271</v>
      </c>
      <c r="D28" s="219">
        <v>262648583.77000001</v>
      </c>
      <c r="E28" s="219">
        <v>241538637.53</v>
      </c>
      <c r="F28" s="213">
        <f t="shared" si="0"/>
        <v>91.962665118161894</v>
      </c>
      <c r="G28" s="417"/>
    </row>
    <row r="29" spans="1:7">
      <c r="A29" s="54" t="s">
        <v>45</v>
      </c>
      <c r="B29" s="217" t="s">
        <v>275</v>
      </c>
      <c r="C29" s="217" t="s">
        <v>283</v>
      </c>
      <c r="D29" s="219">
        <v>4730740</v>
      </c>
      <c r="E29" s="219">
        <v>4381421.54</v>
      </c>
      <c r="F29" s="213">
        <f t="shared" si="0"/>
        <v>92.61598692804931</v>
      </c>
      <c r="G29" s="417"/>
    </row>
    <row r="30" spans="1:7" ht="25.5">
      <c r="A30" s="54" t="s">
        <v>186</v>
      </c>
      <c r="B30" s="217" t="s">
        <v>275</v>
      </c>
      <c r="C30" s="217" t="s">
        <v>275</v>
      </c>
      <c r="D30" s="219">
        <v>3646087.2</v>
      </c>
      <c r="E30" s="219">
        <v>3636617.2</v>
      </c>
      <c r="F30" s="213">
        <f t="shared" si="0"/>
        <v>99.74026951412462</v>
      </c>
      <c r="G30" s="417"/>
    </row>
    <row r="31" spans="1:7">
      <c r="A31" s="54" t="s">
        <v>173</v>
      </c>
      <c r="B31" s="217" t="s">
        <v>30</v>
      </c>
      <c r="C31" s="217" t="s">
        <v>159</v>
      </c>
      <c r="D31" s="219">
        <v>1271206104.6700001</v>
      </c>
      <c r="E31" s="219">
        <v>1227241027.9400001</v>
      </c>
      <c r="F31" s="213">
        <f t="shared" si="0"/>
        <v>96.541467463970903</v>
      </c>
      <c r="G31" s="417"/>
    </row>
    <row r="32" spans="1:7">
      <c r="A32" s="54" t="s">
        <v>187</v>
      </c>
      <c r="B32" s="217" t="s">
        <v>30</v>
      </c>
      <c r="C32" s="217" t="s">
        <v>163</v>
      </c>
      <c r="D32" s="219">
        <v>427522078.88</v>
      </c>
      <c r="E32" s="219">
        <v>413254140.69999999</v>
      </c>
      <c r="F32" s="213">
        <f t="shared" si="0"/>
        <v>96.662642963989512</v>
      </c>
      <c r="G32" s="417"/>
    </row>
    <row r="33" spans="1:7">
      <c r="A33" s="54" t="s">
        <v>188</v>
      </c>
      <c r="B33" s="217" t="s">
        <v>30</v>
      </c>
      <c r="C33" s="217" t="s">
        <v>271</v>
      </c>
      <c r="D33" s="219">
        <v>698562947.73000002</v>
      </c>
      <c r="E33" s="219">
        <v>674915412.21000004</v>
      </c>
      <c r="F33" s="213">
        <f t="shared" si="0"/>
        <v>96.614831119107691</v>
      </c>
      <c r="G33" s="417"/>
    </row>
    <row r="34" spans="1:7">
      <c r="A34" s="54" t="s">
        <v>1442</v>
      </c>
      <c r="B34" s="217" t="s">
        <v>30</v>
      </c>
      <c r="C34" s="217" t="s">
        <v>283</v>
      </c>
      <c r="D34" s="219">
        <v>81552470.769999996</v>
      </c>
      <c r="E34" s="219">
        <v>77528608.909999996</v>
      </c>
      <c r="F34" s="213">
        <f t="shared" si="0"/>
        <v>95.065922807724149</v>
      </c>
      <c r="G34" s="417"/>
    </row>
    <row r="35" spans="1:7">
      <c r="A35" s="54" t="s">
        <v>1440</v>
      </c>
      <c r="B35" s="217" t="s">
        <v>30</v>
      </c>
      <c r="C35" s="217" t="s">
        <v>30</v>
      </c>
      <c r="D35" s="219">
        <v>20373616.210000001</v>
      </c>
      <c r="E35" s="219">
        <v>19514062.98</v>
      </c>
      <c r="F35" s="213">
        <f t="shared" si="0"/>
        <v>95.781047305789016</v>
      </c>
      <c r="G35" s="417"/>
    </row>
    <row r="36" spans="1:7">
      <c r="A36" s="54" t="s">
        <v>4</v>
      </c>
      <c r="B36" s="217" t="s">
        <v>30</v>
      </c>
      <c r="C36" s="217" t="s">
        <v>34</v>
      </c>
      <c r="D36" s="219">
        <v>43194991.079999998</v>
      </c>
      <c r="E36" s="219">
        <v>42028803.140000001</v>
      </c>
      <c r="F36" s="213">
        <f t="shared" si="0"/>
        <v>97.300177842750017</v>
      </c>
      <c r="G36" s="417"/>
    </row>
    <row r="37" spans="1:7">
      <c r="A37" s="54" t="s">
        <v>298</v>
      </c>
      <c r="B37" s="217" t="s">
        <v>39</v>
      </c>
      <c r="C37" s="217" t="s">
        <v>159</v>
      </c>
      <c r="D37" s="219">
        <v>173891601.91</v>
      </c>
      <c r="E37" s="219">
        <v>163201069.34</v>
      </c>
      <c r="F37" s="213">
        <f t="shared" si="0"/>
        <v>93.852185814279281</v>
      </c>
      <c r="G37" s="417"/>
    </row>
    <row r="38" spans="1:7">
      <c r="A38" s="54" t="s">
        <v>254</v>
      </c>
      <c r="B38" s="217" t="s">
        <v>39</v>
      </c>
      <c r="C38" s="217" t="s">
        <v>163</v>
      </c>
      <c r="D38" s="219">
        <v>138273931.62</v>
      </c>
      <c r="E38" s="219">
        <v>128550343.22</v>
      </c>
      <c r="F38" s="213">
        <f t="shared" si="0"/>
        <v>92.96788028945177</v>
      </c>
      <c r="G38" s="417"/>
    </row>
    <row r="39" spans="1:7" ht="25.5">
      <c r="A39" s="54" t="s">
        <v>0</v>
      </c>
      <c r="B39" s="217" t="s">
        <v>39</v>
      </c>
      <c r="C39" s="217" t="s">
        <v>285</v>
      </c>
      <c r="D39" s="219">
        <v>35617670.289999999</v>
      </c>
      <c r="E39" s="219">
        <v>34650726.119999997</v>
      </c>
      <c r="F39" s="213">
        <f t="shared" si="0"/>
        <v>97.285212193478358</v>
      </c>
      <c r="G39" s="417"/>
    </row>
    <row r="40" spans="1:7">
      <c r="A40" s="54" t="s">
        <v>296</v>
      </c>
      <c r="B40" s="217" t="s">
        <v>34</v>
      </c>
      <c r="C40" s="217" t="s">
        <v>159</v>
      </c>
      <c r="D40" s="219">
        <v>64000</v>
      </c>
      <c r="E40" s="219">
        <v>64000</v>
      </c>
      <c r="F40" s="213">
        <f t="shared" si="0"/>
        <v>100</v>
      </c>
      <c r="G40" s="417"/>
    </row>
    <row r="41" spans="1:7">
      <c r="A41" s="54" t="s">
        <v>1632</v>
      </c>
      <c r="B41" s="217" t="s">
        <v>34</v>
      </c>
      <c r="C41" s="217" t="s">
        <v>34</v>
      </c>
      <c r="D41" s="219">
        <v>64000</v>
      </c>
      <c r="E41" s="219">
        <v>64000</v>
      </c>
      <c r="F41" s="213">
        <f t="shared" si="0"/>
        <v>100</v>
      </c>
      <c r="G41" s="417"/>
    </row>
    <row r="42" spans="1:7">
      <c r="A42" s="54" t="s">
        <v>174</v>
      </c>
      <c r="B42" s="217" t="s">
        <v>237</v>
      </c>
      <c r="C42" s="217" t="s">
        <v>159</v>
      </c>
      <c r="D42" s="219">
        <v>108963367.67</v>
      </c>
      <c r="E42" s="219">
        <v>105778863.8</v>
      </c>
      <c r="F42" s="213">
        <f t="shared" si="0"/>
        <v>97.077454617918562</v>
      </c>
      <c r="G42" s="417"/>
    </row>
    <row r="43" spans="1:7">
      <c r="A43" s="54" t="s">
        <v>125</v>
      </c>
      <c r="B43" s="217" t="s">
        <v>237</v>
      </c>
      <c r="C43" s="217" t="s">
        <v>163</v>
      </c>
      <c r="D43" s="219">
        <v>1105309.67</v>
      </c>
      <c r="E43" s="219">
        <v>1105309.67</v>
      </c>
      <c r="F43" s="213">
        <f t="shared" si="0"/>
        <v>100</v>
      </c>
      <c r="G43" s="417"/>
    </row>
    <row r="44" spans="1:7">
      <c r="A44" s="54" t="s">
        <v>126</v>
      </c>
      <c r="B44" s="217" t="s">
        <v>237</v>
      </c>
      <c r="C44" s="217" t="s">
        <v>271</v>
      </c>
      <c r="D44" s="219">
        <v>46039251</v>
      </c>
      <c r="E44" s="219">
        <v>46039251</v>
      </c>
      <c r="F44" s="213">
        <f t="shared" si="0"/>
        <v>100</v>
      </c>
      <c r="G44" s="417"/>
    </row>
    <row r="45" spans="1:7">
      <c r="A45" s="54" t="s">
        <v>127</v>
      </c>
      <c r="B45" s="217" t="s">
        <v>237</v>
      </c>
      <c r="C45" s="217" t="s">
        <v>283</v>
      </c>
      <c r="D45" s="219">
        <v>32455358</v>
      </c>
      <c r="E45" s="219">
        <v>31945209.57</v>
      </c>
      <c r="F45" s="213">
        <f t="shared" si="0"/>
        <v>98.428153434634737</v>
      </c>
      <c r="G45" s="417"/>
    </row>
    <row r="46" spans="1:7">
      <c r="A46" s="54" t="s">
        <v>25</v>
      </c>
      <c r="B46" s="217" t="s">
        <v>237</v>
      </c>
      <c r="C46" s="217" t="s">
        <v>285</v>
      </c>
      <c r="D46" s="219">
        <v>10359400</v>
      </c>
      <c r="E46" s="219">
        <v>7685044.5599999996</v>
      </c>
      <c r="F46" s="213">
        <f t="shared" si="0"/>
        <v>74.184263181265322</v>
      </c>
      <c r="G46" s="417"/>
    </row>
    <row r="47" spans="1:7">
      <c r="A47" s="54" t="s">
        <v>81</v>
      </c>
      <c r="B47" s="217" t="s">
        <v>237</v>
      </c>
      <c r="C47" s="217" t="s">
        <v>276</v>
      </c>
      <c r="D47" s="219">
        <v>19004049</v>
      </c>
      <c r="E47" s="219">
        <v>19004049</v>
      </c>
      <c r="F47" s="213">
        <f t="shared" si="0"/>
        <v>100</v>
      </c>
      <c r="G47" s="417"/>
    </row>
    <row r="48" spans="1:7">
      <c r="A48" s="54" t="s">
        <v>297</v>
      </c>
      <c r="B48" s="217" t="s">
        <v>35</v>
      </c>
      <c r="C48" s="217" t="s">
        <v>159</v>
      </c>
      <c r="D48" s="219">
        <v>1945700</v>
      </c>
      <c r="E48" s="219">
        <v>1616842.56</v>
      </c>
      <c r="F48" s="213">
        <f t="shared" si="0"/>
        <v>83.098245361566541</v>
      </c>
      <c r="G48" s="417"/>
    </row>
    <row r="49" spans="1:7">
      <c r="A49" s="54" t="s">
        <v>258</v>
      </c>
      <c r="B49" s="217" t="s">
        <v>35</v>
      </c>
      <c r="C49" s="217" t="s">
        <v>271</v>
      </c>
      <c r="D49" s="219">
        <v>1945700</v>
      </c>
      <c r="E49" s="219">
        <v>1616842.56</v>
      </c>
      <c r="F49" s="213">
        <f t="shared" si="0"/>
        <v>83.098245361566541</v>
      </c>
      <c r="G49" s="417"/>
    </row>
    <row r="50" spans="1:7" ht="25.5">
      <c r="A50" s="54" t="s">
        <v>299</v>
      </c>
      <c r="B50" s="217" t="s">
        <v>96</v>
      </c>
      <c r="C50" s="217" t="s">
        <v>159</v>
      </c>
      <c r="D50" s="219">
        <v>80877</v>
      </c>
      <c r="E50" s="219">
        <v>27023.279999999999</v>
      </c>
      <c r="F50" s="213">
        <f t="shared" si="0"/>
        <v>33.412812047924625</v>
      </c>
      <c r="G50" s="417"/>
    </row>
    <row r="51" spans="1:7" ht="25.5">
      <c r="A51" s="54" t="s">
        <v>300</v>
      </c>
      <c r="B51" s="217" t="s">
        <v>96</v>
      </c>
      <c r="C51" s="217" t="s">
        <v>163</v>
      </c>
      <c r="D51" s="219">
        <v>80877</v>
      </c>
      <c r="E51" s="219">
        <v>27023.279999999999</v>
      </c>
      <c r="F51" s="213">
        <f t="shared" si="0"/>
        <v>33.412812047924625</v>
      </c>
      <c r="G51" s="417"/>
    </row>
    <row r="52" spans="1:7" ht="38.25">
      <c r="A52" s="54" t="s">
        <v>1634</v>
      </c>
      <c r="B52" s="217" t="s">
        <v>98</v>
      </c>
      <c r="C52" s="217" t="s">
        <v>159</v>
      </c>
      <c r="D52" s="219">
        <v>104335038</v>
      </c>
      <c r="E52" s="219">
        <v>101514387.81999999</v>
      </c>
      <c r="F52" s="213">
        <f t="shared" si="0"/>
        <v>97.296545595737456</v>
      </c>
      <c r="G52" s="417"/>
    </row>
    <row r="53" spans="1:7" ht="38.25">
      <c r="A53" s="54" t="s">
        <v>259</v>
      </c>
      <c r="B53" s="217" t="s">
        <v>98</v>
      </c>
      <c r="C53" s="217" t="s">
        <v>163</v>
      </c>
      <c r="D53" s="219">
        <v>64187700</v>
      </c>
      <c r="E53" s="219">
        <v>64187700</v>
      </c>
      <c r="F53" s="213">
        <f t="shared" si="0"/>
        <v>100</v>
      </c>
      <c r="G53" s="417"/>
    </row>
    <row r="54" spans="1:7" ht="25.5">
      <c r="A54" s="54" t="s">
        <v>301</v>
      </c>
      <c r="B54" s="6" t="s">
        <v>98</v>
      </c>
      <c r="C54" s="6" t="s">
        <v>283</v>
      </c>
      <c r="D54" s="225">
        <v>40147338</v>
      </c>
      <c r="E54" s="225">
        <v>37326687.82</v>
      </c>
      <c r="F54" s="213">
        <f t="shared" si="0"/>
        <v>92.974253535813517</v>
      </c>
      <c r="G54" s="334"/>
    </row>
  </sheetData>
  <autoFilter ref="A6:D54"/>
  <mergeCells count="9">
    <mergeCell ref="F5:F6"/>
    <mergeCell ref="A3:F3"/>
    <mergeCell ref="A2:F2"/>
    <mergeCell ref="A1:D1"/>
    <mergeCell ref="A7:C7"/>
    <mergeCell ref="A5:A6"/>
    <mergeCell ref="B5:C5"/>
    <mergeCell ref="D5:D6"/>
    <mergeCell ref="E5:E6"/>
  </mergeCells>
  <phoneticPr fontId="0" type="noConversion"/>
  <pageMargins left="0.78740157480314965" right="0.23622047244094491" top="0.19685039370078741" bottom="0.19685039370078741" header="0.15748031496062992" footer="0.15748031496062992"/>
  <pageSetup paperSize="9" scale="85" fitToHeight="0" orientation="portrait" r:id="rId1"/>
  <headerFooter alignWithMargins="0"/>
</worksheet>
</file>

<file path=xl/worksheets/sheet14.xml><?xml version="1.0" encoding="utf-8"?>
<worksheet xmlns="http://schemas.openxmlformats.org/spreadsheetml/2006/main" xmlns:r="http://schemas.openxmlformats.org/officeDocument/2006/relationships">
  <sheetPr>
    <tabColor theme="6" tint="-0.249977111117893"/>
  </sheetPr>
  <dimension ref="A1:F51"/>
  <sheetViews>
    <sheetView topLeftCell="A39" zoomScaleNormal="100" workbookViewId="0">
      <selection activeCell="G10" sqref="G10"/>
    </sheetView>
  </sheetViews>
  <sheetFormatPr defaultRowHeight="12.75"/>
  <cols>
    <col min="1" max="1" width="40.85546875" style="4" customWidth="1"/>
    <col min="2" max="2" width="7.140625" style="4" customWidth="1"/>
    <col min="3" max="3" width="17.140625" style="4" customWidth="1"/>
    <col min="4" max="4" width="17.5703125" style="23" customWidth="1"/>
    <col min="5" max="5" width="9.140625" style="4"/>
    <col min="6" max="6" width="19.28515625" style="4" customWidth="1"/>
    <col min="7" max="16384" width="9.140625" style="4"/>
  </cols>
  <sheetData>
    <row r="1" spans="1:6" ht="45.75" customHeight="1">
      <c r="A1" s="508"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508"/>
      <c r="C1" s="508"/>
      <c r="D1" s="508"/>
    </row>
    <row r="2" spans="1:6" ht="47.25" customHeight="1">
      <c r="A2" s="508" t="str">
        <f>"Приложение №"&amp;Н1фун1&amp;" к решению
Богучанского районного Совета депутатов
от "&amp;Р1дата&amp;" года №"&amp;Р1номер</f>
        <v>Приложение № к решению
Богучанского районного Совета депутатов
от     " " 2018 года №</v>
      </c>
      <c r="B2" s="508"/>
      <c r="C2" s="508"/>
      <c r="D2" s="508"/>
    </row>
    <row r="3" spans="1:6" ht="135" customHeight="1">
      <c r="A3" s="509" t="str">
        <f>"Распределение бюджетных ассигнований по разделам и подразделам бюджетной классификации расходов районного бюджета на плановый период "&amp;ПлПер&amp;" годов"</f>
        <v>Распределение бюджетных ассигнований по разделам и подразделам бюджетной классификации расходов районного бюджета на плановый период 2018-2019 годов</v>
      </c>
      <c r="B3" s="509"/>
      <c r="C3" s="509"/>
      <c r="D3" s="509"/>
      <c r="F3" s="199"/>
    </row>
    <row r="4" spans="1:6">
      <c r="D4" s="11" t="s">
        <v>94</v>
      </c>
    </row>
    <row r="5" spans="1:6" ht="12.75" customHeight="1">
      <c r="A5" s="563" t="s">
        <v>280</v>
      </c>
      <c r="B5" s="249" t="s">
        <v>214</v>
      </c>
      <c r="C5" s="563" t="s">
        <v>800</v>
      </c>
      <c r="D5" s="563" t="s">
        <v>1327</v>
      </c>
    </row>
    <row r="6" spans="1:6" ht="25.5">
      <c r="A6" s="563"/>
      <c r="B6" s="138" t="s">
        <v>281</v>
      </c>
      <c r="C6" s="563"/>
      <c r="D6" s="563"/>
    </row>
    <row r="7" spans="1:6" s="14" customFormat="1">
      <c r="A7" s="565" t="s">
        <v>563</v>
      </c>
      <c r="B7" s="566"/>
      <c r="C7" s="299">
        <v>1699837690</v>
      </c>
      <c r="D7" s="299">
        <v>1723366040</v>
      </c>
    </row>
    <row r="8" spans="1:6">
      <c r="A8" s="54" t="s">
        <v>282</v>
      </c>
      <c r="B8" s="141" t="s">
        <v>1598</v>
      </c>
      <c r="C8" s="309">
        <v>42508276</v>
      </c>
      <c r="D8" s="309">
        <v>45817721</v>
      </c>
    </row>
    <row r="9" spans="1:6" ht="38.25">
      <c r="A9" s="54" t="s">
        <v>1601</v>
      </c>
      <c r="B9" s="140" t="s">
        <v>438</v>
      </c>
      <c r="C9" s="309">
        <v>1274246</v>
      </c>
      <c r="D9" s="309">
        <v>1274246</v>
      </c>
    </row>
    <row r="10" spans="1:6" ht="51">
      <c r="A10" s="54" t="s">
        <v>92</v>
      </c>
      <c r="B10" s="140" t="s">
        <v>443</v>
      </c>
      <c r="C10" s="309">
        <v>3520710</v>
      </c>
      <c r="D10" s="309">
        <v>4520710</v>
      </c>
    </row>
    <row r="11" spans="1:6" ht="63.75">
      <c r="A11" s="54" t="s">
        <v>284</v>
      </c>
      <c r="B11" s="140" t="s">
        <v>450</v>
      </c>
      <c r="C11" s="309">
        <v>17122952</v>
      </c>
      <c r="D11" s="309">
        <v>18432397</v>
      </c>
    </row>
    <row r="12" spans="1:6" ht="51">
      <c r="A12" s="54" t="s">
        <v>264</v>
      </c>
      <c r="B12" s="140" t="s">
        <v>448</v>
      </c>
      <c r="C12" s="309">
        <v>14026568</v>
      </c>
      <c r="D12" s="310">
        <v>14026568</v>
      </c>
    </row>
    <row r="13" spans="1:6">
      <c r="A13" s="54" t="s">
        <v>69</v>
      </c>
      <c r="B13" s="140" t="s">
        <v>546</v>
      </c>
      <c r="C13" s="309">
        <v>2000000</v>
      </c>
      <c r="D13" s="310">
        <v>2000000</v>
      </c>
    </row>
    <row r="14" spans="1:6">
      <c r="A14" s="54" t="s">
        <v>265</v>
      </c>
      <c r="B14" s="141" t="s">
        <v>454</v>
      </c>
      <c r="C14" s="309">
        <v>4563800</v>
      </c>
      <c r="D14" s="310">
        <v>5563800</v>
      </c>
    </row>
    <row r="15" spans="1:6" ht="25.5">
      <c r="A15" s="54" t="s">
        <v>286</v>
      </c>
      <c r="B15" s="141" t="s">
        <v>1602</v>
      </c>
      <c r="C15" s="309">
        <v>24659568</v>
      </c>
      <c r="D15" s="310">
        <v>24659568</v>
      </c>
    </row>
    <row r="16" spans="1:6" ht="51">
      <c r="A16" s="160" t="s">
        <v>311</v>
      </c>
      <c r="B16" s="140" t="s">
        <v>458</v>
      </c>
      <c r="C16" s="309">
        <v>2548363</v>
      </c>
      <c r="D16" s="310">
        <v>2548363</v>
      </c>
    </row>
    <row r="17" spans="1:4">
      <c r="A17" s="54" t="s">
        <v>133</v>
      </c>
      <c r="B17" s="140" t="s">
        <v>463</v>
      </c>
      <c r="C17" s="309">
        <v>22111205</v>
      </c>
      <c r="D17" s="310">
        <v>22111205</v>
      </c>
    </row>
    <row r="18" spans="1:4">
      <c r="A18" s="54" t="s">
        <v>222</v>
      </c>
      <c r="B18" s="141" t="s">
        <v>1605</v>
      </c>
      <c r="C18" s="309">
        <v>38328500</v>
      </c>
      <c r="D18" s="310">
        <v>38328200</v>
      </c>
    </row>
    <row r="19" spans="1:4">
      <c r="A19" s="54" t="s">
        <v>223</v>
      </c>
      <c r="B19" s="140" t="s">
        <v>470</v>
      </c>
      <c r="C19" s="309">
        <v>1164000</v>
      </c>
      <c r="D19" s="310">
        <v>1163700</v>
      </c>
    </row>
    <row r="20" spans="1:4">
      <c r="A20" s="54" t="s">
        <v>224</v>
      </c>
      <c r="B20" s="140" t="s">
        <v>474</v>
      </c>
      <c r="C20" s="309">
        <v>34957000</v>
      </c>
      <c r="D20" s="310">
        <v>34957000</v>
      </c>
    </row>
    <row r="21" spans="1:4">
      <c r="A21" s="54" t="s">
        <v>303</v>
      </c>
      <c r="B21" s="140" t="s">
        <v>476</v>
      </c>
      <c r="C21" s="309">
        <v>32700</v>
      </c>
      <c r="D21" s="310">
        <v>32700</v>
      </c>
    </row>
    <row r="22" spans="1:4" ht="25.5">
      <c r="A22" s="53" t="s">
        <v>180</v>
      </c>
      <c r="B22" s="141" t="s">
        <v>478</v>
      </c>
      <c r="C22" s="309">
        <v>2174800</v>
      </c>
      <c r="D22" s="310">
        <v>2174800</v>
      </c>
    </row>
    <row r="23" spans="1:4">
      <c r="A23" s="54" t="s">
        <v>287</v>
      </c>
      <c r="B23" s="141" t="s">
        <v>1607</v>
      </c>
      <c r="C23" s="309">
        <v>214941950</v>
      </c>
      <c r="D23" s="310">
        <v>215941950</v>
      </c>
    </row>
    <row r="24" spans="1:4">
      <c r="A24" s="54" t="s">
        <v>3</v>
      </c>
      <c r="B24" s="140" t="s">
        <v>504</v>
      </c>
      <c r="C24" s="309">
        <v>110000</v>
      </c>
      <c r="D24" s="310">
        <v>1110000</v>
      </c>
    </row>
    <row r="25" spans="1:4">
      <c r="A25" s="54" t="s">
        <v>181</v>
      </c>
      <c r="B25" s="140" t="s">
        <v>482</v>
      </c>
      <c r="C25" s="309">
        <v>212687800</v>
      </c>
      <c r="D25" s="310">
        <v>212687800</v>
      </c>
    </row>
    <row r="26" spans="1:4">
      <c r="A26" s="54" t="s">
        <v>45</v>
      </c>
      <c r="B26" s="140" t="s">
        <v>506</v>
      </c>
      <c r="C26" s="309">
        <v>600000</v>
      </c>
      <c r="D26" s="310">
        <v>600000</v>
      </c>
    </row>
    <row r="27" spans="1:4" ht="25.5">
      <c r="A27" s="54" t="s">
        <v>186</v>
      </c>
      <c r="B27" s="140" t="s">
        <v>507</v>
      </c>
      <c r="C27" s="309">
        <v>1544150</v>
      </c>
      <c r="D27" s="310">
        <v>1544150</v>
      </c>
    </row>
    <row r="28" spans="1:4">
      <c r="A28" s="54" t="s">
        <v>173</v>
      </c>
      <c r="B28" s="141" t="s">
        <v>1608</v>
      </c>
      <c r="C28" s="309">
        <v>1080983968</v>
      </c>
      <c r="D28" s="310">
        <v>1080983968</v>
      </c>
    </row>
    <row r="29" spans="1:4">
      <c r="A29" s="54" t="s">
        <v>187</v>
      </c>
      <c r="B29" s="140" t="s">
        <v>528</v>
      </c>
      <c r="C29" s="311">
        <v>325490811</v>
      </c>
      <c r="D29" s="311">
        <v>325490811</v>
      </c>
    </row>
    <row r="30" spans="1:4">
      <c r="A30" s="54" t="s">
        <v>188</v>
      </c>
      <c r="B30" s="54" t="s">
        <v>515</v>
      </c>
      <c r="C30" s="312">
        <v>618537333</v>
      </c>
      <c r="D30" s="312">
        <v>618537333</v>
      </c>
    </row>
    <row r="31" spans="1:4">
      <c r="A31" s="54" t="s">
        <v>1442</v>
      </c>
      <c r="B31" s="191" t="s">
        <v>1443</v>
      </c>
      <c r="C31" s="313">
        <v>73463089</v>
      </c>
      <c r="D31" s="313">
        <v>73463089</v>
      </c>
    </row>
    <row r="32" spans="1:4">
      <c r="A32" s="54" t="s">
        <v>1440</v>
      </c>
      <c r="B32" s="54" t="s">
        <v>483</v>
      </c>
      <c r="C32" s="313">
        <v>19228662</v>
      </c>
      <c r="D32" s="313">
        <v>19228662</v>
      </c>
    </row>
    <row r="33" spans="1:4">
      <c r="A33" s="54" t="s">
        <v>4</v>
      </c>
      <c r="B33" s="54" t="s">
        <v>540</v>
      </c>
      <c r="C33" s="313">
        <v>44264073</v>
      </c>
      <c r="D33" s="313">
        <v>44264073</v>
      </c>
    </row>
    <row r="34" spans="1:4">
      <c r="A34" s="54" t="s">
        <v>298</v>
      </c>
      <c r="B34" s="191" t="s">
        <v>1618</v>
      </c>
      <c r="C34" s="313">
        <v>137387247</v>
      </c>
      <c r="D34" s="313">
        <v>137387247</v>
      </c>
    </row>
    <row r="35" spans="1:4">
      <c r="A35" s="54" t="s">
        <v>254</v>
      </c>
      <c r="B35" s="54" t="s">
        <v>510</v>
      </c>
      <c r="C35" s="313">
        <v>122596457</v>
      </c>
      <c r="D35" s="313">
        <v>122596457</v>
      </c>
    </row>
    <row r="36" spans="1:4" ht="25.5">
      <c r="A36" s="54" t="s">
        <v>0</v>
      </c>
      <c r="B36" s="191" t="s">
        <v>522</v>
      </c>
      <c r="C36" s="313">
        <v>14790790</v>
      </c>
      <c r="D36" s="313">
        <v>14790790</v>
      </c>
    </row>
    <row r="37" spans="1:4">
      <c r="A37" s="54" t="s">
        <v>296</v>
      </c>
      <c r="B37" s="191" t="s">
        <v>1631</v>
      </c>
      <c r="C37" s="313">
        <v>64000</v>
      </c>
      <c r="D37" s="313">
        <v>64000</v>
      </c>
    </row>
    <row r="38" spans="1:4">
      <c r="A38" s="54" t="s">
        <v>1632</v>
      </c>
      <c r="B38" s="54" t="s">
        <v>491</v>
      </c>
      <c r="C38" s="313">
        <v>64000</v>
      </c>
      <c r="D38" s="313">
        <v>64000</v>
      </c>
    </row>
    <row r="39" spans="1:4">
      <c r="A39" s="54" t="s">
        <v>174</v>
      </c>
      <c r="B39" s="191" t="s">
        <v>1609</v>
      </c>
      <c r="C39" s="313">
        <v>97895846</v>
      </c>
      <c r="D39" s="313">
        <v>97895846</v>
      </c>
    </row>
    <row r="40" spans="1:4">
      <c r="A40" s="54" t="s">
        <v>125</v>
      </c>
      <c r="B40" s="54" t="s">
        <v>493</v>
      </c>
      <c r="C40" s="313">
        <v>960846</v>
      </c>
      <c r="D40" s="313">
        <v>960846</v>
      </c>
    </row>
    <row r="41" spans="1:4">
      <c r="A41" s="54" t="s">
        <v>126</v>
      </c>
      <c r="B41" s="54" t="s">
        <v>513</v>
      </c>
      <c r="C41" s="313">
        <v>38038600</v>
      </c>
      <c r="D41" s="313">
        <v>38038600</v>
      </c>
    </row>
    <row r="42" spans="1:4">
      <c r="A42" s="54" t="s">
        <v>127</v>
      </c>
      <c r="B42" s="191" t="s">
        <v>496</v>
      </c>
      <c r="C42" s="313">
        <v>31004300</v>
      </c>
      <c r="D42" s="313">
        <v>31004300</v>
      </c>
    </row>
    <row r="43" spans="1:4">
      <c r="A43" s="54" t="s">
        <v>25</v>
      </c>
      <c r="B43" s="54" t="s">
        <v>543</v>
      </c>
      <c r="C43" s="313">
        <v>10359400</v>
      </c>
      <c r="D43" s="313">
        <v>10359400</v>
      </c>
    </row>
    <row r="44" spans="1:4" ht="25.5">
      <c r="A44" s="54" t="s">
        <v>81</v>
      </c>
      <c r="B44" s="191" t="s">
        <v>514</v>
      </c>
      <c r="C44" s="313">
        <v>17532700</v>
      </c>
      <c r="D44" s="313">
        <v>17532700</v>
      </c>
    </row>
    <row r="45" spans="1:4">
      <c r="A45" s="54" t="s">
        <v>297</v>
      </c>
      <c r="B45" s="191" t="s">
        <v>1610</v>
      </c>
      <c r="C45" s="313">
        <v>1945700</v>
      </c>
      <c r="D45" s="313">
        <v>1945700</v>
      </c>
    </row>
    <row r="46" spans="1:4">
      <c r="A46" s="54" t="s">
        <v>258</v>
      </c>
      <c r="B46" s="54" t="s">
        <v>499</v>
      </c>
      <c r="C46" s="313">
        <v>1945700</v>
      </c>
      <c r="D46" s="313">
        <v>1945700</v>
      </c>
    </row>
    <row r="47" spans="1:4" ht="25.5">
      <c r="A47" s="54" t="s">
        <v>299</v>
      </c>
      <c r="B47" s="191" t="s">
        <v>1633</v>
      </c>
      <c r="C47" s="313">
        <v>53535</v>
      </c>
      <c r="D47" s="313">
        <v>2740</v>
      </c>
    </row>
    <row r="48" spans="1:4" ht="25.5">
      <c r="A48" s="54" t="s">
        <v>300</v>
      </c>
      <c r="B48" s="191" t="s">
        <v>557</v>
      </c>
      <c r="C48" s="314">
        <v>53535</v>
      </c>
      <c r="D48" s="315">
        <v>2740</v>
      </c>
    </row>
    <row r="49" spans="1:4" ht="38.25">
      <c r="A49" s="54" t="s">
        <v>1634</v>
      </c>
      <c r="B49" s="202" t="s">
        <v>1635</v>
      </c>
      <c r="C49" s="314">
        <v>42969100</v>
      </c>
      <c r="D49" s="315">
        <v>42969100</v>
      </c>
    </row>
    <row r="50" spans="1:4" ht="38.25">
      <c r="A50" s="54" t="s">
        <v>259</v>
      </c>
      <c r="B50" s="6" t="s">
        <v>560</v>
      </c>
      <c r="C50" s="314">
        <v>42969100</v>
      </c>
      <c r="D50" s="315">
        <v>42969100</v>
      </c>
    </row>
    <row r="51" spans="1:4">
      <c r="A51" s="54" t="s">
        <v>319</v>
      </c>
      <c r="B51" s="6" t="s">
        <v>161</v>
      </c>
      <c r="C51" s="314">
        <v>18100000</v>
      </c>
      <c r="D51" s="315">
        <v>37370000</v>
      </c>
    </row>
  </sheetData>
  <autoFilter ref="A6:D51"/>
  <mergeCells count="7">
    <mergeCell ref="A1:D1"/>
    <mergeCell ref="A7:B7"/>
    <mergeCell ref="C5:C6"/>
    <mergeCell ref="A2:D2"/>
    <mergeCell ref="A3:D3"/>
    <mergeCell ref="A5:A6"/>
    <mergeCell ref="D5:D6"/>
  </mergeCells>
  <pageMargins left="0.70866141732283472" right="0.31496062992125984" top="0.35433070866141736" bottom="0.35433070866141736" header="0.31496062992125984" footer="0.31496062992125984"/>
  <pageSetup paperSize="9" scale="95" orientation="portrait" r:id="rId1"/>
</worksheet>
</file>

<file path=xl/worksheets/sheet15.xml><?xml version="1.0" encoding="utf-8"?>
<worksheet xmlns="http://schemas.openxmlformats.org/spreadsheetml/2006/main" xmlns:r="http://schemas.openxmlformats.org/officeDocument/2006/relationships">
  <sheetPr>
    <tabColor rgb="FF92D050"/>
  </sheetPr>
  <dimension ref="A1:G1178"/>
  <sheetViews>
    <sheetView workbookViewId="0">
      <selection activeCell="A3" sqref="A3"/>
    </sheetView>
  </sheetViews>
  <sheetFormatPr defaultRowHeight="12.75"/>
  <cols>
    <col min="1" max="1" width="53.42578125" style="4" customWidth="1"/>
    <col min="2" max="2" width="12.85546875" style="147" customWidth="1"/>
    <col min="3" max="3" width="6.42578125" style="4" customWidth="1"/>
    <col min="4" max="4" width="6.28515625" style="4" customWidth="1"/>
    <col min="5" max="5" width="16.5703125" style="23" customWidth="1"/>
    <col min="6" max="6" width="16.140625" style="12" customWidth="1"/>
    <col min="7" max="7" width="9.140625" style="12"/>
    <col min="8" max="16384" width="9.140625" style="4"/>
  </cols>
  <sheetData>
    <row r="1" spans="1:7" ht="47.25" customHeight="1">
      <c r="A1" s="508" t="str">
        <f>"Приложение №"&amp;Н1цср&amp;" к решению
Богучанского районного Совета депутатов
от "&amp;Р1дата&amp;" года №"&amp;Р1номер</f>
        <v>Приложение №5 к решению
Богучанского районного Совета депутатов
от     " " 2018 года №</v>
      </c>
      <c r="B1" s="508"/>
      <c r="C1" s="508"/>
      <c r="D1" s="508"/>
      <c r="E1" s="508"/>
      <c r="F1" s="508"/>
      <c r="G1" s="508"/>
    </row>
    <row r="2" spans="1:7" ht="111.75" customHeight="1">
      <c r="A2" s="509"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за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за 2017 год</v>
      </c>
      <c r="B2" s="509"/>
      <c r="C2" s="509"/>
      <c r="D2" s="509"/>
      <c r="E2" s="509"/>
      <c r="F2" s="509"/>
      <c r="G2" s="509"/>
    </row>
    <row r="3" spans="1:7">
      <c r="F3" s="11" t="s">
        <v>94</v>
      </c>
    </row>
    <row r="4" spans="1:7" ht="12.75" customHeight="1">
      <c r="A4" s="555" t="s">
        <v>280</v>
      </c>
      <c r="B4" s="568" t="s">
        <v>214</v>
      </c>
      <c r="C4" s="573"/>
      <c r="D4" s="569"/>
      <c r="E4" s="555" t="s">
        <v>2456</v>
      </c>
      <c r="F4" s="570" t="s">
        <v>2457</v>
      </c>
      <c r="G4" s="570" t="s">
        <v>2194</v>
      </c>
    </row>
    <row r="5" spans="1:7" ht="25.5">
      <c r="A5" s="556"/>
      <c r="B5" s="148" t="s">
        <v>215</v>
      </c>
      <c r="C5" s="270" t="s">
        <v>216</v>
      </c>
      <c r="D5" s="270" t="s">
        <v>281</v>
      </c>
      <c r="E5" s="574"/>
      <c r="F5" s="570"/>
      <c r="G5" s="570"/>
    </row>
    <row r="6" spans="1:7" s="14" customFormat="1">
      <c r="A6" s="537" t="s">
        <v>563</v>
      </c>
      <c r="B6" s="571"/>
      <c r="C6" s="571"/>
      <c r="D6" s="572"/>
      <c r="E6" s="478">
        <v>2119922020.1199999</v>
      </c>
      <c r="F6" s="477">
        <v>2028300069.1700001</v>
      </c>
      <c r="G6" s="477">
        <f>F6/E6*100</f>
        <v>95.67805088675793</v>
      </c>
    </row>
    <row r="7" spans="1:7" ht="25.5">
      <c r="A7" s="229" t="s">
        <v>569</v>
      </c>
      <c r="B7" s="275" t="s">
        <v>1197</v>
      </c>
      <c r="C7" s="275"/>
      <c r="D7" s="275"/>
      <c r="E7" s="321">
        <v>1253802575.9000001</v>
      </c>
      <c r="F7" s="225">
        <v>1208661070.25</v>
      </c>
      <c r="G7" s="225">
        <f>F7/E7*100</f>
        <v>96.399632085809301</v>
      </c>
    </row>
    <row r="8" spans="1:7" ht="25.5">
      <c r="A8" s="229" t="s">
        <v>570</v>
      </c>
      <c r="B8" s="275" t="s">
        <v>1198</v>
      </c>
      <c r="C8" s="275"/>
      <c r="D8" s="275"/>
      <c r="E8" s="321">
        <v>1210430681.6099999</v>
      </c>
      <c r="F8" s="225">
        <v>1166430275.9000001</v>
      </c>
      <c r="G8" s="225">
        <f t="shared" ref="G8:G71" si="0">F8/E8*100</f>
        <v>96.364896695160212</v>
      </c>
    </row>
    <row r="9" spans="1:7" ht="89.25">
      <c r="A9" s="229" t="s">
        <v>1902</v>
      </c>
      <c r="B9" s="275" t="s">
        <v>1903</v>
      </c>
      <c r="C9" s="275"/>
      <c r="D9" s="275"/>
      <c r="E9" s="321">
        <v>643000</v>
      </c>
      <c r="F9" s="225">
        <v>621201.97</v>
      </c>
      <c r="G9" s="225">
        <f t="shared" si="0"/>
        <v>96.609948678071532</v>
      </c>
    </row>
    <row r="10" spans="1:7">
      <c r="A10" s="229" t="s">
        <v>1603</v>
      </c>
      <c r="B10" s="275" t="s">
        <v>1903</v>
      </c>
      <c r="C10" s="275" t="s">
        <v>460</v>
      </c>
      <c r="D10" s="275"/>
      <c r="E10" s="321">
        <v>361751</v>
      </c>
      <c r="F10" s="225">
        <v>342848.01</v>
      </c>
      <c r="G10" s="225">
        <f t="shared" si="0"/>
        <v>94.774585281035854</v>
      </c>
    </row>
    <row r="11" spans="1:7">
      <c r="A11" s="229" t="s">
        <v>1442</v>
      </c>
      <c r="B11" s="275" t="s">
        <v>1903</v>
      </c>
      <c r="C11" s="275" t="s">
        <v>460</v>
      </c>
      <c r="D11" s="275" t="s">
        <v>1443</v>
      </c>
      <c r="E11" s="321">
        <v>361751</v>
      </c>
      <c r="F11" s="225">
        <v>342848.01</v>
      </c>
      <c r="G11" s="225">
        <f t="shared" si="0"/>
        <v>94.774585281035854</v>
      </c>
    </row>
    <row r="12" spans="1:7" ht="38.25">
      <c r="A12" s="229" t="s">
        <v>1604</v>
      </c>
      <c r="B12" s="275" t="s">
        <v>1903</v>
      </c>
      <c r="C12" s="275" t="s">
        <v>1290</v>
      </c>
      <c r="D12" s="275"/>
      <c r="E12" s="321">
        <v>109249</v>
      </c>
      <c r="F12" s="225">
        <v>106353.96</v>
      </c>
      <c r="G12" s="225">
        <f t="shared" si="0"/>
        <v>97.35005354740089</v>
      </c>
    </row>
    <row r="13" spans="1:7">
      <c r="A13" s="229" t="s">
        <v>1442</v>
      </c>
      <c r="B13" s="275" t="s">
        <v>1903</v>
      </c>
      <c r="C13" s="275" t="s">
        <v>1290</v>
      </c>
      <c r="D13" s="275" t="s">
        <v>1443</v>
      </c>
      <c r="E13" s="321">
        <v>109249</v>
      </c>
      <c r="F13" s="225">
        <v>106353.96</v>
      </c>
      <c r="G13" s="225">
        <f t="shared" si="0"/>
        <v>97.35005354740089</v>
      </c>
    </row>
    <row r="14" spans="1:7" ht="51">
      <c r="A14" s="229" t="s">
        <v>465</v>
      </c>
      <c r="B14" s="275" t="s">
        <v>1903</v>
      </c>
      <c r="C14" s="275" t="s">
        <v>466</v>
      </c>
      <c r="D14" s="275"/>
      <c r="E14" s="321">
        <v>172000</v>
      </c>
      <c r="F14" s="225">
        <v>172000</v>
      </c>
      <c r="G14" s="225">
        <f t="shared" si="0"/>
        <v>100</v>
      </c>
    </row>
    <row r="15" spans="1:7">
      <c r="A15" s="229" t="s">
        <v>1442</v>
      </c>
      <c r="B15" s="275" t="s">
        <v>1903</v>
      </c>
      <c r="C15" s="275" t="s">
        <v>466</v>
      </c>
      <c r="D15" s="275" t="s">
        <v>1443</v>
      </c>
      <c r="E15" s="321">
        <v>172000</v>
      </c>
      <c r="F15" s="225">
        <v>172000</v>
      </c>
      <c r="G15" s="225">
        <f t="shared" si="0"/>
        <v>100</v>
      </c>
    </row>
    <row r="16" spans="1:7" ht="102">
      <c r="A16" s="229" t="s">
        <v>530</v>
      </c>
      <c r="B16" s="275" t="s">
        <v>951</v>
      </c>
      <c r="C16" s="275"/>
      <c r="D16" s="275"/>
      <c r="E16" s="321">
        <v>40451104.950000003</v>
      </c>
      <c r="F16" s="225">
        <v>38321169.119999997</v>
      </c>
      <c r="G16" s="225">
        <f t="shared" si="0"/>
        <v>94.734542276081868</v>
      </c>
    </row>
    <row r="17" spans="1:7">
      <c r="A17" s="229" t="s">
        <v>1603</v>
      </c>
      <c r="B17" s="275" t="s">
        <v>951</v>
      </c>
      <c r="C17" s="275" t="s">
        <v>460</v>
      </c>
      <c r="D17" s="275"/>
      <c r="E17" s="321">
        <v>24641005.48</v>
      </c>
      <c r="F17" s="225">
        <v>24177748.210000001</v>
      </c>
      <c r="G17" s="225">
        <f t="shared" si="0"/>
        <v>98.119974161054401</v>
      </c>
    </row>
    <row r="18" spans="1:7">
      <c r="A18" s="229" t="s">
        <v>187</v>
      </c>
      <c r="B18" s="275" t="s">
        <v>951</v>
      </c>
      <c r="C18" s="275" t="s">
        <v>460</v>
      </c>
      <c r="D18" s="275" t="s">
        <v>528</v>
      </c>
      <c r="E18" s="321">
        <v>24641005.48</v>
      </c>
      <c r="F18" s="225">
        <v>24177748.210000001</v>
      </c>
      <c r="G18" s="225">
        <f t="shared" si="0"/>
        <v>98.119974161054401</v>
      </c>
    </row>
    <row r="19" spans="1:7" ht="25.5">
      <c r="A19" s="229" t="s">
        <v>1617</v>
      </c>
      <c r="B19" s="275" t="s">
        <v>951</v>
      </c>
      <c r="C19" s="275" t="s">
        <v>509</v>
      </c>
      <c r="D19" s="275"/>
      <c r="E19" s="321">
        <v>55560</v>
      </c>
      <c r="F19" s="225">
        <v>44352</v>
      </c>
      <c r="G19" s="225">
        <f t="shared" si="0"/>
        <v>79.827213822894166</v>
      </c>
    </row>
    <row r="20" spans="1:7">
      <c r="A20" s="229" t="s">
        <v>187</v>
      </c>
      <c r="B20" s="275" t="s">
        <v>951</v>
      </c>
      <c r="C20" s="275" t="s">
        <v>509</v>
      </c>
      <c r="D20" s="275" t="s">
        <v>528</v>
      </c>
      <c r="E20" s="321">
        <v>55560</v>
      </c>
      <c r="F20" s="225">
        <v>44352</v>
      </c>
      <c r="G20" s="225">
        <f t="shared" si="0"/>
        <v>79.827213822894166</v>
      </c>
    </row>
    <row r="21" spans="1:7" ht="38.25">
      <c r="A21" s="229" t="s">
        <v>1604</v>
      </c>
      <c r="B21" s="275" t="s">
        <v>951</v>
      </c>
      <c r="C21" s="275" t="s">
        <v>1290</v>
      </c>
      <c r="D21" s="275"/>
      <c r="E21" s="321">
        <v>8175141.7800000003</v>
      </c>
      <c r="F21" s="225">
        <v>7525289.6799999997</v>
      </c>
      <c r="G21" s="225">
        <f t="shared" si="0"/>
        <v>92.050876700513925</v>
      </c>
    </row>
    <row r="22" spans="1:7">
      <c r="A22" s="229" t="s">
        <v>187</v>
      </c>
      <c r="B22" s="275" t="s">
        <v>951</v>
      </c>
      <c r="C22" s="275" t="s">
        <v>1290</v>
      </c>
      <c r="D22" s="275" t="s">
        <v>528</v>
      </c>
      <c r="E22" s="321">
        <v>8175141.7800000003</v>
      </c>
      <c r="F22" s="225">
        <v>7525289.6799999997</v>
      </c>
      <c r="G22" s="225">
        <f t="shared" si="0"/>
        <v>92.050876700513925</v>
      </c>
    </row>
    <row r="23" spans="1:7" ht="25.5">
      <c r="A23" s="229" t="s">
        <v>461</v>
      </c>
      <c r="B23" s="275" t="s">
        <v>951</v>
      </c>
      <c r="C23" s="275" t="s">
        <v>462</v>
      </c>
      <c r="D23" s="275"/>
      <c r="E23" s="321">
        <v>397795</v>
      </c>
      <c r="F23" s="225">
        <v>323506</v>
      </c>
      <c r="G23" s="225">
        <f t="shared" si="0"/>
        <v>81.324802976407454</v>
      </c>
    </row>
    <row r="24" spans="1:7">
      <c r="A24" s="229" t="s">
        <v>187</v>
      </c>
      <c r="B24" s="275" t="s">
        <v>951</v>
      </c>
      <c r="C24" s="275" t="s">
        <v>462</v>
      </c>
      <c r="D24" s="275" t="s">
        <v>528</v>
      </c>
      <c r="E24" s="321">
        <v>397795</v>
      </c>
      <c r="F24" s="225">
        <v>323506</v>
      </c>
      <c r="G24" s="225">
        <f t="shared" si="0"/>
        <v>81.324802976407454</v>
      </c>
    </row>
    <row r="25" spans="1:7" ht="25.5">
      <c r="A25" s="229" t="s">
        <v>445</v>
      </c>
      <c r="B25" s="275" t="s">
        <v>951</v>
      </c>
      <c r="C25" s="275" t="s">
        <v>446</v>
      </c>
      <c r="D25" s="275"/>
      <c r="E25" s="321">
        <v>6823280.4800000004</v>
      </c>
      <c r="F25" s="225">
        <v>5895917.7800000003</v>
      </c>
      <c r="G25" s="225">
        <f t="shared" si="0"/>
        <v>86.408843917258991</v>
      </c>
    </row>
    <row r="26" spans="1:7">
      <c r="A26" s="229" t="s">
        <v>187</v>
      </c>
      <c r="B26" s="275" t="s">
        <v>951</v>
      </c>
      <c r="C26" s="275" t="s">
        <v>446</v>
      </c>
      <c r="D26" s="275" t="s">
        <v>528</v>
      </c>
      <c r="E26" s="321">
        <v>6823280.4800000004</v>
      </c>
      <c r="F26" s="225">
        <v>5895917.7800000003</v>
      </c>
      <c r="G26" s="225">
        <f t="shared" si="0"/>
        <v>86.408843917258991</v>
      </c>
    </row>
    <row r="27" spans="1:7">
      <c r="A27" s="229" t="s">
        <v>1293</v>
      </c>
      <c r="B27" s="275" t="s">
        <v>951</v>
      </c>
      <c r="C27" s="275" t="s">
        <v>1294</v>
      </c>
      <c r="D27" s="275"/>
      <c r="E27" s="321">
        <v>358322.21</v>
      </c>
      <c r="F27" s="225">
        <v>354355.45</v>
      </c>
      <c r="G27" s="225">
        <f t="shared" si="0"/>
        <v>98.892962844809418</v>
      </c>
    </row>
    <row r="28" spans="1:7">
      <c r="A28" s="229" t="s">
        <v>187</v>
      </c>
      <c r="B28" s="275" t="s">
        <v>951</v>
      </c>
      <c r="C28" s="275" t="s">
        <v>1294</v>
      </c>
      <c r="D28" s="275" t="s">
        <v>528</v>
      </c>
      <c r="E28" s="321">
        <v>358322.21</v>
      </c>
      <c r="F28" s="225">
        <v>354355.45</v>
      </c>
      <c r="G28" s="225">
        <f t="shared" si="0"/>
        <v>98.892962844809418</v>
      </c>
    </row>
    <row r="29" spans="1:7" ht="102">
      <c r="A29" s="229" t="s">
        <v>533</v>
      </c>
      <c r="B29" s="275" t="s">
        <v>959</v>
      </c>
      <c r="C29" s="275"/>
      <c r="D29" s="275"/>
      <c r="E29" s="321">
        <v>64472472.560000002</v>
      </c>
      <c r="F29" s="225">
        <v>61662896.340000004</v>
      </c>
      <c r="G29" s="225">
        <f t="shared" si="0"/>
        <v>95.64220804873689</v>
      </c>
    </row>
    <row r="30" spans="1:7">
      <c r="A30" s="229" t="s">
        <v>1603</v>
      </c>
      <c r="B30" s="275" t="s">
        <v>959</v>
      </c>
      <c r="C30" s="275" t="s">
        <v>460</v>
      </c>
      <c r="D30" s="275"/>
      <c r="E30" s="321">
        <v>37594945.549999997</v>
      </c>
      <c r="F30" s="225">
        <v>36777740.609999999</v>
      </c>
      <c r="G30" s="225">
        <f t="shared" si="0"/>
        <v>97.826290401423392</v>
      </c>
    </row>
    <row r="31" spans="1:7">
      <c r="A31" s="229" t="s">
        <v>188</v>
      </c>
      <c r="B31" s="275" t="s">
        <v>959</v>
      </c>
      <c r="C31" s="275" t="s">
        <v>460</v>
      </c>
      <c r="D31" s="275" t="s">
        <v>515</v>
      </c>
      <c r="E31" s="321">
        <v>37594945.549999997</v>
      </c>
      <c r="F31" s="225">
        <v>36777740.609999999</v>
      </c>
      <c r="G31" s="225">
        <f t="shared" si="0"/>
        <v>97.826290401423392</v>
      </c>
    </row>
    <row r="32" spans="1:7" ht="25.5">
      <c r="A32" s="229" t="s">
        <v>1617</v>
      </c>
      <c r="B32" s="275" t="s">
        <v>959</v>
      </c>
      <c r="C32" s="275" t="s">
        <v>509</v>
      </c>
      <c r="D32" s="275"/>
      <c r="E32" s="321">
        <v>69313.600000000006</v>
      </c>
      <c r="F32" s="225">
        <v>69263.600000000006</v>
      </c>
      <c r="G32" s="225">
        <f t="shared" si="0"/>
        <v>99.927864084393249</v>
      </c>
    </row>
    <row r="33" spans="1:7">
      <c r="A33" s="229" t="s">
        <v>188</v>
      </c>
      <c r="B33" s="275" t="s">
        <v>959</v>
      </c>
      <c r="C33" s="275" t="s">
        <v>509</v>
      </c>
      <c r="D33" s="275" t="s">
        <v>515</v>
      </c>
      <c r="E33" s="321">
        <v>69313.600000000006</v>
      </c>
      <c r="F33" s="225">
        <v>69263.600000000006</v>
      </c>
      <c r="G33" s="225">
        <f t="shared" si="0"/>
        <v>99.927864084393249</v>
      </c>
    </row>
    <row r="34" spans="1:7" ht="38.25">
      <c r="A34" s="229" t="s">
        <v>1604</v>
      </c>
      <c r="B34" s="275" t="s">
        <v>959</v>
      </c>
      <c r="C34" s="275" t="s">
        <v>1290</v>
      </c>
      <c r="D34" s="275"/>
      <c r="E34" s="321">
        <v>12054515.890000001</v>
      </c>
      <c r="F34" s="225">
        <v>11473223.449999999</v>
      </c>
      <c r="G34" s="225">
        <f t="shared" si="0"/>
        <v>95.177803527703503</v>
      </c>
    </row>
    <row r="35" spans="1:7">
      <c r="A35" s="229" t="s">
        <v>188</v>
      </c>
      <c r="B35" s="275" t="s">
        <v>959</v>
      </c>
      <c r="C35" s="275" t="s">
        <v>1290</v>
      </c>
      <c r="D35" s="275" t="s">
        <v>515</v>
      </c>
      <c r="E35" s="321">
        <v>12054515.890000001</v>
      </c>
      <c r="F35" s="225">
        <v>11473223.449999999</v>
      </c>
      <c r="G35" s="225">
        <f t="shared" si="0"/>
        <v>95.177803527703503</v>
      </c>
    </row>
    <row r="36" spans="1:7" ht="25.5">
      <c r="A36" s="229" t="s">
        <v>461</v>
      </c>
      <c r="B36" s="275" t="s">
        <v>959</v>
      </c>
      <c r="C36" s="275" t="s">
        <v>462</v>
      </c>
      <c r="D36" s="275"/>
      <c r="E36" s="321">
        <v>673769.48</v>
      </c>
      <c r="F36" s="225">
        <v>553808.27</v>
      </c>
      <c r="G36" s="225">
        <f t="shared" si="0"/>
        <v>82.195511438125706</v>
      </c>
    </row>
    <row r="37" spans="1:7">
      <c r="A37" s="229" t="s">
        <v>188</v>
      </c>
      <c r="B37" s="275" t="s">
        <v>959</v>
      </c>
      <c r="C37" s="275" t="s">
        <v>462</v>
      </c>
      <c r="D37" s="275" t="s">
        <v>515</v>
      </c>
      <c r="E37" s="321">
        <v>673769.48</v>
      </c>
      <c r="F37" s="225">
        <v>553808.27</v>
      </c>
      <c r="G37" s="225">
        <f t="shared" si="0"/>
        <v>82.195511438125706</v>
      </c>
    </row>
    <row r="38" spans="1:7" ht="25.5">
      <c r="A38" s="229" t="s">
        <v>445</v>
      </c>
      <c r="B38" s="275" t="s">
        <v>959</v>
      </c>
      <c r="C38" s="275" t="s">
        <v>446</v>
      </c>
      <c r="D38" s="275"/>
      <c r="E38" s="321">
        <v>13655488.779999999</v>
      </c>
      <c r="F38" s="225">
        <v>12371494.130000001</v>
      </c>
      <c r="G38" s="225">
        <f t="shared" si="0"/>
        <v>90.597226721898423</v>
      </c>
    </row>
    <row r="39" spans="1:7">
      <c r="A39" s="229" t="s">
        <v>188</v>
      </c>
      <c r="B39" s="275" t="s">
        <v>959</v>
      </c>
      <c r="C39" s="275" t="s">
        <v>446</v>
      </c>
      <c r="D39" s="275" t="s">
        <v>515</v>
      </c>
      <c r="E39" s="321">
        <v>13655488.779999999</v>
      </c>
      <c r="F39" s="225">
        <v>12371494.130000001</v>
      </c>
      <c r="G39" s="225">
        <f t="shared" si="0"/>
        <v>90.597226721898423</v>
      </c>
    </row>
    <row r="40" spans="1:7" ht="25.5">
      <c r="A40" s="229" t="s">
        <v>1758</v>
      </c>
      <c r="B40" s="275" t="s">
        <v>959</v>
      </c>
      <c r="C40" s="275" t="s">
        <v>552</v>
      </c>
      <c r="D40" s="275"/>
      <c r="E40" s="321">
        <v>1000</v>
      </c>
      <c r="F40" s="225">
        <v>1000</v>
      </c>
      <c r="G40" s="225">
        <f t="shared" si="0"/>
        <v>100</v>
      </c>
    </row>
    <row r="41" spans="1:7">
      <c r="A41" s="229" t="s">
        <v>188</v>
      </c>
      <c r="B41" s="275" t="s">
        <v>959</v>
      </c>
      <c r="C41" s="275" t="s">
        <v>552</v>
      </c>
      <c r="D41" s="275" t="s">
        <v>515</v>
      </c>
      <c r="E41" s="321">
        <v>1000</v>
      </c>
      <c r="F41" s="225">
        <v>1000</v>
      </c>
      <c r="G41" s="225">
        <f t="shared" si="0"/>
        <v>100</v>
      </c>
    </row>
    <row r="42" spans="1:7">
      <c r="A42" s="229" t="s">
        <v>1168</v>
      </c>
      <c r="B42" s="275" t="s">
        <v>959</v>
      </c>
      <c r="C42" s="275" t="s">
        <v>626</v>
      </c>
      <c r="D42" s="275"/>
      <c r="E42" s="321">
        <v>3500</v>
      </c>
      <c r="F42" s="225">
        <v>3500</v>
      </c>
      <c r="G42" s="225">
        <f t="shared" si="0"/>
        <v>100</v>
      </c>
    </row>
    <row r="43" spans="1:7">
      <c r="A43" s="229" t="s">
        <v>188</v>
      </c>
      <c r="B43" s="275" t="s">
        <v>959</v>
      </c>
      <c r="C43" s="275" t="s">
        <v>626</v>
      </c>
      <c r="D43" s="275" t="s">
        <v>515</v>
      </c>
      <c r="E43" s="321">
        <v>3500</v>
      </c>
      <c r="F43" s="225">
        <v>3500</v>
      </c>
      <c r="G43" s="225">
        <f t="shared" si="0"/>
        <v>100</v>
      </c>
    </row>
    <row r="44" spans="1:7">
      <c r="A44" s="229" t="s">
        <v>1293</v>
      </c>
      <c r="B44" s="275" t="s">
        <v>959</v>
      </c>
      <c r="C44" s="275" t="s">
        <v>1294</v>
      </c>
      <c r="D44" s="275"/>
      <c r="E44" s="321">
        <v>419939.26</v>
      </c>
      <c r="F44" s="225">
        <v>412866.28</v>
      </c>
      <c r="G44" s="225">
        <f t="shared" si="0"/>
        <v>98.315713562956702</v>
      </c>
    </row>
    <row r="45" spans="1:7">
      <c r="A45" s="229" t="s">
        <v>188</v>
      </c>
      <c r="B45" s="275" t="s">
        <v>959</v>
      </c>
      <c r="C45" s="275" t="s">
        <v>1294</v>
      </c>
      <c r="D45" s="275" t="s">
        <v>515</v>
      </c>
      <c r="E45" s="321">
        <v>419939.26</v>
      </c>
      <c r="F45" s="225">
        <v>412866.28</v>
      </c>
      <c r="G45" s="225">
        <f t="shared" si="0"/>
        <v>98.315713562956702</v>
      </c>
    </row>
    <row r="46" spans="1:7" ht="102">
      <c r="A46" s="229" t="s">
        <v>534</v>
      </c>
      <c r="B46" s="275" t="s">
        <v>963</v>
      </c>
      <c r="C46" s="275"/>
      <c r="D46" s="275"/>
      <c r="E46" s="321">
        <v>28249488.149999999</v>
      </c>
      <c r="F46" s="225">
        <v>27205548.59</v>
      </c>
      <c r="G46" s="225">
        <f t="shared" si="0"/>
        <v>96.304571769736654</v>
      </c>
    </row>
    <row r="47" spans="1:7">
      <c r="A47" s="229" t="s">
        <v>1603</v>
      </c>
      <c r="B47" s="275" t="s">
        <v>963</v>
      </c>
      <c r="C47" s="275" t="s">
        <v>460</v>
      </c>
      <c r="D47" s="275"/>
      <c r="E47" s="321">
        <v>12513586.109999999</v>
      </c>
      <c r="F47" s="225">
        <v>12303273.460000001</v>
      </c>
      <c r="G47" s="225">
        <f t="shared" si="0"/>
        <v>98.319325506283676</v>
      </c>
    </row>
    <row r="48" spans="1:7">
      <c r="A48" s="229" t="s">
        <v>1442</v>
      </c>
      <c r="B48" s="275" t="s">
        <v>963</v>
      </c>
      <c r="C48" s="275" t="s">
        <v>460</v>
      </c>
      <c r="D48" s="275" t="s">
        <v>1443</v>
      </c>
      <c r="E48" s="321">
        <v>12513586.109999999</v>
      </c>
      <c r="F48" s="225">
        <v>12303273.460000001</v>
      </c>
      <c r="G48" s="225">
        <f t="shared" si="0"/>
        <v>98.319325506283676</v>
      </c>
    </row>
    <row r="49" spans="1:7" ht="25.5">
      <c r="A49" s="229" t="s">
        <v>1617</v>
      </c>
      <c r="B49" s="275" t="s">
        <v>963</v>
      </c>
      <c r="C49" s="275" t="s">
        <v>509</v>
      </c>
      <c r="D49" s="275"/>
      <c r="E49" s="321">
        <v>160365.48000000001</v>
      </c>
      <c r="F49" s="225">
        <v>160365.48000000001</v>
      </c>
      <c r="G49" s="225">
        <f t="shared" si="0"/>
        <v>100</v>
      </c>
    </row>
    <row r="50" spans="1:7">
      <c r="A50" s="229" t="s">
        <v>1442</v>
      </c>
      <c r="B50" s="275" t="s">
        <v>963</v>
      </c>
      <c r="C50" s="275" t="s">
        <v>509</v>
      </c>
      <c r="D50" s="275" t="s">
        <v>1443</v>
      </c>
      <c r="E50" s="321">
        <v>160365.48000000001</v>
      </c>
      <c r="F50" s="225">
        <v>160365.48000000001</v>
      </c>
      <c r="G50" s="225">
        <f t="shared" si="0"/>
        <v>100</v>
      </c>
    </row>
    <row r="51" spans="1:7" ht="38.25">
      <c r="A51" s="229" t="s">
        <v>1604</v>
      </c>
      <c r="B51" s="275" t="s">
        <v>963</v>
      </c>
      <c r="C51" s="275" t="s">
        <v>1290</v>
      </c>
      <c r="D51" s="275"/>
      <c r="E51" s="321">
        <v>3720817.9</v>
      </c>
      <c r="F51" s="225">
        <v>3645312.57</v>
      </c>
      <c r="G51" s="225">
        <f t="shared" si="0"/>
        <v>97.970732993947379</v>
      </c>
    </row>
    <row r="52" spans="1:7">
      <c r="A52" s="229" t="s">
        <v>1442</v>
      </c>
      <c r="B52" s="275" t="s">
        <v>963</v>
      </c>
      <c r="C52" s="275" t="s">
        <v>1290</v>
      </c>
      <c r="D52" s="275" t="s">
        <v>1443</v>
      </c>
      <c r="E52" s="321">
        <v>3720817.9</v>
      </c>
      <c r="F52" s="225">
        <v>3645312.57</v>
      </c>
      <c r="G52" s="225">
        <f t="shared" si="0"/>
        <v>97.970732993947379</v>
      </c>
    </row>
    <row r="53" spans="1:7" ht="25.5">
      <c r="A53" s="229" t="s">
        <v>445</v>
      </c>
      <c r="B53" s="275" t="s">
        <v>963</v>
      </c>
      <c r="C53" s="275" t="s">
        <v>446</v>
      </c>
      <c r="D53" s="275"/>
      <c r="E53" s="321">
        <v>778085.76</v>
      </c>
      <c r="F53" s="225">
        <v>762885.26</v>
      </c>
      <c r="G53" s="225">
        <f t="shared" si="0"/>
        <v>98.046423571612465</v>
      </c>
    </row>
    <row r="54" spans="1:7">
      <c r="A54" s="229" t="s">
        <v>1442</v>
      </c>
      <c r="B54" s="275" t="s">
        <v>963</v>
      </c>
      <c r="C54" s="275" t="s">
        <v>446</v>
      </c>
      <c r="D54" s="275" t="s">
        <v>1443</v>
      </c>
      <c r="E54" s="321">
        <v>778085.76</v>
      </c>
      <c r="F54" s="225">
        <v>762885.26</v>
      </c>
      <c r="G54" s="225">
        <f t="shared" si="0"/>
        <v>98.046423571612465</v>
      </c>
    </row>
    <row r="55" spans="1:7" ht="51">
      <c r="A55" s="229" t="s">
        <v>465</v>
      </c>
      <c r="B55" s="275" t="s">
        <v>963</v>
      </c>
      <c r="C55" s="275" t="s">
        <v>466</v>
      </c>
      <c r="D55" s="275"/>
      <c r="E55" s="321">
        <v>11076432</v>
      </c>
      <c r="F55" s="225">
        <v>10333512.939999999</v>
      </c>
      <c r="G55" s="225">
        <f t="shared" si="0"/>
        <v>93.292794466665796</v>
      </c>
    </row>
    <row r="56" spans="1:7">
      <c r="A56" s="229" t="s">
        <v>1442</v>
      </c>
      <c r="B56" s="275" t="s">
        <v>963</v>
      </c>
      <c r="C56" s="275" t="s">
        <v>466</v>
      </c>
      <c r="D56" s="275" t="s">
        <v>1443</v>
      </c>
      <c r="E56" s="321">
        <v>11076432</v>
      </c>
      <c r="F56" s="225">
        <v>10333512.939999999</v>
      </c>
      <c r="G56" s="225">
        <f t="shared" si="0"/>
        <v>93.292794466665796</v>
      </c>
    </row>
    <row r="57" spans="1:7">
      <c r="A57" s="229" t="s">
        <v>1293</v>
      </c>
      <c r="B57" s="275" t="s">
        <v>963</v>
      </c>
      <c r="C57" s="275" t="s">
        <v>1294</v>
      </c>
      <c r="D57" s="275"/>
      <c r="E57" s="321">
        <v>200.9</v>
      </c>
      <c r="F57" s="225">
        <v>198.88</v>
      </c>
      <c r="G57" s="225">
        <f t="shared" si="0"/>
        <v>98.994524639123938</v>
      </c>
    </row>
    <row r="58" spans="1:7">
      <c r="A58" s="229" t="s">
        <v>1442</v>
      </c>
      <c r="B58" s="275" t="s">
        <v>963</v>
      </c>
      <c r="C58" s="275" t="s">
        <v>1294</v>
      </c>
      <c r="D58" s="275" t="s">
        <v>1443</v>
      </c>
      <c r="E58" s="321">
        <v>200.9</v>
      </c>
      <c r="F58" s="225">
        <v>198.88</v>
      </c>
      <c r="G58" s="225">
        <f t="shared" si="0"/>
        <v>98.994524639123938</v>
      </c>
    </row>
    <row r="59" spans="1:7" ht="102">
      <c r="A59" s="229" t="s">
        <v>537</v>
      </c>
      <c r="B59" s="275" t="s">
        <v>976</v>
      </c>
      <c r="C59" s="275"/>
      <c r="D59" s="275"/>
      <c r="E59" s="321">
        <v>877000</v>
      </c>
      <c r="F59" s="225">
        <v>471432.72</v>
      </c>
      <c r="G59" s="225">
        <f t="shared" si="0"/>
        <v>53.755156214367162</v>
      </c>
    </row>
    <row r="60" spans="1:7" ht="51">
      <c r="A60" s="229" t="s">
        <v>465</v>
      </c>
      <c r="B60" s="275" t="s">
        <v>976</v>
      </c>
      <c r="C60" s="275" t="s">
        <v>466</v>
      </c>
      <c r="D60" s="275"/>
      <c r="E60" s="321">
        <v>877000</v>
      </c>
      <c r="F60" s="225">
        <v>471432.72</v>
      </c>
      <c r="G60" s="225">
        <f t="shared" si="0"/>
        <v>53.755156214367162</v>
      </c>
    </row>
    <row r="61" spans="1:7">
      <c r="A61" s="229" t="s">
        <v>1440</v>
      </c>
      <c r="B61" s="275" t="s">
        <v>976</v>
      </c>
      <c r="C61" s="275" t="s">
        <v>466</v>
      </c>
      <c r="D61" s="275" t="s">
        <v>483</v>
      </c>
      <c r="E61" s="321">
        <v>877000</v>
      </c>
      <c r="F61" s="225">
        <v>471432.72</v>
      </c>
      <c r="G61" s="225">
        <f t="shared" si="0"/>
        <v>53.755156214367162</v>
      </c>
    </row>
    <row r="62" spans="1:7" ht="140.25">
      <c r="A62" s="229" t="s">
        <v>737</v>
      </c>
      <c r="B62" s="275" t="s">
        <v>952</v>
      </c>
      <c r="C62" s="275"/>
      <c r="D62" s="275"/>
      <c r="E62" s="321">
        <v>45607817.560000002</v>
      </c>
      <c r="F62" s="225">
        <v>44362556.030000001</v>
      </c>
      <c r="G62" s="225">
        <f t="shared" si="0"/>
        <v>97.269631399569207</v>
      </c>
    </row>
    <row r="63" spans="1:7">
      <c r="A63" s="229" t="s">
        <v>1603</v>
      </c>
      <c r="B63" s="275" t="s">
        <v>952</v>
      </c>
      <c r="C63" s="275" t="s">
        <v>460</v>
      </c>
      <c r="D63" s="275"/>
      <c r="E63" s="321">
        <v>35128869.329999998</v>
      </c>
      <c r="F63" s="225">
        <v>34246832.130000003</v>
      </c>
      <c r="G63" s="225">
        <f t="shared" si="0"/>
        <v>97.489138657683085</v>
      </c>
    </row>
    <row r="64" spans="1:7">
      <c r="A64" s="229" t="s">
        <v>187</v>
      </c>
      <c r="B64" s="275" t="s">
        <v>952</v>
      </c>
      <c r="C64" s="275" t="s">
        <v>460</v>
      </c>
      <c r="D64" s="275" t="s">
        <v>528</v>
      </c>
      <c r="E64" s="321">
        <v>35128869.329999998</v>
      </c>
      <c r="F64" s="225">
        <v>34246832.130000003</v>
      </c>
      <c r="G64" s="225">
        <f t="shared" si="0"/>
        <v>97.489138657683085</v>
      </c>
    </row>
    <row r="65" spans="1:7" ht="38.25">
      <c r="A65" s="229" t="s">
        <v>1604</v>
      </c>
      <c r="B65" s="275" t="s">
        <v>952</v>
      </c>
      <c r="C65" s="275" t="s">
        <v>1290</v>
      </c>
      <c r="D65" s="275"/>
      <c r="E65" s="321">
        <v>10478948.23</v>
      </c>
      <c r="F65" s="225">
        <v>10115723.9</v>
      </c>
      <c r="G65" s="225">
        <f t="shared" si="0"/>
        <v>96.533771118745179</v>
      </c>
    </row>
    <row r="66" spans="1:7">
      <c r="A66" s="229" t="s">
        <v>187</v>
      </c>
      <c r="B66" s="275" t="s">
        <v>952</v>
      </c>
      <c r="C66" s="275" t="s">
        <v>1290</v>
      </c>
      <c r="D66" s="275" t="s">
        <v>528</v>
      </c>
      <c r="E66" s="321">
        <v>10478948.23</v>
      </c>
      <c r="F66" s="225">
        <v>10115723.9</v>
      </c>
      <c r="G66" s="225">
        <f t="shared" si="0"/>
        <v>96.533771118745179</v>
      </c>
    </row>
    <row r="67" spans="1:7" ht="140.25">
      <c r="A67" s="229" t="s">
        <v>535</v>
      </c>
      <c r="B67" s="275" t="s">
        <v>960</v>
      </c>
      <c r="C67" s="275"/>
      <c r="D67" s="275"/>
      <c r="E67" s="321">
        <v>63939573.609999999</v>
      </c>
      <c r="F67" s="225">
        <v>62894358.539999999</v>
      </c>
      <c r="G67" s="225">
        <f t="shared" si="0"/>
        <v>98.365308038531353</v>
      </c>
    </row>
    <row r="68" spans="1:7">
      <c r="A68" s="229" t="s">
        <v>1603</v>
      </c>
      <c r="B68" s="275" t="s">
        <v>960</v>
      </c>
      <c r="C68" s="275" t="s">
        <v>460</v>
      </c>
      <c r="D68" s="275"/>
      <c r="E68" s="321">
        <v>49244387.18</v>
      </c>
      <c r="F68" s="225">
        <v>48641254.549999997</v>
      </c>
      <c r="G68" s="225">
        <f t="shared" si="0"/>
        <v>98.775225635775683</v>
      </c>
    </row>
    <row r="69" spans="1:7">
      <c r="A69" s="229" t="s">
        <v>188</v>
      </c>
      <c r="B69" s="275" t="s">
        <v>960</v>
      </c>
      <c r="C69" s="275" t="s">
        <v>460</v>
      </c>
      <c r="D69" s="275" t="s">
        <v>515</v>
      </c>
      <c r="E69" s="321">
        <v>49244387.18</v>
      </c>
      <c r="F69" s="225">
        <v>48641254.549999997</v>
      </c>
      <c r="G69" s="225">
        <f t="shared" si="0"/>
        <v>98.775225635775683</v>
      </c>
    </row>
    <row r="70" spans="1:7" ht="38.25">
      <c r="A70" s="229" t="s">
        <v>1604</v>
      </c>
      <c r="B70" s="275" t="s">
        <v>960</v>
      </c>
      <c r="C70" s="275" t="s">
        <v>1290</v>
      </c>
      <c r="D70" s="275"/>
      <c r="E70" s="321">
        <v>14695186.43</v>
      </c>
      <c r="F70" s="225">
        <v>14253103.99</v>
      </c>
      <c r="G70" s="225">
        <f t="shared" si="0"/>
        <v>96.991651367569617</v>
      </c>
    </row>
    <row r="71" spans="1:7">
      <c r="A71" s="229" t="s">
        <v>188</v>
      </c>
      <c r="B71" s="275" t="s">
        <v>960</v>
      </c>
      <c r="C71" s="275" t="s">
        <v>1290</v>
      </c>
      <c r="D71" s="275" t="s">
        <v>515</v>
      </c>
      <c r="E71" s="321">
        <v>14695186.43</v>
      </c>
      <c r="F71" s="225">
        <v>14253103.99</v>
      </c>
      <c r="G71" s="225">
        <f t="shared" si="0"/>
        <v>96.991651367569617</v>
      </c>
    </row>
    <row r="72" spans="1:7" ht="140.25">
      <c r="A72" s="229" t="s">
        <v>741</v>
      </c>
      <c r="B72" s="275" t="s">
        <v>964</v>
      </c>
      <c r="C72" s="275"/>
      <c r="D72" s="275"/>
      <c r="E72" s="321">
        <v>3125700</v>
      </c>
      <c r="F72" s="225">
        <v>2925635.65</v>
      </c>
      <c r="G72" s="225">
        <f t="shared" ref="G72:G135" si="1">F72/E72*100</f>
        <v>93.599374540103014</v>
      </c>
    </row>
    <row r="73" spans="1:7">
      <c r="A73" s="229" t="s">
        <v>1603</v>
      </c>
      <c r="B73" s="275" t="s">
        <v>964</v>
      </c>
      <c r="C73" s="275" t="s">
        <v>460</v>
      </c>
      <c r="D73" s="275"/>
      <c r="E73" s="321">
        <v>1839800</v>
      </c>
      <c r="F73" s="225">
        <v>1752129.18</v>
      </c>
      <c r="G73" s="225">
        <f t="shared" si="1"/>
        <v>95.234763561256656</v>
      </c>
    </row>
    <row r="74" spans="1:7">
      <c r="A74" s="229" t="s">
        <v>1442</v>
      </c>
      <c r="B74" s="275" t="s">
        <v>964</v>
      </c>
      <c r="C74" s="275" t="s">
        <v>460</v>
      </c>
      <c r="D74" s="275" t="s">
        <v>1443</v>
      </c>
      <c r="E74" s="321">
        <v>1839800</v>
      </c>
      <c r="F74" s="225">
        <v>1752129.18</v>
      </c>
      <c r="G74" s="225">
        <f t="shared" si="1"/>
        <v>95.234763561256656</v>
      </c>
    </row>
    <row r="75" spans="1:7" ht="38.25">
      <c r="A75" s="229" t="s">
        <v>1604</v>
      </c>
      <c r="B75" s="275" t="s">
        <v>964</v>
      </c>
      <c r="C75" s="275" t="s">
        <v>1290</v>
      </c>
      <c r="D75" s="275"/>
      <c r="E75" s="321">
        <v>590600</v>
      </c>
      <c r="F75" s="225">
        <v>501044.8</v>
      </c>
      <c r="G75" s="225">
        <f t="shared" si="1"/>
        <v>84.836572976633931</v>
      </c>
    </row>
    <row r="76" spans="1:7">
      <c r="A76" s="229" t="s">
        <v>1442</v>
      </c>
      <c r="B76" s="275" t="s">
        <v>964</v>
      </c>
      <c r="C76" s="275" t="s">
        <v>1290</v>
      </c>
      <c r="D76" s="275" t="s">
        <v>1443</v>
      </c>
      <c r="E76" s="321">
        <v>590600</v>
      </c>
      <c r="F76" s="225">
        <v>501044.8</v>
      </c>
      <c r="G76" s="225">
        <f t="shared" si="1"/>
        <v>84.836572976633931</v>
      </c>
    </row>
    <row r="77" spans="1:7" ht="51">
      <c r="A77" s="229" t="s">
        <v>465</v>
      </c>
      <c r="B77" s="275" t="s">
        <v>964</v>
      </c>
      <c r="C77" s="275" t="s">
        <v>466</v>
      </c>
      <c r="D77" s="275"/>
      <c r="E77" s="321">
        <v>695300</v>
      </c>
      <c r="F77" s="225">
        <v>672461.67</v>
      </c>
      <c r="G77" s="225">
        <f t="shared" si="1"/>
        <v>96.715327196893426</v>
      </c>
    </row>
    <row r="78" spans="1:7">
      <c r="A78" s="229" t="s">
        <v>1442</v>
      </c>
      <c r="B78" s="275" t="s">
        <v>964</v>
      </c>
      <c r="C78" s="275" t="s">
        <v>466</v>
      </c>
      <c r="D78" s="275" t="s">
        <v>1443</v>
      </c>
      <c r="E78" s="321">
        <v>695300</v>
      </c>
      <c r="F78" s="225">
        <v>672461.67</v>
      </c>
      <c r="G78" s="225">
        <f t="shared" si="1"/>
        <v>96.715327196893426</v>
      </c>
    </row>
    <row r="79" spans="1:7" ht="140.25">
      <c r="A79" s="229" t="s">
        <v>538</v>
      </c>
      <c r="B79" s="275" t="s">
        <v>977</v>
      </c>
      <c r="C79" s="275"/>
      <c r="D79" s="275"/>
      <c r="E79" s="321">
        <v>661560</v>
      </c>
      <c r="F79" s="225">
        <v>469268.67</v>
      </c>
      <c r="G79" s="225">
        <f t="shared" si="1"/>
        <v>70.933652276437513</v>
      </c>
    </row>
    <row r="80" spans="1:7" ht="51">
      <c r="A80" s="229" t="s">
        <v>465</v>
      </c>
      <c r="B80" s="275" t="s">
        <v>977</v>
      </c>
      <c r="C80" s="275" t="s">
        <v>466</v>
      </c>
      <c r="D80" s="275"/>
      <c r="E80" s="321">
        <v>661560</v>
      </c>
      <c r="F80" s="225">
        <v>469268.67</v>
      </c>
      <c r="G80" s="225">
        <f t="shared" si="1"/>
        <v>70.933652276437513</v>
      </c>
    </row>
    <row r="81" spans="1:7">
      <c r="A81" s="229" t="s">
        <v>1440</v>
      </c>
      <c r="B81" s="275" t="s">
        <v>977</v>
      </c>
      <c r="C81" s="275" t="s">
        <v>466</v>
      </c>
      <c r="D81" s="275" t="s">
        <v>483</v>
      </c>
      <c r="E81" s="321">
        <v>661560</v>
      </c>
      <c r="F81" s="225">
        <v>469268.67</v>
      </c>
      <c r="G81" s="225">
        <f t="shared" si="1"/>
        <v>70.933652276437513</v>
      </c>
    </row>
    <row r="82" spans="1:7" ht="127.5">
      <c r="A82" s="229" t="s">
        <v>659</v>
      </c>
      <c r="B82" s="275" t="s">
        <v>966</v>
      </c>
      <c r="C82" s="275"/>
      <c r="D82" s="275"/>
      <c r="E82" s="321">
        <v>2789584.8</v>
      </c>
      <c r="F82" s="225">
        <v>1551499.7</v>
      </c>
      <c r="G82" s="225">
        <f t="shared" si="1"/>
        <v>55.617585097251755</v>
      </c>
    </row>
    <row r="83" spans="1:7" ht="25.5">
      <c r="A83" s="229" t="s">
        <v>1617</v>
      </c>
      <c r="B83" s="275" t="s">
        <v>966</v>
      </c>
      <c r="C83" s="275" t="s">
        <v>509</v>
      </c>
      <c r="D83" s="275"/>
      <c r="E83" s="321">
        <v>677070.8</v>
      </c>
      <c r="F83" s="225">
        <v>386790.6</v>
      </c>
      <c r="G83" s="225">
        <f t="shared" si="1"/>
        <v>57.127053773401535</v>
      </c>
    </row>
    <row r="84" spans="1:7">
      <c r="A84" s="229" t="s">
        <v>188</v>
      </c>
      <c r="B84" s="275" t="s">
        <v>966</v>
      </c>
      <c r="C84" s="275" t="s">
        <v>509</v>
      </c>
      <c r="D84" s="275" t="s">
        <v>515</v>
      </c>
      <c r="E84" s="321">
        <v>677070.8</v>
      </c>
      <c r="F84" s="225">
        <v>386790.6</v>
      </c>
      <c r="G84" s="225">
        <f t="shared" si="1"/>
        <v>57.127053773401535</v>
      </c>
    </row>
    <row r="85" spans="1:7" ht="38.25">
      <c r="A85" s="229" t="s">
        <v>1619</v>
      </c>
      <c r="B85" s="275" t="s">
        <v>966</v>
      </c>
      <c r="C85" s="275" t="s">
        <v>1295</v>
      </c>
      <c r="D85" s="275"/>
      <c r="E85" s="321">
        <v>390000</v>
      </c>
      <c r="F85" s="225">
        <v>165702.6</v>
      </c>
      <c r="G85" s="225">
        <f t="shared" si="1"/>
        <v>42.487846153846156</v>
      </c>
    </row>
    <row r="86" spans="1:7">
      <c r="A86" s="229" t="s">
        <v>188</v>
      </c>
      <c r="B86" s="275" t="s">
        <v>966</v>
      </c>
      <c r="C86" s="275" t="s">
        <v>1295</v>
      </c>
      <c r="D86" s="275" t="s">
        <v>515</v>
      </c>
      <c r="E86" s="321">
        <v>390000</v>
      </c>
      <c r="F86" s="225">
        <v>165702.6</v>
      </c>
      <c r="G86" s="225">
        <f t="shared" si="1"/>
        <v>42.487846153846156</v>
      </c>
    </row>
    <row r="87" spans="1:7" ht="25.5">
      <c r="A87" s="229" t="s">
        <v>445</v>
      </c>
      <c r="B87" s="275" t="s">
        <v>966</v>
      </c>
      <c r="C87" s="275" t="s">
        <v>446</v>
      </c>
      <c r="D87" s="275"/>
      <c r="E87" s="321">
        <v>1722514</v>
      </c>
      <c r="F87" s="225">
        <v>999006.5</v>
      </c>
      <c r="G87" s="225">
        <f t="shared" si="1"/>
        <v>57.9970032173904</v>
      </c>
    </row>
    <row r="88" spans="1:7">
      <c r="A88" s="229" t="s">
        <v>188</v>
      </c>
      <c r="B88" s="275" t="s">
        <v>966</v>
      </c>
      <c r="C88" s="275" t="s">
        <v>446</v>
      </c>
      <c r="D88" s="275" t="s">
        <v>515</v>
      </c>
      <c r="E88" s="321">
        <v>1722514</v>
      </c>
      <c r="F88" s="225">
        <v>999006.5</v>
      </c>
      <c r="G88" s="225">
        <f t="shared" si="1"/>
        <v>57.9970032173904</v>
      </c>
    </row>
    <row r="89" spans="1:7" ht="127.5">
      <c r="A89" s="229" t="s">
        <v>1043</v>
      </c>
      <c r="B89" s="275" t="s">
        <v>1042</v>
      </c>
      <c r="C89" s="275"/>
      <c r="D89" s="275"/>
      <c r="E89" s="321">
        <v>4500</v>
      </c>
      <c r="F89" s="225">
        <v>4500</v>
      </c>
      <c r="G89" s="225">
        <f t="shared" si="1"/>
        <v>100</v>
      </c>
    </row>
    <row r="90" spans="1:7" ht="25.5">
      <c r="A90" s="229" t="s">
        <v>1617</v>
      </c>
      <c r="B90" s="275" t="s">
        <v>1042</v>
      </c>
      <c r="C90" s="275" t="s">
        <v>509</v>
      </c>
      <c r="D90" s="275"/>
      <c r="E90" s="321">
        <v>4500</v>
      </c>
      <c r="F90" s="225">
        <v>4500</v>
      </c>
      <c r="G90" s="225">
        <f t="shared" si="1"/>
        <v>100</v>
      </c>
    </row>
    <row r="91" spans="1:7">
      <c r="A91" s="229" t="s">
        <v>188</v>
      </c>
      <c r="B91" s="275" t="s">
        <v>1042</v>
      </c>
      <c r="C91" s="275" t="s">
        <v>509</v>
      </c>
      <c r="D91" s="275" t="s">
        <v>515</v>
      </c>
      <c r="E91" s="321">
        <v>4500</v>
      </c>
      <c r="F91" s="225">
        <v>4500</v>
      </c>
      <c r="G91" s="225">
        <f t="shared" si="1"/>
        <v>100</v>
      </c>
    </row>
    <row r="92" spans="1:7" ht="114.75">
      <c r="A92" s="229" t="s">
        <v>742</v>
      </c>
      <c r="B92" s="275" t="s">
        <v>965</v>
      </c>
      <c r="C92" s="275"/>
      <c r="D92" s="275"/>
      <c r="E92" s="321">
        <v>209532</v>
      </c>
      <c r="F92" s="225">
        <v>114315.97</v>
      </c>
      <c r="G92" s="225">
        <f t="shared" si="1"/>
        <v>54.557762060210379</v>
      </c>
    </row>
    <row r="93" spans="1:7">
      <c r="A93" s="229" t="s">
        <v>1603</v>
      </c>
      <c r="B93" s="275" t="s">
        <v>965</v>
      </c>
      <c r="C93" s="275" t="s">
        <v>460</v>
      </c>
      <c r="D93" s="275"/>
      <c r="E93" s="321">
        <v>13404</v>
      </c>
      <c r="F93" s="225">
        <v>12446.81</v>
      </c>
      <c r="G93" s="225">
        <f t="shared" si="1"/>
        <v>92.858922709638918</v>
      </c>
    </row>
    <row r="94" spans="1:7">
      <c r="A94" s="229" t="s">
        <v>1442</v>
      </c>
      <c r="B94" s="275" t="s">
        <v>965</v>
      </c>
      <c r="C94" s="275" t="s">
        <v>460</v>
      </c>
      <c r="D94" s="275" t="s">
        <v>1443</v>
      </c>
      <c r="E94" s="321">
        <v>13404</v>
      </c>
      <c r="F94" s="225">
        <v>12446.81</v>
      </c>
      <c r="G94" s="225">
        <f t="shared" si="1"/>
        <v>92.858922709638918</v>
      </c>
    </row>
    <row r="95" spans="1:7" ht="38.25">
      <c r="A95" s="229" t="s">
        <v>1604</v>
      </c>
      <c r="B95" s="275" t="s">
        <v>965</v>
      </c>
      <c r="C95" s="275" t="s">
        <v>1290</v>
      </c>
      <c r="D95" s="275"/>
      <c r="E95" s="321">
        <v>4048</v>
      </c>
      <c r="F95" s="225">
        <v>3471.63</v>
      </c>
      <c r="G95" s="225">
        <f t="shared" si="1"/>
        <v>85.761610671936765</v>
      </c>
    </row>
    <row r="96" spans="1:7">
      <c r="A96" s="229" t="s">
        <v>1442</v>
      </c>
      <c r="B96" s="275" t="s">
        <v>965</v>
      </c>
      <c r="C96" s="275" t="s">
        <v>1290</v>
      </c>
      <c r="D96" s="275" t="s">
        <v>1443</v>
      </c>
      <c r="E96" s="321">
        <v>4048</v>
      </c>
      <c r="F96" s="225">
        <v>3471.63</v>
      </c>
      <c r="G96" s="225">
        <f t="shared" si="1"/>
        <v>85.761610671936765</v>
      </c>
    </row>
    <row r="97" spans="1:7" ht="51">
      <c r="A97" s="229" t="s">
        <v>465</v>
      </c>
      <c r="B97" s="275" t="s">
        <v>965</v>
      </c>
      <c r="C97" s="275" t="s">
        <v>466</v>
      </c>
      <c r="D97" s="275"/>
      <c r="E97" s="321">
        <v>192080</v>
      </c>
      <c r="F97" s="225">
        <v>98397.53</v>
      </c>
      <c r="G97" s="225">
        <f t="shared" si="1"/>
        <v>51.227368804664721</v>
      </c>
    </row>
    <row r="98" spans="1:7">
      <c r="A98" s="229" t="s">
        <v>1442</v>
      </c>
      <c r="B98" s="275" t="s">
        <v>965</v>
      </c>
      <c r="C98" s="275" t="s">
        <v>466</v>
      </c>
      <c r="D98" s="275" t="s">
        <v>1443</v>
      </c>
      <c r="E98" s="321">
        <v>192080</v>
      </c>
      <c r="F98" s="225">
        <v>98397.53</v>
      </c>
      <c r="G98" s="225">
        <f t="shared" si="1"/>
        <v>51.227368804664721</v>
      </c>
    </row>
    <row r="99" spans="1:7" ht="102">
      <c r="A99" s="229" t="s">
        <v>738</v>
      </c>
      <c r="B99" s="275" t="s">
        <v>953</v>
      </c>
      <c r="C99" s="275"/>
      <c r="D99" s="275"/>
      <c r="E99" s="321">
        <v>881013.84</v>
      </c>
      <c r="F99" s="225">
        <v>741859.38</v>
      </c>
      <c r="G99" s="225">
        <f t="shared" si="1"/>
        <v>84.205190238555161</v>
      </c>
    </row>
    <row r="100" spans="1:7" ht="25.5">
      <c r="A100" s="229" t="s">
        <v>1617</v>
      </c>
      <c r="B100" s="275" t="s">
        <v>953</v>
      </c>
      <c r="C100" s="275" t="s">
        <v>509</v>
      </c>
      <c r="D100" s="275"/>
      <c r="E100" s="321">
        <v>881013.84</v>
      </c>
      <c r="F100" s="225">
        <v>741859.38</v>
      </c>
      <c r="G100" s="225">
        <f t="shared" si="1"/>
        <v>84.205190238555161</v>
      </c>
    </row>
    <row r="101" spans="1:7">
      <c r="A101" s="229" t="s">
        <v>187</v>
      </c>
      <c r="B101" s="275" t="s">
        <v>953</v>
      </c>
      <c r="C101" s="275" t="s">
        <v>509</v>
      </c>
      <c r="D101" s="275" t="s">
        <v>528</v>
      </c>
      <c r="E101" s="321">
        <v>881013.84</v>
      </c>
      <c r="F101" s="225">
        <v>741859.38</v>
      </c>
      <c r="G101" s="225">
        <f t="shared" si="1"/>
        <v>84.205190238555161</v>
      </c>
    </row>
    <row r="102" spans="1:7" ht="114.75">
      <c r="A102" s="229" t="s">
        <v>743</v>
      </c>
      <c r="B102" s="275" t="s">
        <v>961</v>
      </c>
      <c r="C102" s="275"/>
      <c r="D102" s="275"/>
      <c r="E102" s="321">
        <v>1004737.05</v>
      </c>
      <c r="F102" s="225">
        <v>917081.44</v>
      </c>
      <c r="G102" s="225">
        <f t="shared" si="1"/>
        <v>91.275766132044183</v>
      </c>
    </row>
    <row r="103" spans="1:7" ht="25.5">
      <c r="A103" s="229" t="s">
        <v>1617</v>
      </c>
      <c r="B103" s="275" t="s">
        <v>961</v>
      </c>
      <c r="C103" s="275" t="s">
        <v>509</v>
      </c>
      <c r="D103" s="275"/>
      <c r="E103" s="321">
        <v>1004737.05</v>
      </c>
      <c r="F103" s="225">
        <v>917081.44</v>
      </c>
      <c r="G103" s="225">
        <f t="shared" si="1"/>
        <v>91.275766132044183</v>
      </c>
    </row>
    <row r="104" spans="1:7">
      <c r="A104" s="229" t="s">
        <v>188</v>
      </c>
      <c r="B104" s="275" t="s">
        <v>961</v>
      </c>
      <c r="C104" s="275" t="s">
        <v>509</v>
      </c>
      <c r="D104" s="275" t="s">
        <v>515</v>
      </c>
      <c r="E104" s="321">
        <v>1004737.05</v>
      </c>
      <c r="F104" s="225">
        <v>917081.44</v>
      </c>
      <c r="G104" s="225">
        <f t="shared" si="1"/>
        <v>91.275766132044183</v>
      </c>
    </row>
    <row r="105" spans="1:7" ht="102">
      <c r="A105" s="229" t="s">
        <v>744</v>
      </c>
      <c r="B105" s="275" t="s">
        <v>968</v>
      </c>
      <c r="C105" s="275"/>
      <c r="D105" s="275"/>
      <c r="E105" s="321">
        <v>357407.53</v>
      </c>
      <c r="F105" s="225">
        <v>357407.53</v>
      </c>
      <c r="G105" s="225">
        <f t="shared" si="1"/>
        <v>100</v>
      </c>
    </row>
    <row r="106" spans="1:7" ht="25.5">
      <c r="A106" s="229" t="s">
        <v>1617</v>
      </c>
      <c r="B106" s="275" t="s">
        <v>968</v>
      </c>
      <c r="C106" s="275" t="s">
        <v>509</v>
      </c>
      <c r="D106" s="275"/>
      <c r="E106" s="321">
        <v>318110.93</v>
      </c>
      <c r="F106" s="225">
        <v>318110.93</v>
      </c>
      <c r="G106" s="225">
        <f t="shared" si="1"/>
        <v>100</v>
      </c>
    </row>
    <row r="107" spans="1:7">
      <c r="A107" s="229" t="s">
        <v>1442</v>
      </c>
      <c r="B107" s="275" t="s">
        <v>968</v>
      </c>
      <c r="C107" s="275" t="s">
        <v>509</v>
      </c>
      <c r="D107" s="275" t="s">
        <v>1443</v>
      </c>
      <c r="E107" s="321">
        <v>318110.93</v>
      </c>
      <c r="F107" s="225">
        <v>318110.93</v>
      </c>
      <c r="G107" s="225">
        <f t="shared" si="1"/>
        <v>100</v>
      </c>
    </row>
    <row r="108" spans="1:7">
      <c r="A108" s="229" t="s">
        <v>484</v>
      </c>
      <c r="B108" s="275" t="s">
        <v>968</v>
      </c>
      <c r="C108" s="275" t="s">
        <v>485</v>
      </c>
      <c r="D108" s="275"/>
      <c r="E108" s="321">
        <v>39296.6</v>
      </c>
      <c r="F108" s="225">
        <v>39296.6</v>
      </c>
      <c r="G108" s="225">
        <f t="shared" si="1"/>
        <v>100</v>
      </c>
    </row>
    <row r="109" spans="1:7">
      <c r="A109" s="229" t="s">
        <v>1442</v>
      </c>
      <c r="B109" s="275" t="s">
        <v>968</v>
      </c>
      <c r="C109" s="275" t="s">
        <v>485</v>
      </c>
      <c r="D109" s="275" t="s">
        <v>1443</v>
      </c>
      <c r="E109" s="321">
        <v>39296.6</v>
      </c>
      <c r="F109" s="225">
        <v>39296.6</v>
      </c>
      <c r="G109" s="225">
        <f t="shared" si="1"/>
        <v>100</v>
      </c>
    </row>
    <row r="110" spans="1:7" ht="102">
      <c r="A110" s="229" t="s">
        <v>739</v>
      </c>
      <c r="B110" s="275" t="s">
        <v>954</v>
      </c>
      <c r="C110" s="275"/>
      <c r="D110" s="275"/>
      <c r="E110" s="321">
        <v>30936199.030000001</v>
      </c>
      <c r="F110" s="225">
        <v>25758900.640000001</v>
      </c>
      <c r="G110" s="225">
        <f t="shared" si="1"/>
        <v>83.264594383494313</v>
      </c>
    </row>
    <row r="111" spans="1:7" ht="25.5">
      <c r="A111" s="229" t="s">
        <v>445</v>
      </c>
      <c r="B111" s="275" t="s">
        <v>954</v>
      </c>
      <c r="C111" s="275" t="s">
        <v>446</v>
      </c>
      <c r="D111" s="275"/>
      <c r="E111" s="321">
        <v>30936199.030000001</v>
      </c>
      <c r="F111" s="225">
        <v>25758900.640000001</v>
      </c>
      <c r="G111" s="225">
        <f t="shared" si="1"/>
        <v>83.264594383494313</v>
      </c>
    </row>
    <row r="112" spans="1:7">
      <c r="A112" s="229" t="s">
        <v>187</v>
      </c>
      <c r="B112" s="275" t="s">
        <v>954</v>
      </c>
      <c r="C112" s="275" t="s">
        <v>446</v>
      </c>
      <c r="D112" s="275" t="s">
        <v>528</v>
      </c>
      <c r="E112" s="321">
        <v>30936199.030000001</v>
      </c>
      <c r="F112" s="225">
        <v>25758900.640000001</v>
      </c>
      <c r="G112" s="225">
        <f t="shared" si="1"/>
        <v>83.264594383494313</v>
      </c>
    </row>
    <row r="113" spans="1:7" ht="114.75">
      <c r="A113" s="229" t="s">
        <v>745</v>
      </c>
      <c r="B113" s="275" t="s">
        <v>962</v>
      </c>
      <c r="C113" s="275"/>
      <c r="D113" s="275"/>
      <c r="E113" s="321">
        <v>72513842.480000004</v>
      </c>
      <c r="F113" s="225">
        <v>61849827.640000001</v>
      </c>
      <c r="G113" s="225">
        <f t="shared" si="1"/>
        <v>85.293821875538811</v>
      </c>
    </row>
    <row r="114" spans="1:7" ht="25.5">
      <c r="A114" s="229" t="s">
        <v>445</v>
      </c>
      <c r="B114" s="275" t="s">
        <v>962</v>
      </c>
      <c r="C114" s="275" t="s">
        <v>446</v>
      </c>
      <c r="D114" s="275"/>
      <c r="E114" s="321">
        <v>72513842.480000004</v>
      </c>
      <c r="F114" s="225">
        <v>61849827.640000001</v>
      </c>
      <c r="G114" s="225">
        <f t="shared" si="1"/>
        <v>85.293821875538811</v>
      </c>
    </row>
    <row r="115" spans="1:7">
      <c r="A115" s="229" t="s">
        <v>188</v>
      </c>
      <c r="B115" s="275" t="s">
        <v>962</v>
      </c>
      <c r="C115" s="275" t="s">
        <v>446</v>
      </c>
      <c r="D115" s="275" t="s">
        <v>515</v>
      </c>
      <c r="E115" s="321">
        <v>72513842.480000004</v>
      </c>
      <c r="F115" s="225">
        <v>61849827.640000001</v>
      </c>
      <c r="G115" s="225">
        <f t="shared" si="1"/>
        <v>85.293821875538811</v>
      </c>
    </row>
    <row r="116" spans="1:7" ht="102">
      <c r="A116" s="229" t="s">
        <v>746</v>
      </c>
      <c r="B116" s="275" t="s">
        <v>969</v>
      </c>
      <c r="C116" s="275"/>
      <c r="D116" s="275"/>
      <c r="E116" s="321">
        <v>2118944.4900000002</v>
      </c>
      <c r="F116" s="225">
        <v>1644187.76</v>
      </c>
      <c r="G116" s="225">
        <f t="shared" si="1"/>
        <v>77.594659405164492</v>
      </c>
    </row>
    <row r="117" spans="1:7" ht="25.5">
      <c r="A117" s="229" t="s">
        <v>445</v>
      </c>
      <c r="B117" s="275" t="s">
        <v>969</v>
      </c>
      <c r="C117" s="275" t="s">
        <v>446</v>
      </c>
      <c r="D117" s="275"/>
      <c r="E117" s="321">
        <v>936920.49</v>
      </c>
      <c r="F117" s="225">
        <v>781885.42</v>
      </c>
      <c r="G117" s="225">
        <f t="shared" si="1"/>
        <v>83.452697250756046</v>
      </c>
    </row>
    <row r="118" spans="1:7">
      <c r="A118" s="229" t="s">
        <v>1442</v>
      </c>
      <c r="B118" s="275" t="s">
        <v>969</v>
      </c>
      <c r="C118" s="275" t="s">
        <v>446</v>
      </c>
      <c r="D118" s="275" t="s">
        <v>1443</v>
      </c>
      <c r="E118" s="321">
        <v>936920.49</v>
      </c>
      <c r="F118" s="225">
        <v>781885.42</v>
      </c>
      <c r="G118" s="225">
        <f t="shared" si="1"/>
        <v>83.452697250756046</v>
      </c>
    </row>
    <row r="119" spans="1:7" ht="51">
      <c r="A119" s="229" t="s">
        <v>465</v>
      </c>
      <c r="B119" s="275" t="s">
        <v>969</v>
      </c>
      <c r="C119" s="275" t="s">
        <v>466</v>
      </c>
      <c r="D119" s="275"/>
      <c r="E119" s="321">
        <v>1182024</v>
      </c>
      <c r="F119" s="225">
        <v>862302.34</v>
      </c>
      <c r="G119" s="225">
        <f t="shared" si="1"/>
        <v>72.951339397507994</v>
      </c>
    </row>
    <row r="120" spans="1:7">
      <c r="A120" s="229" t="s">
        <v>1442</v>
      </c>
      <c r="B120" s="275" t="s">
        <v>969</v>
      </c>
      <c r="C120" s="275" t="s">
        <v>466</v>
      </c>
      <c r="D120" s="275" t="s">
        <v>1443</v>
      </c>
      <c r="E120" s="321">
        <v>1182024</v>
      </c>
      <c r="F120" s="225">
        <v>862302.34</v>
      </c>
      <c r="G120" s="225">
        <f t="shared" si="1"/>
        <v>72.951339397507994</v>
      </c>
    </row>
    <row r="121" spans="1:7" ht="114.75">
      <c r="A121" s="229" t="s">
        <v>1622</v>
      </c>
      <c r="B121" s="275" t="s">
        <v>1623</v>
      </c>
      <c r="C121" s="275"/>
      <c r="D121" s="275"/>
      <c r="E121" s="321">
        <v>45000</v>
      </c>
      <c r="F121" s="225">
        <v>28989.54</v>
      </c>
      <c r="G121" s="225">
        <f t="shared" si="1"/>
        <v>64.421199999999999</v>
      </c>
    </row>
    <row r="122" spans="1:7" ht="51">
      <c r="A122" s="229" t="s">
        <v>465</v>
      </c>
      <c r="B122" s="275" t="s">
        <v>1623</v>
      </c>
      <c r="C122" s="275" t="s">
        <v>466</v>
      </c>
      <c r="D122" s="275"/>
      <c r="E122" s="321">
        <v>45000</v>
      </c>
      <c r="F122" s="225">
        <v>28989.54</v>
      </c>
      <c r="G122" s="225">
        <f t="shared" si="1"/>
        <v>64.421199999999999</v>
      </c>
    </row>
    <row r="123" spans="1:7">
      <c r="A123" s="229" t="s">
        <v>1440</v>
      </c>
      <c r="B123" s="275" t="s">
        <v>1623</v>
      </c>
      <c r="C123" s="275" t="s">
        <v>466</v>
      </c>
      <c r="D123" s="275" t="s">
        <v>483</v>
      </c>
      <c r="E123" s="321">
        <v>45000</v>
      </c>
      <c r="F123" s="225">
        <v>28989.54</v>
      </c>
      <c r="G123" s="225">
        <f t="shared" si="1"/>
        <v>64.421199999999999</v>
      </c>
    </row>
    <row r="124" spans="1:7" ht="89.25">
      <c r="A124" s="229" t="s">
        <v>740</v>
      </c>
      <c r="B124" s="275" t="s">
        <v>955</v>
      </c>
      <c r="C124" s="275"/>
      <c r="D124" s="275"/>
      <c r="E124" s="321">
        <v>38856480</v>
      </c>
      <c r="F124" s="225">
        <v>38315920.090000004</v>
      </c>
      <c r="G124" s="225">
        <f t="shared" si="1"/>
        <v>98.608829441061062</v>
      </c>
    </row>
    <row r="125" spans="1:7" ht="25.5">
      <c r="A125" s="229" t="s">
        <v>445</v>
      </c>
      <c r="B125" s="275" t="s">
        <v>955</v>
      </c>
      <c r="C125" s="275" t="s">
        <v>446</v>
      </c>
      <c r="D125" s="275"/>
      <c r="E125" s="321">
        <v>38856480</v>
      </c>
      <c r="F125" s="225">
        <v>38315920.090000004</v>
      </c>
      <c r="G125" s="225">
        <f t="shared" si="1"/>
        <v>98.608829441061062</v>
      </c>
    </row>
    <row r="126" spans="1:7">
      <c r="A126" s="229" t="s">
        <v>187</v>
      </c>
      <c r="B126" s="275" t="s">
        <v>955</v>
      </c>
      <c r="C126" s="275" t="s">
        <v>446</v>
      </c>
      <c r="D126" s="275" t="s">
        <v>528</v>
      </c>
      <c r="E126" s="321">
        <v>38856480</v>
      </c>
      <c r="F126" s="225">
        <v>38315920.090000004</v>
      </c>
      <c r="G126" s="225">
        <f t="shared" si="1"/>
        <v>98.608829441061062</v>
      </c>
    </row>
    <row r="127" spans="1:7" ht="102">
      <c r="A127" s="229" t="s">
        <v>747</v>
      </c>
      <c r="B127" s="275" t="s">
        <v>967</v>
      </c>
      <c r="C127" s="275"/>
      <c r="D127" s="275"/>
      <c r="E127" s="321">
        <v>3552600</v>
      </c>
      <c r="F127" s="225">
        <v>3532851.7</v>
      </c>
      <c r="G127" s="225">
        <f t="shared" si="1"/>
        <v>99.444116984743573</v>
      </c>
    </row>
    <row r="128" spans="1:7" ht="25.5">
      <c r="A128" s="229" t="s">
        <v>445</v>
      </c>
      <c r="B128" s="275" t="s">
        <v>967</v>
      </c>
      <c r="C128" s="275" t="s">
        <v>446</v>
      </c>
      <c r="D128" s="275"/>
      <c r="E128" s="321">
        <v>3552600</v>
      </c>
      <c r="F128" s="225">
        <v>3532851.7</v>
      </c>
      <c r="G128" s="225">
        <f t="shared" si="1"/>
        <v>99.444116984743573</v>
      </c>
    </row>
    <row r="129" spans="1:7">
      <c r="A129" s="229" t="s">
        <v>188</v>
      </c>
      <c r="B129" s="275" t="s">
        <v>967</v>
      </c>
      <c r="C129" s="275" t="s">
        <v>446</v>
      </c>
      <c r="D129" s="275" t="s">
        <v>515</v>
      </c>
      <c r="E129" s="321">
        <v>3552600</v>
      </c>
      <c r="F129" s="225">
        <v>3532851.7</v>
      </c>
      <c r="G129" s="225">
        <f t="shared" si="1"/>
        <v>99.444116984743573</v>
      </c>
    </row>
    <row r="130" spans="1:7" ht="63.75">
      <c r="A130" s="229" t="s">
        <v>1767</v>
      </c>
      <c r="B130" s="275" t="s">
        <v>1768</v>
      </c>
      <c r="C130" s="275"/>
      <c r="D130" s="275"/>
      <c r="E130" s="321">
        <v>1546754.49</v>
      </c>
      <c r="F130" s="225">
        <v>1062587.0900000001</v>
      </c>
      <c r="G130" s="225">
        <f t="shared" si="1"/>
        <v>68.697850684758649</v>
      </c>
    </row>
    <row r="131" spans="1:7" ht="25.5">
      <c r="A131" s="229" t="s">
        <v>445</v>
      </c>
      <c r="B131" s="275" t="s">
        <v>1768</v>
      </c>
      <c r="C131" s="275" t="s">
        <v>446</v>
      </c>
      <c r="D131" s="275"/>
      <c r="E131" s="321">
        <v>1546754.49</v>
      </c>
      <c r="F131" s="225">
        <v>1062587.0900000001</v>
      </c>
      <c r="G131" s="225">
        <f t="shared" si="1"/>
        <v>68.697850684758649</v>
      </c>
    </row>
    <row r="132" spans="1:7">
      <c r="A132" s="229" t="s">
        <v>187</v>
      </c>
      <c r="B132" s="275" t="s">
        <v>1768</v>
      </c>
      <c r="C132" s="275" t="s">
        <v>446</v>
      </c>
      <c r="D132" s="275" t="s">
        <v>528</v>
      </c>
      <c r="E132" s="321">
        <v>893875.94</v>
      </c>
      <c r="F132" s="225">
        <v>467608.09</v>
      </c>
      <c r="G132" s="225">
        <f t="shared" si="1"/>
        <v>52.31241485255773</v>
      </c>
    </row>
    <row r="133" spans="1:7">
      <c r="A133" s="229" t="s">
        <v>188</v>
      </c>
      <c r="B133" s="275" t="s">
        <v>1768</v>
      </c>
      <c r="C133" s="275" t="s">
        <v>446</v>
      </c>
      <c r="D133" s="275" t="s">
        <v>515</v>
      </c>
      <c r="E133" s="321">
        <v>652078.55000000005</v>
      </c>
      <c r="F133" s="225">
        <v>594179</v>
      </c>
      <c r="G133" s="225">
        <f t="shared" si="1"/>
        <v>91.120770649486929</v>
      </c>
    </row>
    <row r="134" spans="1:7">
      <c r="A134" s="229" t="s">
        <v>1442</v>
      </c>
      <c r="B134" s="275" t="s">
        <v>1768</v>
      </c>
      <c r="C134" s="275" t="s">
        <v>446</v>
      </c>
      <c r="D134" s="275" t="s">
        <v>1443</v>
      </c>
      <c r="E134" s="321">
        <v>800</v>
      </c>
      <c r="F134" s="225">
        <v>800</v>
      </c>
      <c r="G134" s="225">
        <f t="shared" si="1"/>
        <v>100</v>
      </c>
    </row>
    <row r="135" spans="1:7" ht="89.25">
      <c r="A135" s="229" t="s">
        <v>1185</v>
      </c>
      <c r="B135" s="275" t="s">
        <v>1186</v>
      </c>
      <c r="C135" s="275"/>
      <c r="D135" s="275"/>
      <c r="E135" s="321">
        <v>7708624.2400000002</v>
      </c>
      <c r="F135" s="225">
        <v>7526307.1900000004</v>
      </c>
      <c r="G135" s="225">
        <f t="shared" si="1"/>
        <v>97.63489509510714</v>
      </c>
    </row>
    <row r="136" spans="1:7" ht="25.5">
      <c r="A136" s="229" t="s">
        <v>445</v>
      </c>
      <c r="B136" s="275" t="s">
        <v>1186</v>
      </c>
      <c r="C136" s="275" t="s">
        <v>446</v>
      </c>
      <c r="D136" s="275"/>
      <c r="E136" s="321">
        <v>7708624.2400000002</v>
      </c>
      <c r="F136" s="225">
        <v>7526307.1900000004</v>
      </c>
      <c r="G136" s="225">
        <f t="shared" ref="G136:G199" si="2">F136/E136*100</f>
        <v>97.63489509510714</v>
      </c>
    </row>
    <row r="137" spans="1:7">
      <c r="A137" s="229" t="s">
        <v>187</v>
      </c>
      <c r="B137" s="275" t="s">
        <v>1186</v>
      </c>
      <c r="C137" s="275" t="s">
        <v>446</v>
      </c>
      <c r="D137" s="275" t="s">
        <v>528</v>
      </c>
      <c r="E137" s="321">
        <v>7708624.2400000002</v>
      </c>
      <c r="F137" s="225">
        <v>7526307.1900000004</v>
      </c>
      <c r="G137" s="225">
        <f t="shared" si="2"/>
        <v>97.63489509510714</v>
      </c>
    </row>
    <row r="138" spans="1:7" ht="102">
      <c r="A138" s="229" t="s">
        <v>1187</v>
      </c>
      <c r="B138" s="275" t="s">
        <v>1188</v>
      </c>
      <c r="C138" s="275"/>
      <c r="D138" s="275"/>
      <c r="E138" s="321">
        <v>10110834.73</v>
      </c>
      <c r="F138" s="225">
        <v>9445651.6899999995</v>
      </c>
      <c r="G138" s="225">
        <f t="shared" si="2"/>
        <v>93.421086806746757</v>
      </c>
    </row>
    <row r="139" spans="1:7" ht="25.5">
      <c r="A139" s="229" t="s">
        <v>445</v>
      </c>
      <c r="B139" s="275" t="s">
        <v>1188</v>
      </c>
      <c r="C139" s="275" t="s">
        <v>446</v>
      </c>
      <c r="D139" s="275"/>
      <c r="E139" s="321">
        <v>10110834.73</v>
      </c>
      <c r="F139" s="225">
        <v>9445651.6899999995</v>
      </c>
      <c r="G139" s="225">
        <f t="shared" si="2"/>
        <v>93.421086806746757</v>
      </c>
    </row>
    <row r="140" spans="1:7">
      <c r="A140" s="229" t="s">
        <v>188</v>
      </c>
      <c r="B140" s="275" t="s">
        <v>1188</v>
      </c>
      <c r="C140" s="275" t="s">
        <v>446</v>
      </c>
      <c r="D140" s="275" t="s">
        <v>515</v>
      </c>
      <c r="E140" s="321">
        <v>10110834.73</v>
      </c>
      <c r="F140" s="225">
        <v>9445651.6899999995</v>
      </c>
      <c r="G140" s="225">
        <f t="shared" si="2"/>
        <v>93.421086806746757</v>
      </c>
    </row>
    <row r="141" spans="1:7" ht="102">
      <c r="A141" s="229" t="s">
        <v>1189</v>
      </c>
      <c r="B141" s="275" t="s">
        <v>1190</v>
      </c>
      <c r="C141" s="275"/>
      <c r="D141" s="275"/>
      <c r="E141" s="321">
        <v>384720</v>
      </c>
      <c r="F141" s="225">
        <v>382055.69</v>
      </c>
      <c r="G141" s="225">
        <f t="shared" si="2"/>
        <v>99.307467768766898</v>
      </c>
    </row>
    <row r="142" spans="1:7" ht="25.5">
      <c r="A142" s="229" t="s">
        <v>445</v>
      </c>
      <c r="B142" s="275" t="s">
        <v>1190</v>
      </c>
      <c r="C142" s="275" t="s">
        <v>446</v>
      </c>
      <c r="D142" s="275"/>
      <c r="E142" s="321">
        <v>269380</v>
      </c>
      <c r="F142" s="225">
        <v>269380</v>
      </c>
      <c r="G142" s="225">
        <f t="shared" si="2"/>
        <v>100</v>
      </c>
    </row>
    <row r="143" spans="1:7">
      <c r="A143" s="229" t="s">
        <v>1442</v>
      </c>
      <c r="B143" s="275" t="s">
        <v>1190</v>
      </c>
      <c r="C143" s="275" t="s">
        <v>446</v>
      </c>
      <c r="D143" s="275" t="s">
        <v>1443</v>
      </c>
      <c r="E143" s="321">
        <v>269380</v>
      </c>
      <c r="F143" s="225">
        <v>269380</v>
      </c>
      <c r="G143" s="225">
        <f t="shared" si="2"/>
        <v>100</v>
      </c>
    </row>
    <row r="144" spans="1:7" ht="51">
      <c r="A144" s="229" t="s">
        <v>465</v>
      </c>
      <c r="B144" s="275" t="s">
        <v>1190</v>
      </c>
      <c r="C144" s="275" t="s">
        <v>466</v>
      </c>
      <c r="D144" s="275"/>
      <c r="E144" s="321">
        <v>115340</v>
      </c>
      <c r="F144" s="225">
        <v>112675.69</v>
      </c>
      <c r="G144" s="225">
        <f t="shared" si="2"/>
        <v>97.690038148083929</v>
      </c>
    </row>
    <row r="145" spans="1:7">
      <c r="A145" s="229" t="s">
        <v>1442</v>
      </c>
      <c r="B145" s="275" t="s">
        <v>1190</v>
      </c>
      <c r="C145" s="275" t="s">
        <v>466</v>
      </c>
      <c r="D145" s="275" t="s">
        <v>1443</v>
      </c>
      <c r="E145" s="321">
        <v>115340</v>
      </c>
      <c r="F145" s="225">
        <v>112675.69</v>
      </c>
      <c r="G145" s="225">
        <f t="shared" si="2"/>
        <v>97.690038148083929</v>
      </c>
    </row>
    <row r="146" spans="1:7" ht="102">
      <c r="A146" s="229" t="s">
        <v>1624</v>
      </c>
      <c r="B146" s="275" t="s">
        <v>1625</v>
      </c>
      <c r="C146" s="275"/>
      <c r="D146" s="275"/>
      <c r="E146" s="321">
        <v>307860</v>
      </c>
      <c r="F146" s="225">
        <v>150000</v>
      </c>
      <c r="G146" s="225">
        <f t="shared" si="2"/>
        <v>48.723445722081465</v>
      </c>
    </row>
    <row r="147" spans="1:7" ht="51">
      <c r="A147" s="229" t="s">
        <v>465</v>
      </c>
      <c r="B147" s="275" t="s">
        <v>1625</v>
      </c>
      <c r="C147" s="275" t="s">
        <v>466</v>
      </c>
      <c r="D147" s="275"/>
      <c r="E147" s="321">
        <v>307860</v>
      </c>
      <c r="F147" s="225">
        <v>150000</v>
      </c>
      <c r="G147" s="225">
        <f t="shared" si="2"/>
        <v>48.723445722081465</v>
      </c>
    </row>
    <row r="148" spans="1:7">
      <c r="A148" s="229" t="s">
        <v>1440</v>
      </c>
      <c r="B148" s="275" t="s">
        <v>1625</v>
      </c>
      <c r="C148" s="275" t="s">
        <v>466</v>
      </c>
      <c r="D148" s="275" t="s">
        <v>483</v>
      </c>
      <c r="E148" s="321">
        <v>307860</v>
      </c>
      <c r="F148" s="225">
        <v>150000</v>
      </c>
      <c r="G148" s="225">
        <f t="shared" si="2"/>
        <v>48.723445722081465</v>
      </c>
    </row>
    <row r="149" spans="1:7" ht="51">
      <c r="A149" s="229" t="s">
        <v>1312</v>
      </c>
      <c r="B149" s="275" t="s">
        <v>1313</v>
      </c>
      <c r="C149" s="275"/>
      <c r="D149" s="275"/>
      <c r="E149" s="321">
        <v>6423600</v>
      </c>
      <c r="F149" s="225">
        <v>6423599.8200000003</v>
      </c>
      <c r="G149" s="225">
        <f t="shared" si="2"/>
        <v>99.999997197832997</v>
      </c>
    </row>
    <row r="150" spans="1:7" ht="25.5">
      <c r="A150" s="229" t="s">
        <v>445</v>
      </c>
      <c r="B150" s="275" t="s">
        <v>1313</v>
      </c>
      <c r="C150" s="275" t="s">
        <v>446</v>
      </c>
      <c r="D150" s="275"/>
      <c r="E150" s="321">
        <v>4548700</v>
      </c>
      <c r="F150" s="225">
        <v>4548699.82</v>
      </c>
      <c r="G150" s="225">
        <f t="shared" si="2"/>
        <v>99.99999604282543</v>
      </c>
    </row>
    <row r="151" spans="1:7">
      <c r="A151" s="229" t="s">
        <v>1440</v>
      </c>
      <c r="B151" s="275" t="s">
        <v>1313</v>
      </c>
      <c r="C151" s="275" t="s">
        <v>446</v>
      </c>
      <c r="D151" s="275" t="s">
        <v>483</v>
      </c>
      <c r="E151" s="321">
        <v>4548700</v>
      </c>
      <c r="F151" s="225">
        <v>4548699.82</v>
      </c>
      <c r="G151" s="225">
        <f t="shared" si="2"/>
        <v>99.99999604282543</v>
      </c>
    </row>
    <row r="152" spans="1:7" ht="51">
      <c r="A152" s="229" t="s">
        <v>465</v>
      </c>
      <c r="B152" s="275" t="s">
        <v>1313</v>
      </c>
      <c r="C152" s="275" t="s">
        <v>466</v>
      </c>
      <c r="D152" s="275"/>
      <c r="E152" s="321">
        <v>1874900</v>
      </c>
      <c r="F152" s="225">
        <v>1874900</v>
      </c>
      <c r="G152" s="225">
        <f t="shared" si="2"/>
        <v>100</v>
      </c>
    </row>
    <row r="153" spans="1:7">
      <c r="A153" s="229" t="s">
        <v>1440</v>
      </c>
      <c r="B153" s="275" t="s">
        <v>1313</v>
      </c>
      <c r="C153" s="275" t="s">
        <v>466</v>
      </c>
      <c r="D153" s="275" t="s">
        <v>483</v>
      </c>
      <c r="E153" s="321">
        <v>1874900</v>
      </c>
      <c r="F153" s="225">
        <v>1874900</v>
      </c>
      <c r="G153" s="225">
        <f t="shared" si="2"/>
        <v>100</v>
      </c>
    </row>
    <row r="154" spans="1:7" ht="178.5">
      <c r="A154" s="229" t="s">
        <v>949</v>
      </c>
      <c r="B154" s="275" t="s">
        <v>950</v>
      </c>
      <c r="C154" s="275"/>
      <c r="D154" s="275"/>
      <c r="E154" s="321">
        <v>67629160</v>
      </c>
      <c r="F154" s="225">
        <v>65911092.039999999</v>
      </c>
      <c r="G154" s="225">
        <f t="shared" si="2"/>
        <v>97.459575189163957</v>
      </c>
    </row>
    <row r="155" spans="1:7">
      <c r="A155" s="229" t="s">
        <v>1603</v>
      </c>
      <c r="B155" s="275" t="s">
        <v>950</v>
      </c>
      <c r="C155" s="275" t="s">
        <v>460</v>
      </c>
      <c r="D155" s="275"/>
      <c r="E155" s="321">
        <v>48417637.159999996</v>
      </c>
      <c r="F155" s="225">
        <v>47691339.950000003</v>
      </c>
      <c r="G155" s="225">
        <f t="shared" si="2"/>
        <v>98.49993256052565</v>
      </c>
    </row>
    <row r="156" spans="1:7">
      <c r="A156" s="229" t="s">
        <v>187</v>
      </c>
      <c r="B156" s="275" t="s">
        <v>950</v>
      </c>
      <c r="C156" s="275" t="s">
        <v>460</v>
      </c>
      <c r="D156" s="275" t="s">
        <v>528</v>
      </c>
      <c r="E156" s="321">
        <v>48417637.159999996</v>
      </c>
      <c r="F156" s="225">
        <v>47691339.950000003</v>
      </c>
      <c r="G156" s="225">
        <f t="shared" si="2"/>
        <v>98.49993256052565</v>
      </c>
    </row>
    <row r="157" spans="1:7" ht="25.5">
      <c r="A157" s="229" t="s">
        <v>1617</v>
      </c>
      <c r="B157" s="275" t="s">
        <v>950</v>
      </c>
      <c r="C157" s="275" t="s">
        <v>509</v>
      </c>
      <c r="D157" s="275"/>
      <c r="E157" s="321">
        <v>603260.1</v>
      </c>
      <c r="F157" s="225">
        <v>419754.98</v>
      </c>
      <c r="G157" s="225">
        <f t="shared" si="2"/>
        <v>69.581094456603381</v>
      </c>
    </row>
    <row r="158" spans="1:7">
      <c r="A158" s="229" t="s">
        <v>187</v>
      </c>
      <c r="B158" s="275" t="s">
        <v>950</v>
      </c>
      <c r="C158" s="275" t="s">
        <v>509</v>
      </c>
      <c r="D158" s="275" t="s">
        <v>528</v>
      </c>
      <c r="E158" s="321">
        <v>603260.1</v>
      </c>
      <c r="F158" s="225">
        <v>419754.98</v>
      </c>
      <c r="G158" s="225">
        <f t="shared" si="2"/>
        <v>69.581094456603381</v>
      </c>
    </row>
    <row r="159" spans="1:7" ht="38.25">
      <c r="A159" s="229" t="s">
        <v>1604</v>
      </c>
      <c r="B159" s="275" t="s">
        <v>950</v>
      </c>
      <c r="C159" s="275" t="s">
        <v>1290</v>
      </c>
      <c r="D159" s="275"/>
      <c r="E159" s="321">
        <v>15188063.800000001</v>
      </c>
      <c r="F159" s="225">
        <v>14713393.300000001</v>
      </c>
      <c r="G159" s="225">
        <f t="shared" si="2"/>
        <v>96.87471354972844</v>
      </c>
    </row>
    <row r="160" spans="1:7">
      <c r="A160" s="229" t="s">
        <v>187</v>
      </c>
      <c r="B160" s="275" t="s">
        <v>950</v>
      </c>
      <c r="C160" s="275" t="s">
        <v>1290</v>
      </c>
      <c r="D160" s="275" t="s">
        <v>528</v>
      </c>
      <c r="E160" s="321">
        <v>15188063.800000001</v>
      </c>
      <c r="F160" s="225">
        <v>14713393.300000001</v>
      </c>
      <c r="G160" s="225">
        <f t="shared" si="2"/>
        <v>96.87471354972844</v>
      </c>
    </row>
    <row r="161" spans="1:7" ht="25.5">
      <c r="A161" s="229" t="s">
        <v>445</v>
      </c>
      <c r="B161" s="275" t="s">
        <v>950</v>
      </c>
      <c r="C161" s="275" t="s">
        <v>446</v>
      </c>
      <c r="D161" s="275"/>
      <c r="E161" s="321">
        <v>3420198.94</v>
      </c>
      <c r="F161" s="225">
        <v>3086603.81</v>
      </c>
      <c r="G161" s="225">
        <f t="shared" si="2"/>
        <v>90.246323800100356</v>
      </c>
    </row>
    <row r="162" spans="1:7">
      <c r="A162" s="229" t="s">
        <v>187</v>
      </c>
      <c r="B162" s="275" t="s">
        <v>950</v>
      </c>
      <c r="C162" s="275" t="s">
        <v>446</v>
      </c>
      <c r="D162" s="275" t="s">
        <v>528</v>
      </c>
      <c r="E162" s="321">
        <v>3420198.94</v>
      </c>
      <c r="F162" s="225">
        <v>3086603.81</v>
      </c>
      <c r="G162" s="225">
        <f t="shared" si="2"/>
        <v>90.246323800100356</v>
      </c>
    </row>
    <row r="163" spans="1:7" ht="178.5">
      <c r="A163" s="229" t="s">
        <v>1191</v>
      </c>
      <c r="B163" s="275" t="s">
        <v>958</v>
      </c>
      <c r="C163" s="275"/>
      <c r="D163" s="275"/>
      <c r="E163" s="321">
        <v>71891700</v>
      </c>
      <c r="F163" s="225">
        <v>69585651.920000002</v>
      </c>
      <c r="G163" s="225">
        <f t="shared" si="2"/>
        <v>96.792330575017701</v>
      </c>
    </row>
    <row r="164" spans="1:7">
      <c r="A164" s="229" t="s">
        <v>1603</v>
      </c>
      <c r="B164" s="275" t="s">
        <v>958</v>
      </c>
      <c r="C164" s="275" t="s">
        <v>460</v>
      </c>
      <c r="D164" s="275"/>
      <c r="E164" s="321">
        <v>50129714.719999999</v>
      </c>
      <c r="F164" s="225">
        <v>49373262.369999997</v>
      </c>
      <c r="G164" s="225">
        <f t="shared" si="2"/>
        <v>98.491010064140255</v>
      </c>
    </row>
    <row r="165" spans="1:7">
      <c r="A165" s="229" t="s">
        <v>188</v>
      </c>
      <c r="B165" s="275" t="s">
        <v>958</v>
      </c>
      <c r="C165" s="275" t="s">
        <v>460</v>
      </c>
      <c r="D165" s="275" t="s">
        <v>515</v>
      </c>
      <c r="E165" s="321">
        <v>50129714.719999999</v>
      </c>
      <c r="F165" s="225">
        <v>49373262.369999997</v>
      </c>
      <c r="G165" s="225">
        <f t="shared" si="2"/>
        <v>98.491010064140255</v>
      </c>
    </row>
    <row r="166" spans="1:7" ht="25.5">
      <c r="A166" s="229" t="s">
        <v>1617</v>
      </c>
      <c r="B166" s="275" t="s">
        <v>958</v>
      </c>
      <c r="C166" s="275" t="s">
        <v>509</v>
      </c>
      <c r="D166" s="275"/>
      <c r="E166" s="321">
        <v>1422572.98</v>
      </c>
      <c r="F166" s="225">
        <v>1046558.08</v>
      </c>
      <c r="G166" s="225">
        <f t="shared" si="2"/>
        <v>73.567971184156761</v>
      </c>
    </row>
    <row r="167" spans="1:7">
      <c r="A167" s="229" t="s">
        <v>188</v>
      </c>
      <c r="B167" s="275" t="s">
        <v>958</v>
      </c>
      <c r="C167" s="275" t="s">
        <v>509</v>
      </c>
      <c r="D167" s="275" t="s">
        <v>515</v>
      </c>
      <c r="E167" s="321">
        <v>1422572.98</v>
      </c>
      <c r="F167" s="225">
        <v>1046558.08</v>
      </c>
      <c r="G167" s="225">
        <f t="shared" si="2"/>
        <v>73.567971184156761</v>
      </c>
    </row>
    <row r="168" spans="1:7" ht="38.25">
      <c r="A168" s="229" t="s">
        <v>1604</v>
      </c>
      <c r="B168" s="275" t="s">
        <v>958</v>
      </c>
      <c r="C168" s="275" t="s">
        <v>1290</v>
      </c>
      <c r="D168" s="275"/>
      <c r="E168" s="321">
        <v>15727959.220000001</v>
      </c>
      <c r="F168" s="225">
        <v>14918826.369999999</v>
      </c>
      <c r="G168" s="225">
        <f t="shared" si="2"/>
        <v>94.85544921192897</v>
      </c>
    </row>
    <row r="169" spans="1:7">
      <c r="A169" s="229" t="s">
        <v>188</v>
      </c>
      <c r="B169" s="275" t="s">
        <v>958</v>
      </c>
      <c r="C169" s="275" t="s">
        <v>1290</v>
      </c>
      <c r="D169" s="275" t="s">
        <v>515</v>
      </c>
      <c r="E169" s="321">
        <v>15727959.220000001</v>
      </c>
      <c r="F169" s="225">
        <v>14918826.369999999</v>
      </c>
      <c r="G169" s="225">
        <f t="shared" si="2"/>
        <v>94.85544921192897</v>
      </c>
    </row>
    <row r="170" spans="1:7" ht="25.5">
      <c r="A170" s="229" t="s">
        <v>445</v>
      </c>
      <c r="B170" s="275" t="s">
        <v>958</v>
      </c>
      <c r="C170" s="275" t="s">
        <v>446</v>
      </c>
      <c r="D170" s="275"/>
      <c r="E170" s="321">
        <v>4611453.08</v>
      </c>
      <c r="F170" s="225">
        <v>4247005.0999999996</v>
      </c>
      <c r="G170" s="225">
        <f t="shared" si="2"/>
        <v>92.096894976973275</v>
      </c>
    </row>
    <row r="171" spans="1:7">
      <c r="A171" s="229" t="s">
        <v>188</v>
      </c>
      <c r="B171" s="275" t="s">
        <v>958</v>
      </c>
      <c r="C171" s="275" t="s">
        <v>446</v>
      </c>
      <c r="D171" s="275" t="s">
        <v>515</v>
      </c>
      <c r="E171" s="321">
        <v>4611453.08</v>
      </c>
      <c r="F171" s="225">
        <v>4247005.0999999996</v>
      </c>
      <c r="G171" s="225">
        <f t="shared" si="2"/>
        <v>92.096894976973275</v>
      </c>
    </row>
    <row r="172" spans="1:7" ht="140.25">
      <c r="A172" s="229" t="s">
        <v>663</v>
      </c>
      <c r="B172" s="275" t="s">
        <v>994</v>
      </c>
      <c r="C172" s="275"/>
      <c r="D172" s="275"/>
      <c r="E172" s="321">
        <v>382100</v>
      </c>
      <c r="F172" s="225">
        <v>370588</v>
      </c>
      <c r="G172" s="225">
        <f t="shared" si="2"/>
        <v>96.987176131902643</v>
      </c>
    </row>
    <row r="173" spans="1:7" ht="25.5">
      <c r="A173" s="229" t="s">
        <v>445</v>
      </c>
      <c r="B173" s="275" t="s">
        <v>994</v>
      </c>
      <c r="C173" s="275" t="s">
        <v>446</v>
      </c>
      <c r="D173" s="275"/>
      <c r="E173" s="321">
        <v>382100</v>
      </c>
      <c r="F173" s="225">
        <v>370588</v>
      </c>
      <c r="G173" s="225">
        <f t="shared" si="2"/>
        <v>96.987176131902643</v>
      </c>
    </row>
    <row r="174" spans="1:7">
      <c r="A174" s="229" t="s">
        <v>127</v>
      </c>
      <c r="B174" s="275" t="s">
        <v>994</v>
      </c>
      <c r="C174" s="275" t="s">
        <v>446</v>
      </c>
      <c r="D174" s="275" t="s">
        <v>496</v>
      </c>
      <c r="E174" s="321">
        <v>382100</v>
      </c>
      <c r="F174" s="225">
        <v>370588</v>
      </c>
      <c r="G174" s="225">
        <f t="shared" si="2"/>
        <v>96.987176131902643</v>
      </c>
    </row>
    <row r="175" spans="1:7" ht="102">
      <c r="A175" s="229" t="s">
        <v>544</v>
      </c>
      <c r="B175" s="275" t="s">
        <v>996</v>
      </c>
      <c r="C175" s="275"/>
      <c r="D175" s="275"/>
      <c r="E175" s="321">
        <v>10359400</v>
      </c>
      <c r="F175" s="225">
        <v>7685044.5599999996</v>
      </c>
      <c r="G175" s="225">
        <f t="shared" si="2"/>
        <v>74.184263181265322</v>
      </c>
    </row>
    <row r="176" spans="1:7" ht="25.5">
      <c r="A176" s="229" t="s">
        <v>445</v>
      </c>
      <c r="B176" s="275" t="s">
        <v>996</v>
      </c>
      <c r="C176" s="275" t="s">
        <v>446</v>
      </c>
      <c r="D176" s="275"/>
      <c r="E176" s="321">
        <v>263100</v>
      </c>
      <c r="F176" s="225">
        <v>143100</v>
      </c>
      <c r="G176" s="225">
        <f t="shared" si="2"/>
        <v>54.389965792474349</v>
      </c>
    </row>
    <row r="177" spans="1:7">
      <c r="A177" s="229" t="s">
        <v>25</v>
      </c>
      <c r="B177" s="275" t="s">
        <v>996</v>
      </c>
      <c r="C177" s="275" t="s">
        <v>446</v>
      </c>
      <c r="D177" s="275" t="s">
        <v>543</v>
      </c>
      <c r="E177" s="321">
        <v>263100</v>
      </c>
      <c r="F177" s="225">
        <v>143100</v>
      </c>
      <c r="G177" s="225">
        <f t="shared" si="2"/>
        <v>54.389965792474349</v>
      </c>
    </row>
    <row r="178" spans="1:7" ht="25.5">
      <c r="A178" s="229" t="s">
        <v>497</v>
      </c>
      <c r="B178" s="275" t="s">
        <v>996</v>
      </c>
      <c r="C178" s="275" t="s">
        <v>498</v>
      </c>
      <c r="D178" s="275"/>
      <c r="E178" s="321">
        <v>10096300</v>
      </c>
      <c r="F178" s="225">
        <v>7541944.5599999996</v>
      </c>
      <c r="G178" s="225">
        <f t="shared" si="2"/>
        <v>74.700083793072707</v>
      </c>
    </row>
    <row r="179" spans="1:7">
      <c r="A179" s="229" t="s">
        <v>25</v>
      </c>
      <c r="B179" s="275" t="s">
        <v>996</v>
      </c>
      <c r="C179" s="275" t="s">
        <v>498</v>
      </c>
      <c r="D179" s="275" t="s">
        <v>543</v>
      </c>
      <c r="E179" s="321">
        <v>10096300</v>
      </c>
      <c r="F179" s="225">
        <v>7541944.5599999996</v>
      </c>
      <c r="G179" s="225">
        <f t="shared" si="2"/>
        <v>74.700083793072707</v>
      </c>
    </row>
    <row r="180" spans="1:7" ht="63.75">
      <c r="A180" s="229" t="s">
        <v>1816</v>
      </c>
      <c r="B180" s="275" t="s">
        <v>1817</v>
      </c>
      <c r="C180" s="275"/>
      <c r="D180" s="275"/>
      <c r="E180" s="321">
        <v>5782800</v>
      </c>
      <c r="F180" s="225">
        <v>5782800</v>
      </c>
      <c r="G180" s="225">
        <f t="shared" si="2"/>
        <v>100</v>
      </c>
    </row>
    <row r="181" spans="1:7" ht="25.5">
      <c r="A181" s="229" t="s">
        <v>461</v>
      </c>
      <c r="B181" s="275" t="s">
        <v>1817</v>
      </c>
      <c r="C181" s="275" t="s">
        <v>462</v>
      </c>
      <c r="D181" s="275"/>
      <c r="E181" s="321">
        <v>5327732.34</v>
      </c>
      <c r="F181" s="225">
        <v>5327732.34</v>
      </c>
      <c r="G181" s="225">
        <f t="shared" si="2"/>
        <v>100</v>
      </c>
    </row>
    <row r="182" spans="1:7">
      <c r="A182" s="229" t="s">
        <v>188</v>
      </c>
      <c r="B182" s="275" t="s">
        <v>1817</v>
      </c>
      <c r="C182" s="275" t="s">
        <v>462</v>
      </c>
      <c r="D182" s="275" t="s">
        <v>515</v>
      </c>
      <c r="E182" s="321">
        <v>5327732.34</v>
      </c>
      <c r="F182" s="225">
        <v>5327732.34</v>
      </c>
      <c r="G182" s="225">
        <f t="shared" si="2"/>
        <v>100</v>
      </c>
    </row>
    <row r="183" spans="1:7" ht="25.5">
      <c r="A183" s="229" t="s">
        <v>445</v>
      </c>
      <c r="B183" s="275" t="s">
        <v>1817</v>
      </c>
      <c r="C183" s="275" t="s">
        <v>446</v>
      </c>
      <c r="D183" s="275"/>
      <c r="E183" s="321">
        <v>455067.66</v>
      </c>
      <c r="F183" s="225">
        <v>455067.66</v>
      </c>
      <c r="G183" s="225">
        <f t="shared" si="2"/>
        <v>100</v>
      </c>
    </row>
    <row r="184" spans="1:7">
      <c r="A184" s="229" t="s">
        <v>188</v>
      </c>
      <c r="B184" s="275" t="s">
        <v>1817</v>
      </c>
      <c r="C184" s="275" t="s">
        <v>446</v>
      </c>
      <c r="D184" s="275" t="s">
        <v>515</v>
      </c>
      <c r="E184" s="321">
        <v>455067.66</v>
      </c>
      <c r="F184" s="225">
        <v>455067.66</v>
      </c>
      <c r="G184" s="225">
        <f t="shared" si="2"/>
        <v>100</v>
      </c>
    </row>
    <row r="185" spans="1:7" ht="140.25">
      <c r="A185" s="229" t="s">
        <v>532</v>
      </c>
      <c r="B185" s="275" t="s">
        <v>956</v>
      </c>
      <c r="C185" s="275"/>
      <c r="D185" s="275"/>
      <c r="E185" s="321">
        <v>356835600</v>
      </c>
      <c r="F185" s="225">
        <v>353314045.56999999</v>
      </c>
      <c r="G185" s="225">
        <f t="shared" si="2"/>
        <v>99.013115723319075</v>
      </c>
    </row>
    <row r="186" spans="1:7">
      <c r="A186" s="229" t="s">
        <v>1603</v>
      </c>
      <c r="B186" s="275" t="s">
        <v>956</v>
      </c>
      <c r="C186" s="275" t="s">
        <v>460</v>
      </c>
      <c r="D186" s="275"/>
      <c r="E186" s="321">
        <v>249269415</v>
      </c>
      <c r="F186" s="225">
        <v>247836706.83000001</v>
      </c>
      <c r="G186" s="225">
        <f t="shared" si="2"/>
        <v>99.425237079326394</v>
      </c>
    </row>
    <row r="187" spans="1:7">
      <c r="A187" s="229" t="s">
        <v>188</v>
      </c>
      <c r="B187" s="275" t="s">
        <v>956</v>
      </c>
      <c r="C187" s="275" t="s">
        <v>460</v>
      </c>
      <c r="D187" s="275" t="s">
        <v>515</v>
      </c>
      <c r="E187" s="321">
        <v>249269415</v>
      </c>
      <c r="F187" s="225">
        <v>247836706.83000001</v>
      </c>
      <c r="G187" s="225">
        <f t="shared" si="2"/>
        <v>99.425237079326394</v>
      </c>
    </row>
    <row r="188" spans="1:7" ht="25.5">
      <c r="A188" s="229" t="s">
        <v>1617</v>
      </c>
      <c r="B188" s="275" t="s">
        <v>956</v>
      </c>
      <c r="C188" s="275" t="s">
        <v>509</v>
      </c>
      <c r="D188" s="275"/>
      <c r="E188" s="321">
        <v>4553629.51</v>
      </c>
      <c r="F188" s="225">
        <v>4133565.23</v>
      </c>
      <c r="G188" s="225">
        <f t="shared" si="2"/>
        <v>90.775176612908069</v>
      </c>
    </row>
    <row r="189" spans="1:7">
      <c r="A189" s="229" t="s">
        <v>188</v>
      </c>
      <c r="B189" s="275" t="s">
        <v>956</v>
      </c>
      <c r="C189" s="275" t="s">
        <v>509</v>
      </c>
      <c r="D189" s="275" t="s">
        <v>515</v>
      </c>
      <c r="E189" s="321">
        <v>4553629.51</v>
      </c>
      <c r="F189" s="225">
        <v>4133565.23</v>
      </c>
      <c r="G189" s="225">
        <f t="shared" si="2"/>
        <v>90.775176612908069</v>
      </c>
    </row>
    <row r="190" spans="1:7" ht="38.25">
      <c r="A190" s="229" t="s">
        <v>1604</v>
      </c>
      <c r="B190" s="275" t="s">
        <v>956</v>
      </c>
      <c r="C190" s="275" t="s">
        <v>1290</v>
      </c>
      <c r="D190" s="275"/>
      <c r="E190" s="321">
        <v>75941682</v>
      </c>
      <c r="F190" s="225">
        <v>74689731.340000004</v>
      </c>
      <c r="G190" s="225">
        <f t="shared" si="2"/>
        <v>98.351431483964234</v>
      </c>
    </row>
    <row r="191" spans="1:7">
      <c r="A191" s="229" t="s">
        <v>188</v>
      </c>
      <c r="B191" s="275" t="s">
        <v>956</v>
      </c>
      <c r="C191" s="275" t="s">
        <v>1290</v>
      </c>
      <c r="D191" s="275" t="s">
        <v>515</v>
      </c>
      <c r="E191" s="321">
        <v>75941682</v>
      </c>
      <c r="F191" s="225">
        <v>74689731.340000004</v>
      </c>
      <c r="G191" s="225">
        <f t="shared" si="2"/>
        <v>98.351431483964234</v>
      </c>
    </row>
    <row r="192" spans="1:7" ht="25.5">
      <c r="A192" s="229" t="s">
        <v>445</v>
      </c>
      <c r="B192" s="275" t="s">
        <v>956</v>
      </c>
      <c r="C192" s="275" t="s">
        <v>446</v>
      </c>
      <c r="D192" s="275"/>
      <c r="E192" s="321">
        <v>27034773.489999998</v>
      </c>
      <c r="F192" s="225">
        <v>26617942.170000002</v>
      </c>
      <c r="G192" s="225">
        <f t="shared" si="2"/>
        <v>98.458166035109628</v>
      </c>
    </row>
    <row r="193" spans="1:7">
      <c r="A193" s="229" t="s">
        <v>188</v>
      </c>
      <c r="B193" s="275" t="s">
        <v>956</v>
      </c>
      <c r="C193" s="275" t="s">
        <v>446</v>
      </c>
      <c r="D193" s="275" t="s">
        <v>515</v>
      </c>
      <c r="E193" s="321">
        <v>27034773.489999998</v>
      </c>
      <c r="F193" s="225">
        <v>26617942.170000002</v>
      </c>
      <c r="G193" s="225">
        <f t="shared" si="2"/>
        <v>98.458166035109628</v>
      </c>
    </row>
    <row r="194" spans="1:7">
      <c r="A194" s="229" t="s">
        <v>1168</v>
      </c>
      <c r="B194" s="275" t="s">
        <v>956</v>
      </c>
      <c r="C194" s="275" t="s">
        <v>626</v>
      </c>
      <c r="D194" s="275"/>
      <c r="E194" s="321">
        <v>36100</v>
      </c>
      <c r="F194" s="225">
        <v>36100</v>
      </c>
      <c r="G194" s="225">
        <f t="shared" si="2"/>
        <v>100</v>
      </c>
    </row>
    <row r="195" spans="1:7">
      <c r="A195" s="229" t="s">
        <v>188</v>
      </c>
      <c r="B195" s="275" t="s">
        <v>956</v>
      </c>
      <c r="C195" s="275" t="s">
        <v>626</v>
      </c>
      <c r="D195" s="275" t="s">
        <v>515</v>
      </c>
      <c r="E195" s="321">
        <v>36100</v>
      </c>
      <c r="F195" s="225">
        <v>36100</v>
      </c>
      <c r="G195" s="225">
        <f t="shared" si="2"/>
        <v>100</v>
      </c>
    </row>
    <row r="196" spans="1:7" ht="102">
      <c r="A196" s="229" t="s">
        <v>542</v>
      </c>
      <c r="B196" s="275" t="s">
        <v>995</v>
      </c>
      <c r="C196" s="275"/>
      <c r="D196" s="275"/>
      <c r="E196" s="321">
        <v>25003900</v>
      </c>
      <c r="F196" s="225">
        <v>24507011.670000002</v>
      </c>
      <c r="G196" s="225">
        <f t="shared" si="2"/>
        <v>98.012756689956376</v>
      </c>
    </row>
    <row r="197" spans="1:7">
      <c r="A197" s="229" t="s">
        <v>1603</v>
      </c>
      <c r="B197" s="275" t="s">
        <v>995</v>
      </c>
      <c r="C197" s="275" t="s">
        <v>460</v>
      </c>
      <c r="D197" s="275"/>
      <c r="E197" s="321">
        <v>1413.17</v>
      </c>
      <c r="F197" s="225">
        <v>1413.17</v>
      </c>
      <c r="G197" s="225">
        <f t="shared" si="2"/>
        <v>100</v>
      </c>
    </row>
    <row r="198" spans="1:7">
      <c r="A198" s="229" t="s">
        <v>127</v>
      </c>
      <c r="B198" s="275" t="s">
        <v>995</v>
      </c>
      <c r="C198" s="275" t="s">
        <v>460</v>
      </c>
      <c r="D198" s="275" t="s">
        <v>496</v>
      </c>
      <c r="E198" s="321">
        <v>1413.17</v>
      </c>
      <c r="F198" s="225">
        <v>1413.17</v>
      </c>
      <c r="G198" s="225">
        <f t="shared" si="2"/>
        <v>100</v>
      </c>
    </row>
    <row r="199" spans="1:7" ht="38.25">
      <c r="A199" s="229" t="s">
        <v>1604</v>
      </c>
      <c r="B199" s="275" t="s">
        <v>995</v>
      </c>
      <c r="C199" s="275" t="s">
        <v>1290</v>
      </c>
      <c r="D199" s="275"/>
      <c r="E199" s="321">
        <v>30000</v>
      </c>
      <c r="F199" s="225">
        <v>0</v>
      </c>
      <c r="G199" s="225">
        <f t="shared" si="2"/>
        <v>0</v>
      </c>
    </row>
    <row r="200" spans="1:7">
      <c r="A200" s="229" t="s">
        <v>127</v>
      </c>
      <c r="B200" s="275" t="s">
        <v>995</v>
      </c>
      <c r="C200" s="275" t="s">
        <v>1290</v>
      </c>
      <c r="D200" s="275" t="s">
        <v>496</v>
      </c>
      <c r="E200" s="321">
        <v>30000</v>
      </c>
      <c r="F200" s="225">
        <v>0</v>
      </c>
      <c r="G200" s="225">
        <f t="shared" ref="G200:G263" si="3">F200/E200*100</f>
        <v>0</v>
      </c>
    </row>
    <row r="201" spans="1:7" ht="25.5">
      <c r="A201" s="229" t="s">
        <v>445</v>
      </c>
      <c r="B201" s="275" t="s">
        <v>995</v>
      </c>
      <c r="C201" s="275" t="s">
        <v>446</v>
      </c>
      <c r="D201" s="275"/>
      <c r="E201" s="321">
        <v>24378493.949999999</v>
      </c>
      <c r="F201" s="225">
        <v>24083356.629999999</v>
      </c>
      <c r="G201" s="225">
        <f t="shared" si="3"/>
        <v>98.789353761535381</v>
      </c>
    </row>
    <row r="202" spans="1:7">
      <c r="A202" s="229" t="s">
        <v>127</v>
      </c>
      <c r="B202" s="275" t="s">
        <v>995</v>
      </c>
      <c r="C202" s="275" t="s">
        <v>446</v>
      </c>
      <c r="D202" s="275" t="s">
        <v>496</v>
      </c>
      <c r="E202" s="321">
        <v>24378493.949999999</v>
      </c>
      <c r="F202" s="225">
        <v>24083356.629999999</v>
      </c>
      <c r="G202" s="225">
        <f t="shared" si="3"/>
        <v>98.789353761535381</v>
      </c>
    </row>
    <row r="203" spans="1:7" ht="25.5">
      <c r="A203" s="229" t="s">
        <v>497</v>
      </c>
      <c r="B203" s="275" t="s">
        <v>995</v>
      </c>
      <c r="C203" s="275" t="s">
        <v>498</v>
      </c>
      <c r="D203" s="275"/>
      <c r="E203" s="321">
        <v>593992.88</v>
      </c>
      <c r="F203" s="225">
        <v>422241.87</v>
      </c>
      <c r="G203" s="225">
        <f t="shared" si="3"/>
        <v>71.085341965715145</v>
      </c>
    </row>
    <row r="204" spans="1:7">
      <c r="A204" s="229" t="s">
        <v>127</v>
      </c>
      <c r="B204" s="275" t="s">
        <v>995</v>
      </c>
      <c r="C204" s="275" t="s">
        <v>498</v>
      </c>
      <c r="D204" s="275" t="s">
        <v>496</v>
      </c>
      <c r="E204" s="321">
        <v>593992.88</v>
      </c>
      <c r="F204" s="225">
        <v>422241.87</v>
      </c>
      <c r="G204" s="225">
        <f t="shared" si="3"/>
        <v>71.085341965715145</v>
      </c>
    </row>
    <row r="205" spans="1:7" ht="127.5">
      <c r="A205" s="229" t="s">
        <v>529</v>
      </c>
      <c r="B205" s="275" t="s">
        <v>948</v>
      </c>
      <c r="C205" s="275"/>
      <c r="D205" s="275"/>
      <c r="E205" s="321">
        <v>121757800</v>
      </c>
      <c r="F205" s="225">
        <v>119604595.7</v>
      </c>
      <c r="G205" s="225">
        <f t="shared" si="3"/>
        <v>98.231567669586667</v>
      </c>
    </row>
    <row r="206" spans="1:7">
      <c r="A206" s="229" t="s">
        <v>1603</v>
      </c>
      <c r="B206" s="275" t="s">
        <v>948</v>
      </c>
      <c r="C206" s="275" t="s">
        <v>460</v>
      </c>
      <c r="D206" s="275"/>
      <c r="E206" s="321">
        <v>78293066.609999999</v>
      </c>
      <c r="F206" s="225">
        <v>77702636.090000004</v>
      </c>
      <c r="G206" s="225">
        <f t="shared" si="3"/>
        <v>99.24587125582768</v>
      </c>
    </row>
    <row r="207" spans="1:7">
      <c r="A207" s="229" t="s">
        <v>187</v>
      </c>
      <c r="B207" s="275" t="s">
        <v>948</v>
      </c>
      <c r="C207" s="275" t="s">
        <v>460</v>
      </c>
      <c r="D207" s="275" t="s">
        <v>528</v>
      </c>
      <c r="E207" s="321">
        <v>78293066.609999999</v>
      </c>
      <c r="F207" s="225">
        <v>77702636.090000004</v>
      </c>
      <c r="G207" s="225">
        <f t="shared" si="3"/>
        <v>99.24587125582768</v>
      </c>
    </row>
    <row r="208" spans="1:7" ht="25.5">
      <c r="A208" s="229" t="s">
        <v>1617</v>
      </c>
      <c r="B208" s="275" t="s">
        <v>948</v>
      </c>
      <c r="C208" s="275" t="s">
        <v>509</v>
      </c>
      <c r="D208" s="275"/>
      <c r="E208" s="321">
        <v>2073009.67</v>
      </c>
      <c r="F208" s="225">
        <v>1786427.02</v>
      </c>
      <c r="G208" s="225">
        <f t="shared" si="3"/>
        <v>86.17552758449024</v>
      </c>
    </row>
    <row r="209" spans="1:7">
      <c r="A209" s="229" t="s">
        <v>187</v>
      </c>
      <c r="B209" s="275" t="s">
        <v>948</v>
      </c>
      <c r="C209" s="275" t="s">
        <v>509</v>
      </c>
      <c r="D209" s="275" t="s">
        <v>528</v>
      </c>
      <c r="E209" s="321">
        <v>2073009.67</v>
      </c>
      <c r="F209" s="225">
        <v>1786427.02</v>
      </c>
      <c r="G209" s="225">
        <f t="shared" si="3"/>
        <v>86.17552758449024</v>
      </c>
    </row>
    <row r="210" spans="1:7" ht="38.25">
      <c r="A210" s="229" t="s">
        <v>1604</v>
      </c>
      <c r="B210" s="275" t="s">
        <v>948</v>
      </c>
      <c r="C210" s="275" t="s">
        <v>1290</v>
      </c>
      <c r="D210" s="275"/>
      <c r="E210" s="321">
        <v>24513383.32</v>
      </c>
      <c r="F210" s="225">
        <v>23832130.219999999</v>
      </c>
      <c r="G210" s="225">
        <f t="shared" si="3"/>
        <v>97.220893211243592</v>
      </c>
    </row>
    <row r="211" spans="1:7">
      <c r="A211" s="229" t="s">
        <v>187</v>
      </c>
      <c r="B211" s="275" t="s">
        <v>948</v>
      </c>
      <c r="C211" s="275" t="s">
        <v>1290</v>
      </c>
      <c r="D211" s="275" t="s">
        <v>528</v>
      </c>
      <c r="E211" s="321">
        <v>24513383.32</v>
      </c>
      <c r="F211" s="225">
        <v>23832130.219999999</v>
      </c>
      <c r="G211" s="225">
        <f t="shared" si="3"/>
        <v>97.220893211243592</v>
      </c>
    </row>
    <row r="212" spans="1:7" ht="25.5">
      <c r="A212" s="229" t="s">
        <v>445</v>
      </c>
      <c r="B212" s="275" t="s">
        <v>948</v>
      </c>
      <c r="C212" s="275" t="s">
        <v>446</v>
      </c>
      <c r="D212" s="275"/>
      <c r="E212" s="321">
        <v>16873540.399999999</v>
      </c>
      <c r="F212" s="225">
        <v>16282202.369999999</v>
      </c>
      <c r="G212" s="225">
        <f t="shared" si="3"/>
        <v>96.495471513494593</v>
      </c>
    </row>
    <row r="213" spans="1:7">
      <c r="A213" s="229" t="s">
        <v>187</v>
      </c>
      <c r="B213" s="275" t="s">
        <v>948</v>
      </c>
      <c r="C213" s="275" t="s">
        <v>446</v>
      </c>
      <c r="D213" s="275" t="s">
        <v>528</v>
      </c>
      <c r="E213" s="321">
        <v>16873540.399999999</v>
      </c>
      <c r="F213" s="225">
        <v>16282202.369999999</v>
      </c>
      <c r="G213" s="225">
        <f t="shared" si="3"/>
        <v>96.495471513494593</v>
      </c>
    </row>
    <row r="214" spans="1:7">
      <c r="A214" s="229" t="s">
        <v>1168</v>
      </c>
      <c r="B214" s="275" t="s">
        <v>948</v>
      </c>
      <c r="C214" s="275" t="s">
        <v>626</v>
      </c>
      <c r="D214" s="275"/>
      <c r="E214" s="321">
        <v>4800</v>
      </c>
      <c r="F214" s="225">
        <v>1200</v>
      </c>
      <c r="G214" s="225">
        <f t="shared" si="3"/>
        <v>25</v>
      </c>
    </row>
    <row r="215" spans="1:7">
      <c r="A215" s="229" t="s">
        <v>187</v>
      </c>
      <c r="B215" s="275" t="s">
        <v>948</v>
      </c>
      <c r="C215" s="275" t="s">
        <v>626</v>
      </c>
      <c r="D215" s="275" t="s">
        <v>528</v>
      </c>
      <c r="E215" s="321">
        <v>4800</v>
      </c>
      <c r="F215" s="225">
        <v>1200</v>
      </c>
      <c r="G215" s="225">
        <f t="shared" si="3"/>
        <v>25</v>
      </c>
    </row>
    <row r="216" spans="1:7" ht="89.25">
      <c r="A216" s="229" t="s">
        <v>2010</v>
      </c>
      <c r="B216" s="275" t="s">
        <v>2011</v>
      </c>
      <c r="C216" s="275"/>
      <c r="D216" s="275"/>
      <c r="E216" s="321">
        <v>1880922</v>
      </c>
      <c r="F216" s="225">
        <v>1125051.1000000001</v>
      </c>
      <c r="G216" s="225">
        <f t="shared" si="3"/>
        <v>59.813809397731546</v>
      </c>
    </row>
    <row r="217" spans="1:7" ht="25.5">
      <c r="A217" s="229" t="s">
        <v>461</v>
      </c>
      <c r="B217" s="275" t="s">
        <v>2011</v>
      </c>
      <c r="C217" s="275" t="s">
        <v>462</v>
      </c>
      <c r="D217" s="275"/>
      <c r="E217" s="321">
        <v>792970</v>
      </c>
      <c r="F217" s="225">
        <v>245000</v>
      </c>
      <c r="G217" s="225">
        <f t="shared" si="3"/>
        <v>30.896503020290805</v>
      </c>
    </row>
    <row r="218" spans="1:7">
      <c r="A218" s="229" t="s">
        <v>187</v>
      </c>
      <c r="B218" s="275" t="s">
        <v>2011</v>
      </c>
      <c r="C218" s="275" t="s">
        <v>462</v>
      </c>
      <c r="D218" s="275" t="s">
        <v>528</v>
      </c>
      <c r="E218" s="321">
        <v>547970</v>
      </c>
      <c r="F218" s="225">
        <v>0</v>
      </c>
      <c r="G218" s="225">
        <f t="shared" si="3"/>
        <v>0</v>
      </c>
    </row>
    <row r="219" spans="1:7">
      <c r="A219" s="229" t="s">
        <v>188</v>
      </c>
      <c r="B219" s="275" t="s">
        <v>2011</v>
      </c>
      <c r="C219" s="275" t="s">
        <v>462</v>
      </c>
      <c r="D219" s="275" t="s">
        <v>515</v>
      </c>
      <c r="E219" s="321">
        <v>245000</v>
      </c>
      <c r="F219" s="225">
        <v>245000</v>
      </c>
      <c r="G219" s="225">
        <f t="shared" si="3"/>
        <v>100</v>
      </c>
    </row>
    <row r="220" spans="1:7" ht="25.5">
      <c r="A220" s="229" t="s">
        <v>445</v>
      </c>
      <c r="B220" s="275" t="s">
        <v>2011</v>
      </c>
      <c r="C220" s="275" t="s">
        <v>446</v>
      </c>
      <c r="D220" s="275"/>
      <c r="E220" s="321">
        <v>887952</v>
      </c>
      <c r="F220" s="225">
        <v>880051.1</v>
      </c>
      <c r="G220" s="225">
        <f t="shared" si="3"/>
        <v>99.110210912301568</v>
      </c>
    </row>
    <row r="221" spans="1:7">
      <c r="A221" s="229" t="s">
        <v>187</v>
      </c>
      <c r="B221" s="275" t="s">
        <v>2011</v>
      </c>
      <c r="C221" s="275" t="s">
        <v>446</v>
      </c>
      <c r="D221" s="275" t="s">
        <v>528</v>
      </c>
      <c r="E221" s="321">
        <v>519172</v>
      </c>
      <c r="F221" s="225">
        <v>511271.1</v>
      </c>
      <c r="G221" s="225">
        <f t="shared" si="3"/>
        <v>98.478172936907228</v>
      </c>
    </row>
    <row r="222" spans="1:7">
      <c r="A222" s="229" t="s">
        <v>188</v>
      </c>
      <c r="B222" s="275" t="s">
        <v>2011</v>
      </c>
      <c r="C222" s="275" t="s">
        <v>446</v>
      </c>
      <c r="D222" s="275" t="s">
        <v>515</v>
      </c>
      <c r="E222" s="321">
        <v>207000</v>
      </c>
      <c r="F222" s="225">
        <v>207000</v>
      </c>
      <c r="G222" s="225">
        <f t="shared" si="3"/>
        <v>100</v>
      </c>
    </row>
    <row r="223" spans="1:7">
      <c r="A223" s="229" t="s">
        <v>1442</v>
      </c>
      <c r="B223" s="275" t="s">
        <v>2011</v>
      </c>
      <c r="C223" s="275" t="s">
        <v>446</v>
      </c>
      <c r="D223" s="275" t="s">
        <v>1443</v>
      </c>
      <c r="E223" s="321">
        <v>161780</v>
      </c>
      <c r="F223" s="225">
        <v>161780</v>
      </c>
      <c r="G223" s="225">
        <f t="shared" si="3"/>
        <v>100</v>
      </c>
    </row>
    <row r="224" spans="1:7">
      <c r="A224" s="229" t="s">
        <v>484</v>
      </c>
      <c r="B224" s="275" t="s">
        <v>2011</v>
      </c>
      <c r="C224" s="275" t="s">
        <v>485</v>
      </c>
      <c r="D224" s="275"/>
      <c r="E224" s="321">
        <v>200000</v>
      </c>
      <c r="F224" s="225">
        <v>0</v>
      </c>
      <c r="G224" s="225">
        <f t="shared" si="3"/>
        <v>0</v>
      </c>
    </row>
    <row r="225" spans="1:7">
      <c r="A225" s="229" t="s">
        <v>1442</v>
      </c>
      <c r="B225" s="275" t="s">
        <v>2011</v>
      </c>
      <c r="C225" s="275" t="s">
        <v>485</v>
      </c>
      <c r="D225" s="275" t="s">
        <v>1443</v>
      </c>
      <c r="E225" s="321">
        <v>200000</v>
      </c>
      <c r="F225" s="225">
        <v>0</v>
      </c>
      <c r="G225" s="225">
        <f t="shared" si="3"/>
        <v>0</v>
      </c>
    </row>
    <row r="226" spans="1:7" ht="51">
      <c r="A226" s="229" t="s">
        <v>1754</v>
      </c>
      <c r="B226" s="275" t="s">
        <v>1755</v>
      </c>
      <c r="C226" s="275"/>
      <c r="D226" s="275"/>
      <c r="E226" s="321">
        <v>3508489.37</v>
      </c>
      <c r="F226" s="225">
        <v>2515315.09</v>
      </c>
      <c r="G226" s="225">
        <f t="shared" si="3"/>
        <v>71.692253409905575</v>
      </c>
    </row>
    <row r="227" spans="1:7" ht="25.5">
      <c r="A227" s="229" t="s">
        <v>461</v>
      </c>
      <c r="B227" s="275" t="s">
        <v>1755</v>
      </c>
      <c r="C227" s="275" t="s">
        <v>462</v>
      </c>
      <c r="D227" s="275"/>
      <c r="E227" s="321">
        <v>3508489.37</v>
      </c>
      <c r="F227" s="225">
        <v>2515315.09</v>
      </c>
      <c r="G227" s="225">
        <f t="shared" si="3"/>
        <v>71.692253409905575</v>
      </c>
    </row>
    <row r="228" spans="1:7">
      <c r="A228" s="229" t="s">
        <v>187</v>
      </c>
      <c r="B228" s="275" t="s">
        <v>1755</v>
      </c>
      <c r="C228" s="275" t="s">
        <v>462</v>
      </c>
      <c r="D228" s="275" t="s">
        <v>528</v>
      </c>
      <c r="E228" s="321">
        <v>1351046.37</v>
      </c>
      <c r="F228" s="225">
        <v>1351046.37</v>
      </c>
      <c r="G228" s="225">
        <f t="shared" si="3"/>
        <v>100</v>
      </c>
    </row>
    <row r="229" spans="1:7">
      <c r="A229" s="229" t="s">
        <v>188</v>
      </c>
      <c r="B229" s="275" t="s">
        <v>1755</v>
      </c>
      <c r="C229" s="275" t="s">
        <v>462</v>
      </c>
      <c r="D229" s="275" t="s">
        <v>515</v>
      </c>
      <c r="E229" s="321">
        <v>1333439.28</v>
      </c>
      <c r="F229" s="225">
        <v>340265</v>
      </c>
      <c r="G229" s="225">
        <f t="shared" si="3"/>
        <v>25.517847351849422</v>
      </c>
    </row>
    <row r="230" spans="1:7">
      <c r="A230" s="229" t="s">
        <v>1442</v>
      </c>
      <c r="B230" s="275" t="s">
        <v>1755</v>
      </c>
      <c r="C230" s="275" t="s">
        <v>462</v>
      </c>
      <c r="D230" s="275" t="s">
        <v>1443</v>
      </c>
      <c r="E230" s="321">
        <v>824003.72</v>
      </c>
      <c r="F230" s="225">
        <v>824003.72</v>
      </c>
      <c r="G230" s="225">
        <f t="shared" si="3"/>
        <v>100</v>
      </c>
    </row>
    <row r="231" spans="1:7" ht="63.75">
      <c r="A231" s="229" t="s">
        <v>1061</v>
      </c>
      <c r="B231" s="275" t="s">
        <v>1060</v>
      </c>
      <c r="C231" s="275"/>
      <c r="D231" s="275"/>
      <c r="E231" s="321">
        <v>234480.2</v>
      </c>
      <c r="F231" s="225">
        <v>234480.2</v>
      </c>
      <c r="G231" s="225">
        <f t="shared" si="3"/>
        <v>100</v>
      </c>
    </row>
    <row r="232" spans="1:7" ht="25.5">
      <c r="A232" s="229" t="s">
        <v>461</v>
      </c>
      <c r="B232" s="275" t="s">
        <v>1060</v>
      </c>
      <c r="C232" s="275" t="s">
        <v>462</v>
      </c>
      <c r="D232" s="275"/>
      <c r="E232" s="321">
        <v>234480.2</v>
      </c>
      <c r="F232" s="225">
        <v>234480.2</v>
      </c>
      <c r="G232" s="225">
        <f t="shared" si="3"/>
        <v>100</v>
      </c>
    </row>
    <row r="233" spans="1:7">
      <c r="A233" s="229" t="s">
        <v>188</v>
      </c>
      <c r="B233" s="275" t="s">
        <v>1060</v>
      </c>
      <c r="C233" s="275" t="s">
        <v>462</v>
      </c>
      <c r="D233" s="275" t="s">
        <v>515</v>
      </c>
      <c r="E233" s="321">
        <v>234480.2</v>
      </c>
      <c r="F233" s="225">
        <v>234480.2</v>
      </c>
      <c r="G233" s="225">
        <f t="shared" si="3"/>
        <v>100</v>
      </c>
    </row>
    <row r="234" spans="1:7" ht="63.75">
      <c r="A234" s="229" t="s">
        <v>531</v>
      </c>
      <c r="B234" s="275" t="s">
        <v>970</v>
      </c>
      <c r="C234" s="275"/>
      <c r="D234" s="275"/>
      <c r="E234" s="321">
        <v>1900000</v>
      </c>
      <c r="F234" s="225">
        <v>1569074</v>
      </c>
      <c r="G234" s="225">
        <f t="shared" si="3"/>
        <v>82.582842105263154</v>
      </c>
    </row>
    <row r="235" spans="1:7" ht="25.5">
      <c r="A235" s="229" t="s">
        <v>445</v>
      </c>
      <c r="B235" s="275" t="s">
        <v>970</v>
      </c>
      <c r="C235" s="275" t="s">
        <v>446</v>
      </c>
      <c r="D235" s="275"/>
      <c r="E235" s="321">
        <v>581000</v>
      </c>
      <c r="F235" s="225">
        <v>322074</v>
      </c>
      <c r="G235" s="225">
        <f t="shared" si="3"/>
        <v>55.434423407917386</v>
      </c>
    </row>
    <row r="236" spans="1:7">
      <c r="A236" s="229" t="s">
        <v>188</v>
      </c>
      <c r="B236" s="275" t="s">
        <v>970</v>
      </c>
      <c r="C236" s="275" t="s">
        <v>446</v>
      </c>
      <c r="D236" s="275" t="s">
        <v>515</v>
      </c>
      <c r="E236" s="321">
        <v>472912</v>
      </c>
      <c r="F236" s="225">
        <v>241494</v>
      </c>
      <c r="G236" s="225">
        <f t="shared" si="3"/>
        <v>51.065314477112025</v>
      </c>
    </row>
    <row r="237" spans="1:7">
      <c r="A237" s="229" t="s">
        <v>1442</v>
      </c>
      <c r="B237" s="275" t="s">
        <v>970</v>
      </c>
      <c r="C237" s="275" t="s">
        <v>446</v>
      </c>
      <c r="D237" s="275" t="s">
        <v>1443</v>
      </c>
      <c r="E237" s="321">
        <v>83000</v>
      </c>
      <c r="F237" s="225">
        <v>80580</v>
      </c>
      <c r="G237" s="225">
        <f t="shared" si="3"/>
        <v>97.084337349397586</v>
      </c>
    </row>
    <row r="238" spans="1:7">
      <c r="A238" s="229" t="s">
        <v>4</v>
      </c>
      <c r="B238" s="275" t="s">
        <v>970</v>
      </c>
      <c r="C238" s="275" t="s">
        <v>446</v>
      </c>
      <c r="D238" s="275" t="s">
        <v>540</v>
      </c>
      <c r="E238" s="321">
        <v>25088</v>
      </c>
      <c r="F238" s="225">
        <v>0</v>
      </c>
      <c r="G238" s="225">
        <f t="shared" si="3"/>
        <v>0</v>
      </c>
    </row>
    <row r="239" spans="1:7">
      <c r="A239" s="229" t="s">
        <v>660</v>
      </c>
      <c r="B239" s="275" t="s">
        <v>970</v>
      </c>
      <c r="C239" s="275" t="s">
        <v>661</v>
      </c>
      <c r="D239" s="275"/>
      <c r="E239" s="321">
        <v>125000</v>
      </c>
      <c r="F239" s="225">
        <v>120000</v>
      </c>
      <c r="G239" s="225">
        <f t="shared" si="3"/>
        <v>96</v>
      </c>
    </row>
    <row r="240" spans="1:7">
      <c r="A240" s="229" t="s">
        <v>188</v>
      </c>
      <c r="B240" s="275" t="s">
        <v>970</v>
      </c>
      <c r="C240" s="275" t="s">
        <v>661</v>
      </c>
      <c r="D240" s="275" t="s">
        <v>515</v>
      </c>
      <c r="E240" s="321">
        <v>125000</v>
      </c>
      <c r="F240" s="225">
        <v>120000</v>
      </c>
      <c r="G240" s="225">
        <f t="shared" si="3"/>
        <v>96</v>
      </c>
    </row>
    <row r="241" spans="1:7">
      <c r="A241" s="229" t="s">
        <v>484</v>
      </c>
      <c r="B241" s="275" t="s">
        <v>970</v>
      </c>
      <c r="C241" s="275" t="s">
        <v>485</v>
      </c>
      <c r="D241" s="275"/>
      <c r="E241" s="321">
        <v>1194000</v>
      </c>
      <c r="F241" s="225">
        <v>1127000</v>
      </c>
      <c r="G241" s="225">
        <f t="shared" si="3"/>
        <v>94.388609715242879</v>
      </c>
    </row>
    <row r="242" spans="1:7">
      <c r="A242" s="229" t="s">
        <v>1442</v>
      </c>
      <c r="B242" s="275" t="s">
        <v>970</v>
      </c>
      <c r="C242" s="275" t="s">
        <v>485</v>
      </c>
      <c r="D242" s="275" t="s">
        <v>1443</v>
      </c>
      <c r="E242" s="321">
        <v>1194000</v>
      </c>
      <c r="F242" s="225">
        <v>1127000</v>
      </c>
      <c r="G242" s="225">
        <f t="shared" si="3"/>
        <v>94.388609715242879</v>
      </c>
    </row>
    <row r="243" spans="1:7" ht="51">
      <c r="A243" s="229" t="s">
        <v>662</v>
      </c>
      <c r="B243" s="275" t="s">
        <v>973</v>
      </c>
      <c r="C243" s="275"/>
      <c r="D243" s="275"/>
      <c r="E243" s="321">
        <v>172000</v>
      </c>
      <c r="F243" s="225">
        <v>171996</v>
      </c>
      <c r="G243" s="225">
        <f t="shared" si="3"/>
        <v>99.99767441860466</v>
      </c>
    </row>
    <row r="244" spans="1:7" ht="25.5">
      <c r="A244" s="229" t="s">
        <v>456</v>
      </c>
      <c r="B244" s="275" t="s">
        <v>973</v>
      </c>
      <c r="C244" s="275" t="s">
        <v>457</v>
      </c>
      <c r="D244" s="275"/>
      <c r="E244" s="321">
        <v>172000</v>
      </c>
      <c r="F244" s="225">
        <v>171996</v>
      </c>
      <c r="G244" s="225">
        <f t="shared" si="3"/>
        <v>99.99767441860466</v>
      </c>
    </row>
    <row r="245" spans="1:7">
      <c r="A245" s="229" t="s">
        <v>188</v>
      </c>
      <c r="B245" s="275" t="s">
        <v>973</v>
      </c>
      <c r="C245" s="275" t="s">
        <v>457</v>
      </c>
      <c r="D245" s="275" t="s">
        <v>515</v>
      </c>
      <c r="E245" s="321">
        <v>172000</v>
      </c>
      <c r="F245" s="225">
        <v>171996</v>
      </c>
      <c r="G245" s="225">
        <f t="shared" si="3"/>
        <v>99.99767441860466</v>
      </c>
    </row>
    <row r="246" spans="1:7" ht="76.5">
      <c r="A246" s="229" t="s">
        <v>1808</v>
      </c>
      <c r="B246" s="275" t="s">
        <v>1809</v>
      </c>
      <c r="C246" s="275"/>
      <c r="D246" s="275"/>
      <c r="E246" s="321">
        <v>106823663.55</v>
      </c>
      <c r="F246" s="225">
        <v>106823663.55</v>
      </c>
      <c r="G246" s="225">
        <f t="shared" si="3"/>
        <v>100</v>
      </c>
    </row>
    <row r="247" spans="1:7" ht="25.5">
      <c r="A247" s="229" t="s">
        <v>445</v>
      </c>
      <c r="B247" s="275" t="s">
        <v>1809</v>
      </c>
      <c r="C247" s="275" t="s">
        <v>446</v>
      </c>
      <c r="D247" s="275"/>
      <c r="E247" s="321">
        <v>9098781.9399999995</v>
      </c>
      <c r="F247" s="225">
        <v>9098781.9399999995</v>
      </c>
      <c r="G247" s="225">
        <f t="shared" si="3"/>
        <v>100</v>
      </c>
    </row>
    <row r="248" spans="1:7">
      <c r="A248" s="229" t="s">
        <v>187</v>
      </c>
      <c r="B248" s="275" t="s">
        <v>1809</v>
      </c>
      <c r="C248" s="275" t="s">
        <v>446</v>
      </c>
      <c r="D248" s="275" t="s">
        <v>528</v>
      </c>
      <c r="E248" s="321">
        <v>8226825.9400000004</v>
      </c>
      <c r="F248" s="225">
        <v>8226825.9400000004</v>
      </c>
      <c r="G248" s="225">
        <f t="shared" si="3"/>
        <v>100</v>
      </c>
    </row>
    <row r="249" spans="1:7">
      <c r="A249" s="229" t="s">
        <v>188</v>
      </c>
      <c r="B249" s="275" t="s">
        <v>1809</v>
      </c>
      <c r="C249" s="275" t="s">
        <v>446</v>
      </c>
      <c r="D249" s="275" t="s">
        <v>515</v>
      </c>
      <c r="E249" s="321">
        <v>871956</v>
      </c>
      <c r="F249" s="225">
        <v>871956</v>
      </c>
      <c r="G249" s="225">
        <f t="shared" si="3"/>
        <v>100</v>
      </c>
    </row>
    <row r="250" spans="1:7" ht="38.25">
      <c r="A250" s="229" t="s">
        <v>1748</v>
      </c>
      <c r="B250" s="275" t="s">
        <v>1809</v>
      </c>
      <c r="C250" s="275" t="s">
        <v>1749</v>
      </c>
      <c r="D250" s="275"/>
      <c r="E250" s="321">
        <v>97724881.609999999</v>
      </c>
      <c r="F250" s="225">
        <v>97724881.609999999</v>
      </c>
      <c r="G250" s="225">
        <f t="shared" si="3"/>
        <v>100</v>
      </c>
    </row>
    <row r="251" spans="1:7">
      <c r="A251" s="229" t="s">
        <v>187</v>
      </c>
      <c r="B251" s="275" t="s">
        <v>1809</v>
      </c>
      <c r="C251" s="275" t="s">
        <v>1749</v>
      </c>
      <c r="D251" s="275" t="s">
        <v>528</v>
      </c>
      <c r="E251" s="321">
        <v>59820377.25</v>
      </c>
      <c r="F251" s="225">
        <v>59820377.25</v>
      </c>
      <c r="G251" s="225">
        <f t="shared" si="3"/>
        <v>100</v>
      </c>
    </row>
    <row r="252" spans="1:7">
      <c r="A252" s="229" t="s">
        <v>188</v>
      </c>
      <c r="B252" s="275" t="s">
        <v>1809</v>
      </c>
      <c r="C252" s="275" t="s">
        <v>1749</v>
      </c>
      <c r="D252" s="275" t="s">
        <v>515</v>
      </c>
      <c r="E252" s="321">
        <v>37904504.359999999</v>
      </c>
      <c r="F252" s="225">
        <v>37904504.359999999</v>
      </c>
      <c r="G252" s="225">
        <f t="shared" si="3"/>
        <v>100</v>
      </c>
    </row>
    <row r="253" spans="1:7" ht="89.25">
      <c r="A253" s="229" t="s">
        <v>635</v>
      </c>
      <c r="B253" s="275" t="s">
        <v>905</v>
      </c>
      <c r="C253" s="275"/>
      <c r="D253" s="275"/>
      <c r="E253" s="321">
        <v>2341430.98</v>
      </c>
      <c r="F253" s="225">
        <v>2341430.98</v>
      </c>
      <c r="G253" s="225">
        <f t="shared" si="3"/>
        <v>100</v>
      </c>
    </row>
    <row r="254" spans="1:7" ht="38.25">
      <c r="A254" s="229" t="s">
        <v>1748</v>
      </c>
      <c r="B254" s="275" t="s">
        <v>905</v>
      </c>
      <c r="C254" s="275" t="s">
        <v>1749</v>
      </c>
      <c r="D254" s="275"/>
      <c r="E254" s="321">
        <v>2341430.98</v>
      </c>
      <c r="F254" s="225">
        <v>2341430.98</v>
      </c>
      <c r="G254" s="225">
        <f t="shared" si="3"/>
        <v>100</v>
      </c>
    </row>
    <row r="255" spans="1:7">
      <c r="A255" s="229" t="s">
        <v>187</v>
      </c>
      <c r="B255" s="275" t="s">
        <v>905</v>
      </c>
      <c r="C255" s="275" t="s">
        <v>1749</v>
      </c>
      <c r="D255" s="275" t="s">
        <v>528</v>
      </c>
      <c r="E255" s="321">
        <v>2334611.7599999998</v>
      </c>
      <c r="F255" s="225">
        <v>2334611.7599999998</v>
      </c>
      <c r="G255" s="225">
        <f t="shared" si="3"/>
        <v>100</v>
      </c>
    </row>
    <row r="256" spans="1:7">
      <c r="A256" s="229" t="s">
        <v>188</v>
      </c>
      <c r="B256" s="275" t="s">
        <v>905</v>
      </c>
      <c r="C256" s="275" t="s">
        <v>1749</v>
      </c>
      <c r="D256" s="275" t="s">
        <v>515</v>
      </c>
      <c r="E256" s="321">
        <v>6819.22</v>
      </c>
      <c r="F256" s="225">
        <v>6819.22</v>
      </c>
      <c r="G256" s="225">
        <f t="shared" si="3"/>
        <v>100</v>
      </c>
    </row>
    <row r="257" spans="1:7" ht="63.75">
      <c r="A257" s="229" t="s">
        <v>1769</v>
      </c>
      <c r="B257" s="275" t="s">
        <v>1770</v>
      </c>
      <c r="C257" s="275"/>
      <c r="D257" s="275"/>
      <c r="E257" s="321">
        <v>131600</v>
      </c>
      <c r="F257" s="225">
        <v>131600</v>
      </c>
      <c r="G257" s="225">
        <f t="shared" si="3"/>
        <v>100</v>
      </c>
    </row>
    <row r="258" spans="1:7" ht="25.5">
      <c r="A258" s="229" t="s">
        <v>1617</v>
      </c>
      <c r="B258" s="275" t="s">
        <v>1770</v>
      </c>
      <c r="C258" s="275" t="s">
        <v>509</v>
      </c>
      <c r="D258" s="275"/>
      <c r="E258" s="321">
        <v>20800</v>
      </c>
      <c r="F258" s="225">
        <v>20800</v>
      </c>
      <c r="G258" s="225">
        <f t="shared" si="3"/>
        <v>100</v>
      </c>
    </row>
    <row r="259" spans="1:7">
      <c r="A259" s="229" t="s">
        <v>188</v>
      </c>
      <c r="B259" s="275" t="s">
        <v>1770</v>
      </c>
      <c r="C259" s="275" t="s">
        <v>509</v>
      </c>
      <c r="D259" s="275" t="s">
        <v>515</v>
      </c>
      <c r="E259" s="321">
        <v>20800</v>
      </c>
      <c r="F259" s="225">
        <v>20800</v>
      </c>
      <c r="G259" s="225">
        <f t="shared" si="3"/>
        <v>100</v>
      </c>
    </row>
    <row r="260" spans="1:7" ht="25.5">
      <c r="A260" s="229" t="s">
        <v>445</v>
      </c>
      <c r="B260" s="275" t="s">
        <v>1770</v>
      </c>
      <c r="C260" s="275" t="s">
        <v>446</v>
      </c>
      <c r="D260" s="275"/>
      <c r="E260" s="321">
        <v>110800</v>
      </c>
      <c r="F260" s="225">
        <v>110800</v>
      </c>
      <c r="G260" s="225">
        <f t="shared" si="3"/>
        <v>100</v>
      </c>
    </row>
    <row r="261" spans="1:7">
      <c r="A261" s="229" t="s">
        <v>188</v>
      </c>
      <c r="B261" s="275" t="s">
        <v>1770</v>
      </c>
      <c r="C261" s="275" t="s">
        <v>446</v>
      </c>
      <c r="D261" s="275" t="s">
        <v>515</v>
      </c>
      <c r="E261" s="321">
        <v>110800</v>
      </c>
      <c r="F261" s="225">
        <v>110800</v>
      </c>
      <c r="G261" s="225">
        <f t="shared" si="3"/>
        <v>100</v>
      </c>
    </row>
    <row r="262" spans="1:7" ht="51">
      <c r="A262" s="229" t="s">
        <v>749</v>
      </c>
      <c r="B262" s="275" t="s">
        <v>972</v>
      </c>
      <c r="C262" s="275"/>
      <c r="D262" s="275"/>
      <c r="E262" s="321">
        <v>35000</v>
      </c>
      <c r="F262" s="225">
        <v>34541.5</v>
      </c>
      <c r="G262" s="225">
        <f t="shared" si="3"/>
        <v>98.69</v>
      </c>
    </row>
    <row r="263" spans="1:7" ht="25.5">
      <c r="A263" s="229" t="s">
        <v>445</v>
      </c>
      <c r="B263" s="275" t="s">
        <v>972</v>
      </c>
      <c r="C263" s="275" t="s">
        <v>446</v>
      </c>
      <c r="D263" s="275"/>
      <c r="E263" s="321">
        <v>35000</v>
      </c>
      <c r="F263" s="225">
        <v>34541.5</v>
      </c>
      <c r="G263" s="225">
        <f t="shared" si="3"/>
        <v>98.69</v>
      </c>
    </row>
    <row r="264" spans="1:7">
      <c r="A264" s="229" t="s">
        <v>188</v>
      </c>
      <c r="B264" s="275" t="s">
        <v>972</v>
      </c>
      <c r="C264" s="275" t="s">
        <v>446</v>
      </c>
      <c r="D264" s="275" t="s">
        <v>515</v>
      </c>
      <c r="E264" s="321">
        <v>35000</v>
      </c>
      <c r="F264" s="225">
        <v>34541.5</v>
      </c>
      <c r="G264" s="225">
        <f t="shared" ref="G264:G327" si="4">F264/E264*100</f>
        <v>98.69</v>
      </c>
    </row>
    <row r="265" spans="1:7" ht="89.25">
      <c r="A265" s="229" t="s">
        <v>1863</v>
      </c>
      <c r="B265" s="275" t="s">
        <v>1864</v>
      </c>
      <c r="C265" s="275"/>
      <c r="D265" s="275"/>
      <c r="E265" s="321">
        <v>30073</v>
      </c>
      <c r="F265" s="225">
        <v>30073</v>
      </c>
      <c r="G265" s="225">
        <f t="shared" si="4"/>
        <v>100</v>
      </c>
    </row>
    <row r="266" spans="1:7" ht="25.5">
      <c r="A266" s="229" t="s">
        <v>461</v>
      </c>
      <c r="B266" s="275" t="s">
        <v>1864</v>
      </c>
      <c r="C266" s="275" t="s">
        <v>462</v>
      </c>
      <c r="D266" s="275"/>
      <c r="E266" s="321">
        <v>30073</v>
      </c>
      <c r="F266" s="225">
        <v>30073</v>
      </c>
      <c r="G266" s="225">
        <f t="shared" si="4"/>
        <v>100</v>
      </c>
    </row>
    <row r="267" spans="1:7">
      <c r="A267" s="229" t="s">
        <v>188</v>
      </c>
      <c r="B267" s="275" t="s">
        <v>1864</v>
      </c>
      <c r="C267" s="275" t="s">
        <v>462</v>
      </c>
      <c r="D267" s="275" t="s">
        <v>515</v>
      </c>
      <c r="E267" s="321">
        <v>30073</v>
      </c>
      <c r="F267" s="225">
        <v>30073</v>
      </c>
      <c r="G267" s="225">
        <f t="shared" si="4"/>
        <v>100</v>
      </c>
    </row>
    <row r="268" spans="1:7" ht="89.25">
      <c r="A268" s="229" t="s">
        <v>1857</v>
      </c>
      <c r="B268" s="275" t="s">
        <v>1858</v>
      </c>
      <c r="C268" s="275"/>
      <c r="D268" s="275"/>
      <c r="E268" s="321">
        <v>2977209</v>
      </c>
      <c r="F268" s="225">
        <v>2977209</v>
      </c>
      <c r="G268" s="225">
        <f t="shared" si="4"/>
        <v>100</v>
      </c>
    </row>
    <row r="269" spans="1:7" ht="25.5">
      <c r="A269" s="229" t="s">
        <v>461</v>
      </c>
      <c r="B269" s="275" t="s">
        <v>1858</v>
      </c>
      <c r="C269" s="275" t="s">
        <v>462</v>
      </c>
      <c r="D269" s="275"/>
      <c r="E269" s="321">
        <v>2904242.44</v>
      </c>
      <c r="F269" s="225">
        <v>2904242.44</v>
      </c>
      <c r="G269" s="225">
        <f t="shared" si="4"/>
        <v>100</v>
      </c>
    </row>
    <row r="270" spans="1:7">
      <c r="A270" s="229" t="s">
        <v>188</v>
      </c>
      <c r="B270" s="275" t="s">
        <v>1858</v>
      </c>
      <c r="C270" s="275" t="s">
        <v>462</v>
      </c>
      <c r="D270" s="275" t="s">
        <v>515</v>
      </c>
      <c r="E270" s="321">
        <v>2904242.44</v>
      </c>
      <c r="F270" s="225">
        <v>2904242.44</v>
      </c>
      <c r="G270" s="225">
        <f t="shared" si="4"/>
        <v>100</v>
      </c>
    </row>
    <row r="271" spans="1:7" ht="25.5">
      <c r="A271" s="229" t="s">
        <v>445</v>
      </c>
      <c r="B271" s="275" t="s">
        <v>1858</v>
      </c>
      <c r="C271" s="275" t="s">
        <v>446</v>
      </c>
      <c r="D271" s="275"/>
      <c r="E271" s="321">
        <v>72966.559999999998</v>
      </c>
      <c r="F271" s="225">
        <v>72966.559999999998</v>
      </c>
      <c r="G271" s="225">
        <f t="shared" si="4"/>
        <v>100</v>
      </c>
    </row>
    <row r="272" spans="1:7">
      <c r="A272" s="229" t="s">
        <v>188</v>
      </c>
      <c r="B272" s="275" t="s">
        <v>1858</v>
      </c>
      <c r="C272" s="275" t="s">
        <v>446</v>
      </c>
      <c r="D272" s="275" t="s">
        <v>515</v>
      </c>
      <c r="E272" s="321">
        <v>72966.559999999998</v>
      </c>
      <c r="F272" s="225">
        <v>72966.559999999998</v>
      </c>
      <c r="G272" s="225">
        <f t="shared" si="4"/>
        <v>100</v>
      </c>
    </row>
    <row r="273" spans="1:7" ht="76.5">
      <c r="A273" s="229" t="s">
        <v>982</v>
      </c>
      <c r="B273" s="275" t="s">
        <v>983</v>
      </c>
      <c r="C273" s="275"/>
      <c r="D273" s="275"/>
      <c r="E273" s="321">
        <v>2915402</v>
      </c>
      <c r="F273" s="225">
        <v>2915401.52</v>
      </c>
      <c r="G273" s="225">
        <f t="shared" si="4"/>
        <v>99.999983535718229</v>
      </c>
    </row>
    <row r="274" spans="1:7" ht="25.5">
      <c r="A274" s="229" t="s">
        <v>445</v>
      </c>
      <c r="B274" s="275" t="s">
        <v>983</v>
      </c>
      <c r="C274" s="275" t="s">
        <v>446</v>
      </c>
      <c r="D274" s="275"/>
      <c r="E274" s="321">
        <v>1949543.84</v>
      </c>
      <c r="F274" s="225">
        <v>1949543.36</v>
      </c>
      <c r="G274" s="225">
        <f t="shared" si="4"/>
        <v>99.999975378855808</v>
      </c>
    </row>
    <row r="275" spans="1:7">
      <c r="A275" s="229" t="s">
        <v>1440</v>
      </c>
      <c r="B275" s="275" t="s">
        <v>983</v>
      </c>
      <c r="C275" s="275" t="s">
        <v>446</v>
      </c>
      <c r="D275" s="275" t="s">
        <v>483</v>
      </c>
      <c r="E275" s="321">
        <v>1949543.84</v>
      </c>
      <c r="F275" s="225">
        <v>1949543.36</v>
      </c>
      <c r="G275" s="225">
        <f t="shared" si="4"/>
        <v>99.999975378855808</v>
      </c>
    </row>
    <row r="276" spans="1:7" ht="51">
      <c r="A276" s="229" t="s">
        <v>465</v>
      </c>
      <c r="B276" s="275" t="s">
        <v>983</v>
      </c>
      <c r="C276" s="275" t="s">
        <v>466</v>
      </c>
      <c r="D276" s="275"/>
      <c r="E276" s="321">
        <v>965858.16</v>
      </c>
      <c r="F276" s="225">
        <v>965858.16</v>
      </c>
      <c r="G276" s="225">
        <f t="shared" si="4"/>
        <v>100</v>
      </c>
    </row>
    <row r="277" spans="1:7">
      <c r="A277" s="229" t="s">
        <v>1440</v>
      </c>
      <c r="B277" s="275" t="s">
        <v>983</v>
      </c>
      <c r="C277" s="275" t="s">
        <v>466</v>
      </c>
      <c r="D277" s="275" t="s">
        <v>483</v>
      </c>
      <c r="E277" s="321">
        <v>965858.16</v>
      </c>
      <c r="F277" s="225">
        <v>965858.16</v>
      </c>
      <c r="G277" s="225">
        <f t="shared" si="4"/>
        <v>100</v>
      </c>
    </row>
    <row r="278" spans="1:7" ht="76.5">
      <c r="A278" s="229" t="s">
        <v>1818</v>
      </c>
      <c r="B278" s="275" t="s">
        <v>1819</v>
      </c>
      <c r="C278" s="275"/>
      <c r="D278" s="275"/>
      <c r="E278" s="321">
        <v>58000</v>
      </c>
      <c r="F278" s="225">
        <v>58000</v>
      </c>
      <c r="G278" s="225">
        <f t="shared" si="4"/>
        <v>100</v>
      </c>
    </row>
    <row r="279" spans="1:7" ht="25.5">
      <c r="A279" s="229" t="s">
        <v>461</v>
      </c>
      <c r="B279" s="275" t="s">
        <v>1819</v>
      </c>
      <c r="C279" s="275" t="s">
        <v>462</v>
      </c>
      <c r="D279" s="275"/>
      <c r="E279" s="321">
        <v>58000</v>
      </c>
      <c r="F279" s="225">
        <v>58000</v>
      </c>
      <c r="G279" s="225">
        <f t="shared" si="4"/>
        <v>100</v>
      </c>
    </row>
    <row r="280" spans="1:7">
      <c r="A280" s="229" t="s">
        <v>188</v>
      </c>
      <c r="B280" s="275" t="s">
        <v>1819</v>
      </c>
      <c r="C280" s="275" t="s">
        <v>462</v>
      </c>
      <c r="D280" s="275" t="s">
        <v>515</v>
      </c>
      <c r="E280" s="321">
        <v>58000</v>
      </c>
      <c r="F280" s="225">
        <v>58000</v>
      </c>
      <c r="G280" s="225">
        <f t="shared" si="4"/>
        <v>100</v>
      </c>
    </row>
    <row r="281" spans="1:7" ht="38.25">
      <c r="A281" s="229" t="s">
        <v>572</v>
      </c>
      <c r="B281" s="275" t="s">
        <v>1597</v>
      </c>
      <c r="C281" s="275"/>
      <c r="D281" s="275"/>
      <c r="E281" s="321">
        <v>1362700</v>
      </c>
      <c r="F281" s="225">
        <v>1232150.6399999999</v>
      </c>
      <c r="G281" s="225">
        <f t="shared" si="4"/>
        <v>90.419801863946574</v>
      </c>
    </row>
    <row r="282" spans="1:7" ht="89.25">
      <c r="A282" s="229" t="s">
        <v>541</v>
      </c>
      <c r="B282" s="275" t="s">
        <v>1587</v>
      </c>
      <c r="C282" s="275"/>
      <c r="D282" s="275"/>
      <c r="E282" s="321">
        <v>1362700</v>
      </c>
      <c r="F282" s="225">
        <v>1232150.6399999999</v>
      </c>
      <c r="G282" s="225">
        <f t="shared" si="4"/>
        <v>90.419801863946574</v>
      </c>
    </row>
    <row r="283" spans="1:7" ht="25.5">
      <c r="A283" s="229" t="s">
        <v>1165</v>
      </c>
      <c r="B283" s="275" t="s">
        <v>1587</v>
      </c>
      <c r="C283" s="275" t="s">
        <v>440</v>
      </c>
      <c r="D283" s="275"/>
      <c r="E283" s="321">
        <v>741928</v>
      </c>
      <c r="F283" s="225">
        <v>741638.54</v>
      </c>
      <c r="G283" s="225">
        <f t="shared" si="4"/>
        <v>99.960985432548725</v>
      </c>
    </row>
    <row r="284" spans="1:7">
      <c r="A284" s="229" t="s">
        <v>4</v>
      </c>
      <c r="B284" s="275" t="s">
        <v>1587</v>
      </c>
      <c r="C284" s="275" t="s">
        <v>440</v>
      </c>
      <c r="D284" s="275" t="s">
        <v>540</v>
      </c>
      <c r="E284" s="321">
        <v>741928</v>
      </c>
      <c r="F284" s="225">
        <v>741638.54</v>
      </c>
      <c r="G284" s="225">
        <f t="shared" si="4"/>
        <v>99.960985432548725</v>
      </c>
    </row>
    <row r="285" spans="1:7" ht="38.25">
      <c r="A285" s="229" t="s">
        <v>441</v>
      </c>
      <c r="B285" s="275" t="s">
        <v>1587</v>
      </c>
      <c r="C285" s="275" t="s">
        <v>442</v>
      </c>
      <c r="D285" s="275"/>
      <c r="E285" s="321">
        <v>59254.239999999998</v>
      </c>
      <c r="F285" s="225">
        <v>37958.800000000003</v>
      </c>
      <c r="G285" s="225">
        <f t="shared" si="4"/>
        <v>64.06090095831118</v>
      </c>
    </row>
    <row r="286" spans="1:7">
      <c r="A286" s="229" t="s">
        <v>4</v>
      </c>
      <c r="B286" s="275" t="s">
        <v>1587</v>
      </c>
      <c r="C286" s="275" t="s">
        <v>442</v>
      </c>
      <c r="D286" s="275" t="s">
        <v>540</v>
      </c>
      <c r="E286" s="321">
        <v>59254.239999999998</v>
      </c>
      <c r="F286" s="225">
        <v>37958.800000000003</v>
      </c>
      <c r="G286" s="225">
        <f t="shared" si="4"/>
        <v>64.06090095831118</v>
      </c>
    </row>
    <row r="287" spans="1:7" ht="38.25">
      <c r="A287" s="229" t="s">
        <v>1288</v>
      </c>
      <c r="B287" s="275" t="s">
        <v>1587</v>
      </c>
      <c r="C287" s="275" t="s">
        <v>1289</v>
      </c>
      <c r="D287" s="275"/>
      <c r="E287" s="321">
        <v>224062</v>
      </c>
      <c r="F287" s="225">
        <v>215072.54</v>
      </c>
      <c r="G287" s="225">
        <f t="shared" si="4"/>
        <v>95.987958690005442</v>
      </c>
    </row>
    <row r="288" spans="1:7">
      <c r="A288" s="229" t="s">
        <v>4</v>
      </c>
      <c r="B288" s="275" t="s">
        <v>1587</v>
      </c>
      <c r="C288" s="275" t="s">
        <v>1289</v>
      </c>
      <c r="D288" s="275" t="s">
        <v>540</v>
      </c>
      <c r="E288" s="321">
        <v>224062</v>
      </c>
      <c r="F288" s="225">
        <v>215072.54</v>
      </c>
      <c r="G288" s="225">
        <f t="shared" si="4"/>
        <v>95.987958690005442</v>
      </c>
    </row>
    <row r="289" spans="1:7" ht="25.5">
      <c r="A289" s="229" t="s">
        <v>445</v>
      </c>
      <c r="B289" s="275" t="s">
        <v>1587</v>
      </c>
      <c r="C289" s="275" t="s">
        <v>446</v>
      </c>
      <c r="D289" s="275"/>
      <c r="E289" s="321">
        <v>337455.76</v>
      </c>
      <c r="F289" s="225">
        <v>237480.76</v>
      </c>
      <c r="G289" s="225">
        <f t="shared" si="4"/>
        <v>70.373894343957858</v>
      </c>
    </row>
    <row r="290" spans="1:7">
      <c r="A290" s="229" t="s">
        <v>4</v>
      </c>
      <c r="B290" s="275" t="s">
        <v>1587</v>
      </c>
      <c r="C290" s="275" t="s">
        <v>446</v>
      </c>
      <c r="D290" s="275" t="s">
        <v>540</v>
      </c>
      <c r="E290" s="321">
        <v>337455.76</v>
      </c>
      <c r="F290" s="225">
        <v>237480.76</v>
      </c>
      <c r="G290" s="225">
        <f t="shared" si="4"/>
        <v>70.373894343957858</v>
      </c>
    </row>
    <row r="291" spans="1:7" ht="25.5">
      <c r="A291" s="229" t="s">
        <v>784</v>
      </c>
      <c r="B291" s="275" t="s">
        <v>1199</v>
      </c>
      <c r="C291" s="275"/>
      <c r="D291" s="275"/>
      <c r="E291" s="321">
        <v>42009194.289999999</v>
      </c>
      <c r="F291" s="225">
        <v>40998643.710000001</v>
      </c>
      <c r="G291" s="225">
        <f t="shared" si="4"/>
        <v>97.594453792605691</v>
      </c>
    </row>
    <row r="292" spans="1:7" ht="140.25">
      <c r="A292" s="229" t="s">
        <v>1904</v>
      </c>
      <c r="B292" s="275" t="s">
        <v>1905</v>
      </c>
      <c r="C292" s="275"/>
      <c r="D292" s="275"/>
      <c r="E292" s="321">
        <v>434100</v>
      </c>
      <c r="F292" s="225">
        <v>424439.27</v>
      </c>
      <c r="G292" s="225">
        <f t="shared" si="4"/>
        <v>97.774538124856022</v>
      </c>
    </row>
    <row r="293" spans="1:7">
      <c r="A293" s="229" t="s">
        <v>1603</v>
      </c>
      <c r="B293" s="275" t="s">
        <v>1905</v>
      </c>
      <c r="C293" s="275" t="s">
        <v>460</v>
      </c>
      <c r="D293" s="275"/>
      <c r="E293" s="321">
        <v>333410</v>
      </c>
      <c r="F293" s="225">
        <v>333105.33</v>
      </c>
      <c r="G293" s="225">
        <f t="shared" si="4"/>
        <v>99.908620017396004</v>
      </c>
    </row>
    <row r="294" spans="1:7">
      <c r="A294" s="229" t="s">
        <v>4</v>
      </c>
      <c r="B294" s="275" t="s">
        <v>1905</v>
      </c>
      <c r="C294" s="275" t="s">
        <v>460</v>
      </c>
      <c r="D294" s="275" t="s">
        <v>540</v>
      </c>
      <c r="E294" s="321">
        <v>333410</v>
      </c>
      <c r="F294" s="225">
        <v>333105.33</v>
      </c>
      <c r="G294" s="225">
        <f t="shared" si="4"/>
        <v>99.908620017396004</v>
      </c>
    </row>
    <row r="295" spans="1:7" ht="38.25">
      <c r="A295" s="229" t="s">
        <v>1604</v>
      </c>
      <c r="B295" s="275" t="s">
        <v>1905</v>
      </c>
      <c r="C295" s="275" t="s">
        <v>1290</v>
      </c>
      <c r="D295" s="275"/>
      <c r="E295" s="321">
        <v>100690</v>
      </c>
      <c r="F295" s="225">
        <v>91333.94</v>
      </c>
      <c r="G295" s="225">
        <f t="shared" si="4"/>
        <v>90.708054424471158</v>
      </c>
    </row>
    <row r="296" spans="1:7">
      <c r="A296" s="229" t="s">
        <v>4</v>
      </c>
      <c r="B296" s="275" t="s">
        <v>1905</v>
      </c>
      <c r="C296" s="275" t="s">
        <v>1290</v>
      </c>
      <c r="D296" s="275" t="s">
        <v>540</v>
      </c>
      <c r="E296" s="321">
        <v>100690</v>
      </c>
      <c r="F296" s="225">
        <v>91333.94</v>
      </c>
      <c r="G296" s="225">
        <f t="shared" si="4"/>
        <v>90.708054424471158</v>
      </c>
    </row>
    <row r="297" spans="1:7" ht="76.5">
      <c r="A297" s="229" t="s">
        <v>778</v>
      </c>
      <c r="B297" s="275" t="s">
        <v>1590</v>
      </c>
      <c r="C297" s="275"/>
      <c r="D297" s="275"/>
      <c r="E297" s="321">
        <v>33188114.190000001</v>
      </c>
      <c r="F297" s="225">
        <v>32727591.760000002</v>
      </c>
      <c r="G297" s="225">
        <f t="shared" si="4"/>
        <v>98.612387472926187</v>
      </c>
    </row>
    <row r="298" spans="1:7">
      <c r="A298" s="229" t="s">
        <v>1603</v>
      </c>
      <c r="B298" s="275" t="s">
        <v>1590</v>
      </c>
      <c r="C298" s="275" t="s">
        <v>460</v>
      </c>
      <c r="D298" s="275"/>
      <c r="E298" s="321">
        <v>21688000</v>
      </c>
      <c r="F298" s="225">
        <v>21687983.789999999</v>
      </c>
      <c r="G298" s="225">
        <f t="shared" si="4"/>
        <v>99.999925258207298</v>
      </c>
    </row>
    <row r="299" spans="1:7">
      <c r="A299" s="229" t="s">
        <v>4</v>
      </c>
      <c r="B299" s="275" t="s">
        <v>1590</v>
      </c>
      <c r="C299" s="275" t="s">
        <v>460</v>
      </c>
      <c r="D299" s="275" t="s">
        <v>540</v>
      </c>
      <c r="E299" s="321">
        <v>21688000</v>
      </c>
      <c r="F299" s="225">
        <v>21687983.789999999</v>
      </c>
      <c r="G299" s="225">
        <f t="shared" si="4"/>
        <v>99.999925258207298</v>
      </c>
    </row>
    <row r="300" spans="1:7" ht="25.5">
      <c r="A300" s="229" t="s">
        <v>1617</v>
      </c>
      <c r="B300" s="275" t="s">
        <v>1590</v>
      </c>
      <c r="C300" s="275" t="s">
        <v>509</v>
      </c>
      <c r="D300" s="275"/>
      <c r="E300" s="321">
        <v>280439</v>
      </c>
      <c r="F300" s="225">
        <v>259681.4</v>
      </c>
      <c r="G300" s="225">
        <f t="shared" si="4"/>
        <v>92.598176430524987</v>
      </c>
    </row>
    <row r="301" spans="1:7">
      <c r="A301" s="229" t="s">
        <v>4</v>
      </c>
      <c r="B301" s="275" t="s">
        <v>1590</v>
      </c>
      <c r="C301" s="275" t="s">
        <v>509</v>
      </c>
      <c r="D301" s="275" t="s">
        <v>540</v>
      </c>
      <c r="E301" s="321">
        <v>280439</v>
      </c>
      <c r="F301" s="225">
        <v>259681.4</v>
      </c>
      <c r="G301" s="225">
        <f t="shared" si="4"/>
        <v>92.598176430524987</v>
      </c>
    </row>
    <row r="302" spans="1:7" ht="38.25">
      <c r="A302" s="229" t="s">
        <v>1604</v>
      </c>
      <c r="B302" s="275" t="s">
        <v>1590</v>
      </c>
      <c r="C302" s="275" t="s">
        <v>1290</v>
      </c>
      <c r="D302" s="275"/>
      <c r="E302" s="321">
        <v>6544446.3600000003</v>
      </c>
      <c r="F302" s="225">
        <v>6525059.8600000003</v>
      </c>
      <c r="G302" s="225">
        <f t="shared" si="4"/>
        <v>99.703771733564949</v>
      </c>
    </row>
    <row r="303" spans="1:7">
      <c r="A303" s="229" t="s">
        <v>4</v>
      </c>
      <c r="B303" s="275" t="s">
        <v>1590</v>
      </c>
      <c r="C303" s="275" t="s">
        <v>1290</v>
      </c>
      <c r="D303" s="275" t="s">
        <v>540</v>
      </c>
      <c r="E303" s="321">
        <v>6544446.3600000003</v>
      </c>
      <c r="F303" s="225">
        <v>6525059.8600000003</v>
      </c>
      <c r="G303" s="225">
        <f t="shared" si="4"/>
        <v>99.703771733564949</v>
      </c>
    </row>
    <row r="304" spans="1:7" ht="25.5">
      <c r="A304" s="229" t="s">
        <v>461</v>
      </c>
      <c r="B304" s="275" t="s">
        <v>1590</v>
      </c>
      <c r="C304" s="275" t="s">
        <v>462</v>
      </c>
      <c r="D304" s="275"/>
      <c r="E304" s="321">
        <v>127241</v>
      </c>
      <c r="F304" s="225">
        <v>127241</v>
      </c>
      <c r="G304" s="225">
        <f t="shared" si="4"/>
        <v>100</v>
      </c>
    </row>
    <row r="305" spans="1:7">
      <c r="A305" s="229" t="s">
        <v>4</v>
      </c>
      <c r="B305" s="275" t="s">
        <v>1590</v>
      </c>
      <c r="C305" s="275" t="s">
        <v>462</v>
      </c>
      <c r="D305" s="275" t="s">
        <v>540</v>
      </c>
      <c r="E305" s="321">
        <v>127241</v>
      </c>
      <c r="F305" s="225">
        <v>127241</v>
      </c>
      <c r="G305" s="225">
        <f t="shared" si="4"/>
        <v>100</v>
      </c>
    </row>
    <row r="306" spans="1:7" ht="25.5">
      <c r="A306" s="229" t="s">
        <v>445</v>
      </c>
      <c r="B306" s="275" t="s">
        <v>1590</v>
      </c>
      <c r="C306" s="275" t="s">
        <v>446</v>
      </c>
      <c r="D306" s="275"/>
      <c r="E306" s="321">
        <v>4517338.5599999996</v>
      </c>
      <c r="F306" s="225">
        <v>4098076.44</v>
      </c>
      <c r="G306" s="225">
        <f t="shared" si="4"/>
        <v>90.718824492977575</v>
      </c>
    </row>
    <row r="307" spans="1:7">
      <c r="A307" s="229" t="s">
        <v>4</v>
      </c>
      <c r="B307" s="275" t="s">
        <v>1590</v>
      </c>
      <c r="C307" s="275" t="s">
        <v>446</v>
      </c>
      <c r="D307" s="275" t="s">
        <v>540</v>
      </c>
      <c r="E307" s="321">
        <v>4517338.5599999996</v>
      </c>
      <c r="F307" s="225">
        <v>4098076.44</v>
      </c>
      <c r="G307" s="225">
        <f t="shared" si="4"/>
        <v>90.718824492977575</v>
      </c>
    </row>
    <row r="308" spans="1:7" ht="25.5">
      <c r="A308" s="229" t="s">
        <v>1758</v>
      </c>
      <c r="B308" s="275" t="s">
        <v>1590</v>
      </c>
      <c r="C308" s="275" t="s">
        <v>552</v>
      </c>
      <c r="D308" s="275"/>
      <c r="E308" s="321">
        <v>14219.63</v>
      </c>
      <c r="F308" s="225">
        <v>14219.63</v>
      </c>
      <c r="G308" s="225">
        <f t="shared" si="4"/>
        <v>100</v>
      </c>
    </row>
    <row r="309" spans="1:7">
      <c r="A309" s="229" t="s">
        <v>4</v>
      </c>
      <c r="B309" s="275" t="s">
        <v>1590</v>
      </c>
      <c r="C309" s="275" t="s">
        <v>552</v>
      </c>
      <c r="D309" s="275" t="s">
        <v>540</v>
      </c>
      <c r="E309" s="321">
        <v>14219.63</v>
      </c>
      <c r="F309" s="225">
        <v>14219.63</v>
      </c>
      <c r="G309" s="225">
        <f t="shared" si="4"/>
        <v>100</v>
      </c>
    </row>
    <row r="310" spans="1:7">
      <c r="A310" s="229" t="s">
        <v>1168</v>
      </c>
      <c r="B310" s="275" t="s">
        <v>1590</v>
      </c>
      <c r="C310" s="275" t="s">
        <v>626</v>
      </c>
      <c r="D310" s="275"/>
      <c r="E310" s="321">
        <v>1600</v>
      </c>
      <c r="F310" s="225">
        <v>1600</v>
      </c>
      <c r="G310" s="225">
        <f t="shared" si="4"/>
        <v>100</v>
      </c>
    </row>
    <row r="311" spans="1:7">
      <c r="A311" s="229" t="s">
        <v>4</v>
      </c>
      <c r="B311" s="275" t="s">
        <v>1590</v>
      </c>
      <c r="C311" s="275" t="s">
        <v>626</v>
      </c>
      <c r="D311" s="275" t="s">
        <v>540</v>
      </c>
      <c r="E311" s="321">
        <v>1600</v>
      </c>
      <c r="F311" s="225">
        <v>1600</v>
      </c>
      <c r="G311" s="225">
        <f t="shared" si="4"/>
        <v>100</v>
      </c>
    </row>
    <row r="312" spans="1:7">
      <c r="A312" s="229" t="s">
        <v>1293</v>
      </c>
      <c r="B312" s="275" t="s">
        <v>1590</v>
      </c>
      <c r="C312" s="275" t="s">
        <v>1294</v>
      </c>
      <c r="D312" s="275"/>
      <c r="E312" s="321">
        <v>14829.64</v>
      </c>
      <c r="F312" s="225">
        <v>13729.64</v>
      </c>
      <c r="G312" s="225">
        <f t="shared" si="4"/>
        <v>92.582422769534517</v>
      </c>
    </row>
    <row r="313" spans="1:7">
      <c r="A313" s="229" t="s">
        <v>4</v>
      </c>
      <c r="B313" s="275" t="s">
        <v>1590</v>
      </c>
      <c r="C313" s="275" t="s">
        <v>1294</v>
      </c>
      <c r="D313" s="275" t="s">
        <v>540</v>
      </c>
      <c r="E313" s="321">
        <v>14829.64</v>
      </c>
      <c r="F313" s="225">
        <v>13729.64</v>
      </c>
      <c r="G313" s="225">
        <f t="shared" si="4"/>
        <v>92.582422769534517</v>
      </c>
    </row>
    <row r="314" spans="1:7" ht="89.25">
      <c r="A314" s="229" t="s">
        <v>779</v>
      </c>
      <c r="B314" s="275" t="s">
        <v>1596</v>
      </c>
      <c r="C314" s="275"/>
      <c r="D314" s="275"/>
      <c r="E314" s="321">
        <v>613367</v>
      </c>
      <c r="F314" s="225">
        <v>603571.11</v>
      </c>
      <c r="G314" s="225">
        <f t="shared" si="4"/>
        <v>98.402931686901965</v>
      </c>
    </row>
    <row r="315" spans="1:7">
      <c r="A315" s="229" t="s">
        <v>1603</v>
      </c>
      <c r="B315" s="275" t="s">
        <v>1596</v>
      </c>
      <c r="C315" s="275" t="s">
        <v>460</v>
      </c>
      <c r="D315" s="275"/>
      <c r="E315" s="321">
        <v>471096</v>
      </c>
      <c r="F315" s="225">
        <v>468635.64</v>
      </c>
      <c r="G315" s="225">
        <f t="shared" si="4"/>
        <v>99.477737021753526</v>
      </c>
    </row>
    <row r="316" spans="1:7">
      <c r="A316" s="229" t="s">
        <v>4</v>
      </c>
      <c r="B316" s="275" t="s">
        <v>1596</v>
      </c>
      <c r="C316" s="275" t="s">
        <v>460</v>
      </c>
      <c r="D316" s="275" t="s">
        <v>540</v>
      </c>
      <c r="E316" s="321">
        <v>471096</v>
      </c>
      <c r="F316" s="225">
        <v>468635.64</v>
      </c>
      <c r="G316" s="225">
        <f t="shared" si="4"/>
        <v>99.477737021753526</v>
      </c>
    </row>
    <row r="317" spans="1:7" ht="38.25">
      <c r="A317" s="229" t="s">
        <v>1604</v>
      </c>
      <c r="B317" s="275" t="s">
        <v>1596</v>
      </c>
      <c r="C317" s="275" t="s">
        <v>1290</v>
      </c>
      <c r="D317" s="275"/>
      <c r="E317" s="321">
        <v>142271</v>
      </c>
      <c r="F317" s="225">
        <v>134935.47</v>
      </c>
      <c r="G317" s="225">
        <f t="shared" si="4"/>
        <v>94.843973824602344</v>
      </c>
    </row>
    <row r="318" spans="1:7">
      <c r="A318" s="229" t="s">
        <v>4</v>
      </c>
      <c r="B318" s="275" t="s">
        <v>1596</v>
      </c>
      <c r="C318" s="275" t="s">
        <v>1290</v>
      </c>
      <c r="D318" s="275" t="s">
        <v>540</v>
      </c>
      <c r="E318" s="321">
        <v>142271</v>
      </c>
      <c r="F318" s="225">
        <v>134935.47</v>
      </c>
      <c r="G318" s="225">
        <f t="shared" si="4"/>
        <v>94.843973824602344</v>
      </c>
    </row>
    <row r="319" spans="1:7" ht="102">
      <c r="A319" s="229" t="s">
        <v>792</v>
      </c>
      <c r="B319" s="275" t="s">
        <v>1591</v>
      </c>
      <c r="C319" s="275"/>
      <c r="D319" s="275"/>
      <c r="E319" s="321">
        <v>1060000</v>
      </c>
      <c r="F319" s="225">
        <v>934898.79</v>
      </c>
      <c r="G319" s="225">
        <f t="shared" si="4"/>
        <v>88.197999056603777</v>
      </c>
    </row>
    <row r="320" spans="1:7">
      <c r="A320" s="229" t="s">
        <v>1603</v>
      </c>
      <c r="B320" s="275" t="s">
        <v>1591</v>
      </c>
      <c r="C320" s="275" t="s">
        <v>460</v>
      </c>
      <c r="D320" s="275"/>
      <c r="E320" s="321">
        <v>815000</v>
      </c>
      <c r="F320" s="225">
        <v>722675.89</v>
      </c>
      <c r="G320" s="225">
        <f t="shared" si="4"/>
        <v>88.67188834355828</v>
      </c>
    </row>
    <row r="321" spans="1:7">
      <c r="A321" s="229" t="s">
        <v>4</v>
      </c>
      <c r="B321" s="275" t="s">
        <v>1591</v>
      </c>
      <c r="C321" s="275" t="s">
        <v>460</v>
      </c>
      <c r="D321" s="275" t="s">
        <v>540</v>
      </c>
      <c r="E321" s="321">
        <v>815000</v>
      </c>
      <c r="F321" s="225">
        <v>722675.89</v>
      </c>
      <c r="G321" s="225">
        <f t="shared" si="4"/>
        <v>88.67188834355828</v>
      </c>
    </row>
    <row r="322" spans="1:7" ht="38.25">
      <c r="A322" s="229" t="s">
        <v>1604</v>
      </c>
      <c r="B322" s="275" t="s">
        <v>1591</v>
      </c>
      <c r="C322" s="275" t="s">
        <v>1290</v>
      </c>
      <c r="D322" s="275"/>
      <c r="E322" s="321">
        <v>245000</v>
      </c>
      <c r="F322" s="225">
        <v>212222.9</v>
      </c>
      <c r="G322" s="225">
        <f t="shared" si="4"/>
        <v>86.621591836734694</v>
      </c>
    </row>
    <row r="323" spans="1:7">
      <c r="A323" s="229" t="s">
        <v>4</v>
      </c>
      <c r="B323" s="275" t="s">
        <v>1591</v>
      </c>
      <c r="C323" s="275" t="s">
        <v>1290</v>
      </c>
      <c r="D323" s="275" t="s">
        <v>540</v>
      </c>
      <c r="E323" s="321">
        <v>245000</v>
      </c>
      <c r="F323" s="225">
        <v>212222.9</v>
      </c>
      <c r="G323" s="225">
        <f t="shared" si="4"/>
        <v>86.621591836734694</v>
      </c>
    </row>
    <row r="324" spans="1:7" ht="76.5">
      <c r="A324" s="229" t="s">
        <v>780</v>
      </c>
      <c r="B324" s="275" t="s">
        <v>1592</v>
      </c>
      <c r="C324" s="275"/>
      <c r="D324" s="275"/>
      <c r="E324" s="321">
        <v>349589.37</v>
      </c>
      <c r="F324" s="225">
        <v>349589.37</v>
      </c>
      <c r="G324" s="225">
        <f t="shared" si="4"/>
        <v>100</v>
      </c>
    </row>
    <row r="325" spans="1:7" ht="25.5">
      <c r="A325" s="229" t="s">
        <v>1617</v>
      </c>
      <c r="B325" s="275" t="s">
        <v>1592</v>
      </c>
      <c r="C325" s="275" t="s">
        <v>509</v>
      </c>
      <c r="D325" s="275"/>
      <c r="E325" s="321">
        <v>349589.37</v>
      </c>
      <c r="F325" s="225">
        <v>349589.37</v>
      </c>
      <c r="G325" s="225">
        <f t="shared" si="4"/>
        <v>100</v>
      </c>
    </row>
    <row r="326" spans="1:7">
      <c r="A326" s="229" t="s">
        <v>4</v>
      </c>
      <c r="B326" s="275" t="s">
        <v>1592</v>
      </c>
      <c r="C326" s="275" t="s">
        <v>509</v>
      </c>
      <c r="D326" s="275" t="s">
        <v>540</v>
      </c>
      <c r="E326" s="321">
        <v>349589.37</v>
      </c>
      <c r="F326" s="225">
        <v>349589.37</v>
      </c>
      <c r="G326" s="225">
        <f t="shared" si="4"/>
        <v>100</v>
      </c>
    </row>
    <row r="327" spans="1:7" ht="63.75">
      <c r="A327" s="229" t="s">
        <v>781</v>
      </c>
      <c r="B327" s="275" t="s">
        <v>1593</v>
      </c>
      <c r="C327" s="275"/>
      <c r="D327" s="275"/>
      <c r="E327" s="321">
        <v>161802.51999999999</v>
      </c>
      <c r="F327" s="225">
        <v>114632.99</v>
      </c>
      <c r="G327" s="225">
        <f t="shared" si="4"/>
        <v>70.847468877493398</v>
      </c>
    </row>
    <row r="328" spans="1:7" ht="25.5">
      <c r="A328" s="229" t="s">
        <v>445</v>
      </c>
      <c r="B328" s="275" t="s">
        <v>1593</v>
      </c>
      <c r="C328" s="275" t="s">
        <v>446</v>
      </c>
      <c r="D328" s="275"/>
      <c r="E328" s="321">
        <v>161802.51999999999</v>
      </c>
      <c r="F328" s="225">
        <v>114632.99</v>
      </c>
      <c r="G328" s="225">
        <f t="shared" ref="G328:G391" si="5">F328/E328*100</f>
        <v>70.847468877493398</v>
      </c>
    </row>
    <row r="329" spans="1:7">
      <c r="A329" s="229" t="s">
        <v>4</v>
      </c>
      <c r="B329" s="275" t="s">
        <v>1593</v>
      </c>
      <c r="C329" s="275" t="s">
        <v>446</v>
      </c>
      <c r="D329" s="275" t="s">
        <v>540</v>
      </c>
      <c r="E329" s="321">
        <v>161802.51999999999</v>
      </c>
      <c r="F329" s="225">
        <v>114632.99</v>
      </c>
      <c r="G329" s="225">
        <f t="shared" si="5"/>
        <v>70.847468877493398</v>
      </c>
    </row>
    <row r="330" spans="1:7" ht="63.75">
      <c r="A330" s="229" t="s">
        <v>1192</v>
      </c>
      <c r="B330" s="275" t="s">
        <v>1626</v>
      </c>
      <c r="C330" s="275"/>
      <c r="D330" s="275"/>
      <c r="E330" s="321">
        <v>1142000</v>
      </c>
      <c r="F330" s="225">
        <v>1141640</v>
      </c>
      <c r="G330" s="225">
        <f t="shared" si="5"/>
        <v>99.96847635726796</v>
      </c>
    </row>
    <row r="331" spans="1:7" ht="25.5">
      <c r="A331" s="229" t="s">
        <v>445</v>
      </c>
      <c r="B331" s="275" t="s">
        <v>1626</v>
      </c>
      <c r="C331" s="275" t="s">
        <v>446</v>
      </c>
      <c r="D331" s="275"/>
      <c r="E331" s="321">
        <v>1142000</v>
      </c>
      <c r="F331" s="225">
        <v>1141640</v>
      </c>
      <c r="G331" s="225">
        <f t="shared" si="5"/>
        <v>99.96847635726796</v>
      </c>
    </row>
    <row r="332" spans="1:7">
      <c r="A332" s="229" t="s">
        <v>4</v>
      </c>
      <c r="B332" s="275" t="s">
        <v>1626</v>
      </c>
      <c r="C332" s="275" t="s">
        <v>446</v>
      </c>
      <c r="D332" s="275" t="s">
        <v>540</v>
      </c>
      <c r="E332" s="321">
        <v>1142000</v>
      </c>
      <c r="F332" s="225">
        <v>1141640</v>
      </c>
      <c r="G332" s="225">
        <f t="shared" si="5"/>
        <v>99.96847635726796</v>
      </c>
    </row>
    <row r="333" spans="1:7" ht="76.5">
      <c r="A333" s="229" t="s">
        <v>782</v>
      </c>
      <c r="B333" s="275" t="s">
        <v>1594</v>
      </c>
      <c r="C333" s="275"/>
      <c r="D333" s="275"/>
      <c r="E333" s="321">
        <v>4433230</v>
      </c>
      <c r="F333" s="225">
        <v>4238759.21</v>
      </c>
      <c r="G333" s="225">
        <f t="shared" si="5"/>
        <v>95.61333858157596</v>
      </c>
    </row>
    <row r="334" spans="1:7" ht="25.5">
      <c r="A334" s="229" t="s">
        <v>1165</v>
      </c>
      <c r="B334" s="275" t="s">
        <v>1594</v>
      </c>
      <c r="C334" s="275" t="s">
        <v>440</v>
      </c>
      <c r="D334" s="275"/>
      <c r="E334" s="321">
        <v>3198410</v>
      </c>
      <c r="F334" s="225">
        <v>3197364.29</v>
      </c>
      <c r="G334" s="225">
        <f t="shared" si="5"/>
        <v>99.967305317329547</v>
      </c>
    </row>
    <row r="335" spans="1:7">
      <c r="A335" s="229" t="s">
        <v>4</v>
      </c>
      <c r="B335" s="275" t="s">
        <v>1594</v>
      </c>
      <c r="C335" s="275" t="s">
        <v>440</v>
      </c>
      <c r="D335" s="275" t="s">
        <v>540</v>
      </c>
      <c r="E335" s="321">
        <v>3198410</v>
      </c>
      <c r="F335" s="225">
        <v>3197364.29</v>
      </c>
      <c r="G335" s="225">
        <f t="shared" si="5"/>
        <v>99.967305317329547</v>
      </c>
    </row>
    <row r="336" spans="1:7" ht="38.25">
      <c r="A336" s="229" t="s">
        <v>441</v>
      </c>
      <c r="B336" s="275" t="s">
        <v>1594</v>
      </c>
      <c r="C336" s="275" t="s">
        <v>442</v>
      </c>
      <c r="D336" s="275"/>
      <c r="E336" s="321">
        <v>80000</v>
      </c>
      <c r="F336" s="225">
        <v>79097.52</v>
      </c>
      <c r="G336" s="225">
        <f t="shared" si="5"/>
        <v>98.871899999999997</v>
      </c>
    </row>
    <row r="337" spans="1:7">
      <c r="A337" s="229" t="s">
        <v>4</v>
      </c>
      <c r="B337" s="275" t="s">
        <v>1594</v>
      </c>
      <c r="C337" s="275" t="s">
        <v>442</v>
      </c>
      <c r="D337" s="275" t="s">
        <v>540</v>
      </c>
      <c r="E337" s="321">
        <v>80000</v>
      </c>
      <c r="F337" s="225">
        <v>79097.52</v>
      </c>
      <c r="G337" s="225">
        <f t="shared" si="5"/>
        <v>98.871899999999997</v>
      </c>
    </row>
    <row r="338" spans="1:7" ht="38.25">
      <c r="A338" s="229" t="s">
        <v>1288</v>
      </c>
      <c r="B338" s="275" t="s">
        <v>1594</v>
      </c>
      <c r="C338" s="275" t="s">
        <v>1289</v>
      </c>
      <c r="D338" s="275"/>
      <c r="E338" s="321">
        <v>965920</v>
      </c>
      <c r="F338" s="225">
        <v>909987.4</v>
      </c>
      <c r="G338" s="225">
        <f t="shared" si="5"/>
        <v>94.209396223289716</v>
      </c>
    </row>
    <row r="339" spans="1:7">
      <c r="A339" s="229" t="s">
        <v>4</v>
      </c>
      <c r="B339" s="275" t="s">
        <v>1594</v>
      </c>
      <c r="C339" s="275" t="s">
        <v>1289</v>
      </c>
      <c r="D339" s="275" t="s">
        <v>540</v>
      </c>
      <c r="E339" s="321">
        <v>965920</v>
      </c>
      <c r="F339" s="225">
        <v>909987.4</v>
      </c>
      <c r="G339" s="225">
        <f t="shared" si="5"/>
        <v>94.209396223289716</v>
      </c>
    </row>
    <row r="340" spans="1:7" ht="25.5">
      <c r="A340" s="229" t="s">
        <v>445</v>
      </c>
      <c r="B340" s="275" t="s">
        <v>1594</v>
      </c>
      <c r="C340" s="275" t="s">
        <v>446</v>
      </c>
      <c r="D340" s="275"/>
      <c r="E340" s="321">
        <v>188900</v>
      </c>
      <c r="F340" s="225">
        <v>52310</v>
      </c>
      <c r="G340" s="225">
        <f t="shared" si="5"/>
        <v>27.691900476442559</v>
      </c>
    </row>
    <row r="341" spans="1:7">
      <c r="A341" s="229" t="s">
        <v>4</v>
      </c>
      <c r="B341" s="275" t="s">
        <v>1594</v>
      </c>
      <c r="C341" s="275" t="s">
        <v>446</v>
      </c>
      <c r="D341" s="275" t="s">
        <v>540</v>
      </c>
      <c r="E341" s="321">
        <v>188900</v>
      </c>
      <c r="F341" s="225">
        <v>52310</v>
      </c>
      <c r="G341" s="225">
        <f t="shared" si="5"/>
        <v>27.691900476442559</v>
      </c>
    </row>
    <row r="342" spans="1:7" ht="89.25">
      <c r="A342" s="229" t="s">
        <v>783</v>
      </c>
      <c r="B342" s="275" t="s">
        <v>1595</v>
      </c>
      <c r="C342" s="275"/>
      <c r="D342" s="275"/>
      <c r="E342" s="321">
        <v>50000</v>
      </c>
      <c r="F342" s="225">
        <v>38519</v>
      </c>
      <c r="G342" s="225">
        <f t="shared" si="5"/>
        <v>77.037999999999997</v>
      </c>
    </row>
    <row r="343" spans="1:7" ht="38.25">
      <c r="A343" s="229" t="s">
        <v>441</v>
      </c>
      <c r="B343" s="275" t="s">
        <v>1595</v>
      </c>
      <c r="C343" s="275" t="s">
        <v>442</v>
      </c>
      <c r="D343" s="275"/>
      <c r="E343" s="321">
        <v>50000</v>
      </c>
      <c r="F343" s="225">
        <v>38519</v>
      </c>
      <c r="G343" s="225">
        <f t="shared" si="5"/>
        <v>77.037999999999997</v>
      </c>
    </row>
    <row r="344" spans="1:7">
      <c r="A344" s="229" t="s">
        <v>4</v>
      </c>
      <c r="B344" s="275" t="s">
        <v>1595</v>
      </c>
      <c r="C344" s="275" t="s">
        <v>442</v>
      </c>
      <c r="D344" s="275" t="s">
        <v>540</v>
      </c>
      <c r="E344" s="321">
        <v>50000</v>
      </c>
      <c r="F344" s="225">
        <v>38519</v>
      </c>
      <c r="G344" s="225">
        <f t="shared" si="5"/>
        <v>77.037999999999997</v>
      </c>
    </row>
    <row r="345" spans="1:7" ht="76.5">
      <c r="A345" s="229" t="s">
        <v>1963</v>
      </c>
      <c r="B345" s="275" t="s">
        <v>1964</v>
      </c>
      <c r="C345" s="275"/>
      <c r="D345" s="275"/>
      <c r="E345" s="321">
        <v>375000</v>
      </c>
      <c r="F345" s="225">
        <v>223011</v>
      </c>
      <c r="G345" s="225">
        <f t="shared" si="5"/>
        <v>59.4696</v>
      </c>
    </row>
    <row r="346" spans="1:7" ht="25.5">
      <c r="A346" s="229" t="s">
        <v>445</v>
      </c>
      <c r="B346" s="275" t="s">
        <v>1964</v>
      </c>
      <c r="C346" s="275" t="s">
        <v>446</v>
      </c>
      <c r="D346" s="275"/>
      <c r="E346" s="321">
        <v>375000</v>
      </c>
      <c r="F346" s="225">
        <v>223011</v>
      </c>
      <c r="G346" s="225">
        <f t="shared" si="5"/>
        <v>59.4696</v>
      </c>
    </row>
    <row r="347" spans="1:7">
      <c r="A347" s="229" t="s">
        <v>4</v>
      </c>
      <c r="B347" s="275" t="s">
        <v>1964</v>
      </c>
      <c r="C347" s="275" t="s">
        <v>446</v>
      </c>
      <c r="D347" s="275" t="s">
        <v>540</v>
      </c>
      <c r="E347" s="321">
        <v>375000</v>
      </c>
      <c r="F347" s="225">
        <v>223011</v>
      </c>
      <c r="G347" s="225">
        <f t="shared" si="5"/>
        <v>59.4696</v>
      </c>
    </row>
    <row r="348" spans="1:7" ht="63.75">
      <c r="A348" s="229" t="s">
        <v>776</v>
      </c>
      <c r="B348" s="275" t="s">
        <v>1588</v>
      </c>
      <c r="C348" s="275"/>
      <c r="D348" s="275"/>
      <c r="E348" s="321">
        <v>61668.79</v>
      </c>
      <c r="F348" s="225">
        <v>61668.79</v>
      </c>
      <c r="G348" s="225">
        <f t="shared" si="5"/>
        <v>100</v>
      </c>
    </row>
    <row r="349" spans="1:7">
      <c r="A349" s="229" t="s">
        <v>1603</v>
      </c>
      <c r="B349" s="275" t="s">
        <v>1588</v>
      </c>
      <c r="C349" s="275" t="s">
        <v>460</v>
      </c>
      <c r="D349" s="275"/>
      <c r="E349" s="321">
        <v>47108.21</v>
      </c>
      <c r="F349" s="225">
        <v>47108.21</v>
      </c>
      <c r="G349" s="225">
        <f t="shared" si="5"/>
        <v>100</v>
      </c>
    </row>
    <row r="350" spans="1:7">
      <c r="A350" s="229" t="s">
        <v>1440</v>
      </c>
      <c r="B350" s="275" t="s">
        <v>1588</v>
      </c>
      <c r="C350" s="275" t="s">
        <v>460</v>
      </c>
      <c r="D350" s="275" t="s">
        <v>483</v>
      </c>
      <c r="E350" s="321">
        <v>47108.21</v>
      </c>
      <c r="F350" s="225">
        <v>47108.21</v>
      </c>
      <c r="G350" s="225">
        <f t="shared" si="5"/>
        <v>100</v>
      </c>
    </row>
    <row r="351" spans="1:7" ht="38.25">
      <c r="A351" s="229" t="s">
        <v>1604</v>
      </c>
      <c r="B351" s="275" t="s">
        <v>1588</v>
      </c>
      <c r="C351" s="275" t="s">
        <v>1290</v>
      </c>
      <c r="D351" s="275"/>
      <c r="E351" s="321">
        <v>12860.58</v>
      </c>
      <c r="F351" s="225">
        <v>12860.58</v>
      </c>
      <c r="G351" s="225">
        <f t="shared" si="5"/>
        <v>100</v>
      </c>
    </row>
    <row r="352" spans="1:7">
      <c r="A352" s="229" t="s">
        <v>1440</v>
      </c>
      <c r="B352" s="275" t="s">
        <v>1588</v>
      </c>
      <c r="C352" s="275" t="s">
        <v>1290</v>
      </c>
      <c r="D352" s="275" t="s">
        <v>483</v>
      </c>
      <c r="E352" s="321">
        <v>12860.58</v>
      </c>
      <c r="F352" s="225">
        <v>12860.58</v>
      </c>
      <c r="G352" s="225">
        <f t="shared" si="5"/>
        <v>100</v>
      </c>
    </row>
    <row r="353" spans="1:7" ht="25.5">
      <c r="A353" s="229" t="s">
        <v>445</v>
      </c>
      <c r="B353" s="275" t="s">
        <v>1588</v>
      </c>
      <c r="C353" s="275" t="s">
        <v>446</v>
      </c>
      <c r="D353" s="275"/>
      <c r="E353" s="321">
        <v>1700</v>
      </c>
      <c r="F353" s="225">
        <v>1700</v>
      </c>
      <c r="G353" s="225">
        <f t="shared" si="5"/>
        <v>100</v>
      </c>
    </row>
    <row r="354" spans="1:7">
      <c r="A354" s="229" t="s">
        <v>1440</v>
      </c>
      <c r="B354" s="275" t="s">
        <v>1588</v>
      </c>
      <c r="C354" s="275" t="s">
        <v>446</v>
      </c>
      <c r="D354" s="275" t="s">
        <v>483</v>
      </c>
      <c r="E354" s="321">
        <v>1700</v>
      </c>
      <c r="F354" s="225">
        <v>1700</v>
      </c>
      <c r="G354" s="225">
        <f t="shared" si="5"/>
        <v>100</v>
      </c>
    </row>
    <row r="355" spans="1:7" ht="76.5">
      <c r="A355" s="229" t="s">
        <v>777</v>
      </c>
      <c r="B355" s="275" t="s">
        <v>1589</v>
      </c>
      <c r="C355" s="275"/>
      <c r="D355" s="275"/>
      <c r="E355" s="321">
        <v>140322.42000000001</v>
      </c>
      <c r="F355" s="225">
        <v>140322.42000000001</v>
      </c>
      <c r="G355" s="225">
        <f t="shared" si="5"/>
        <v>100</v>
      </c>
    </row>
    <row r="356" spans="1:7" ht="25.5">
      <c r="A356" s="229" t="s">
        <v>445</v>
      </c>
      <c r="B356" s="275" t="s">
        <v>1589</v>
      </c>
      <c r="C356" s="275" t="s">
        <v>446</v>
      </c>
      <c r="D356" s="275"/>
      <c r="E356" s="321">
        <v>140322.42000000001</v>
      </c>
      <c r="F356" s="225">
        <v>140322.42000000001</v>
      </c>
      <c r="G356" s="225">
        <f t="shared" si="5"/>
        <v>100</v>
      </c>
    </row>
    <row r="357" spans="1:7">
      <c r="A357" s="229" t="s">
        <v>1440</v>
      </c>
      <c r="B357" s="275" t="s">
        <v>1589</v>
      </c>
      <c r="C357" s="275" t="s">
        <v>446</v>
      </c>
      <c r="D357" s="275" t="s">
        <v>483</v>
      </c>
      <c r="E357" s="321">
        <v>140322.42000000001</v>
      </c>
      <c r="F357" s="225">
        <v>140322.42000000001</v>
      </c>
      <c r="G357" s="225">
        <f t="shared" si="5"/>
        <v>100</v>
      </c>
    </row>
    <row r="358" spans="1:7" ht="25.5">
      <c r="A358" s="229" t="s">
        <v>752</v>
      </c>
      <c r="B358" s="275" t="s">
        <v>1200</v>
      </c>
      <c r="C358" s="275"/>
      <c r="D358" s="275"/>
      <c r="E358" s="321">
        <v>66486109.670000002</v>
      </c>
      <c r="F358" s="225">
        <v>66484361.57</v>
      </c>
      <c r="G358" s="225">
        <f t="shared" si="5"/>
        <v>99.997370729000863</v>
      </c>
    </row>
    <row r="359" spans="1:7" ht="38.25">
      <c r="A359" s="229" t="s">
        <v>753</v>
      </c>
      <c r="B359" s="275" t="s">
        <v>1201</v>
      </c>
      <c r="C359" s="275"/>
      <c r="D359" s="275"/>
      <c r="E359" s="321">
        <v>1105309.67</v>
      </c>
      <c r="F359" s="225">
        <v>1105309.67</v>
      </c>
      <c r="G359" s="225">
        <f t="shared" si="5"/>
        <v>100</v>
      </c>
    </row>
    <row r="360" spans="1:7" ht="89.25">
      <c r="A360" s="229" t="s">
        <v>632</v>
      </c>
      <c r="B360" s="275" t="s">
        <v>896</v>
      </c>
      <c r="C360" s="275"/>
      <c r="D360" s="275"/>
      <c r="E360" s="321">
        <v>1105309.67</v>
      </c>
      <c r="F360" s="225">
        <v>1105309.67</v>
      </c>
      <c r="G360" s="225">
        <f t="shared" si="5"/>
        <v>100</v>
      </c>
    </row>
    <row r="361" spans="1:7">
      <c r="A361" s="229" t="s">
        <v>494</v>
      </c>
      <c r="B361" s="275" t="s">
        <v>896</v>
      </c>
      <c r="C361" s="275" t="s">
        <v>495</v>
      </c>
      <c r="D361" s="275"/>
      <c r="E361" s="321">
        <v>1105309.67</v>
      </c>
      <c r="F361" s="225">
        <v>1105309.67</v>
      </c>
      <c r="G361" s="225">
        <f t="shared" si="5"/>
        <v>100</v>
      </c>
    </row>
    <row r="362" spans="1:7">
      <c r="A362" s="229" t="s">
        <v>125</v>
      </c>
      <c r="B362" s="275" t="s">
        <v>896</v>
      </c>
      <c r="C362" s="275" t="s">
        <v>495</v>
      </c>
      <c r="D362" s="275" t="s">
        <v>493</v>
      </c>
      <c r="E362" s="321">
        <v>1105309.67</v>
      </c>
      <c r="F362" s="225">
        <v>1105309.67</v>
      </c>
      <c r="G362" s="225">
        <f t="shared" si="5"/>
        <v>100</v>
      </c>
    </row>
    <row r="363" spans="1:7" ht="25.5">
      <c r="A363" s="229" t="s">
        <v>754</v>
      </c>
      <c r="B363" s="275" t="s">
        <v>1202</v>
      </c>
      <c r="C363" s="275"/>
      <c r="D363" s="275"/>
      <c r="E363" s="321">
        <v>337500</v>
      </c>
      <c r="F363" s="225">
        <v>335751.9</v>
      </c>
      <c r="G363" s="225">
        <f t="shared" si="5"/>
        <v>99.482044444444455</v>
      </c>
    </row>
    <row r="364" spans="1:7" ht="89.25">
      <c r="A364" s="229" t="s">
        <v>1309</v>
      </c>
      <c r="B364" s="275" t="s">
        <v>1310</v>
      </c>
      <c r="C364" s="275"/>
      <c r="D364" s="275"/>
      <c r="E364" s="321">
        <v>337500</v>
      </c>
      <c r="F364" s="225">
        <v>335751.9</v>
      </c>
      <c r="G364" s="225">
        <f t="shared" si="5"/>
        <v>99.482044444444455</v>
      </c>
    </row>
    <row r="365" spans="1:7" ht="25.5">
      <c r="A365" s="229" t="s">
        <v>445</v>
      </c>
      <c r="B365" s="275" t="s">
        <v>1310</v>
      </c>
      <c r="C365" s="275" t="s">
        <v>446</v>
      </c>
      <c r="D365" s="275"/>
      <c r="E365" s="321">
        <v>337500</v>
      </c>
      <c r="F365" s="225">
        <v>335751.9</v>
      </c>
      <c r="G365" s="225">
        <f t="shared" si="5"/>
        <v>99.482044444444455</v>
      </c>
    </row>
    <row r="366" spans="1:7">
      <c r="A366" s="229" t="s">
        <v>127</v>
      </c>
      <c r="B366" s="275" t="s">
        <v>1310</v>
      </c>
      <c r="C366" s="275" t="s">
        <v>446</v>
      </c>
      <c r="D366" s="275" t="s">
        <v>496</v>
      </c>
      <c r="E366" s="321">
        <v>337500</v>
      </c>
      <c r="F366" s="225">
        <v>335751.9</v>
      </c>
      <c r="G366" s="225">
        <f t="shared" si="5"/>
        <v>99.482044444444455</v>
      </c>
    </row>
    <row r="367" spans="1:7" ht="25.5">
      <c r="A367" s="229" t="s">
        <v>577</v>
      </c>
      <c r="B367" s="275" t="s">
        <v>1203</v>
      </c>
      <c r="C367" s="275"/>
      <c r="D367" s="275"/>
      <c r="E367" s="321">
        <v>46039251</v>
      </c>
      <c r="F367" s="225">
        <v>46039251</v>
      </c>
      <c r="G367" s="225">
        <f t="shared" si="5"/>
        <v>100</v>
      </c>
    </row>
    <row r="368" spans="1:7" ht="76.5">
      <c r="A368" s="229" t="s">
        <v>636</v>
      </c>
      <c r="B368" s="275" t="s">
        <v>908</v>
      </c>
      <c r="C368" s="275"/>
      <c r="D368" s="275"/>
      <c r="E368" s="321">
        <v>46039251</v>
      </c>
      <c r="F368" s="225">
        <v>46039251</v>
      </c>
      <c r="G368" s="225">
        <f t="shared" si="5"/>
        <v>100</v>
      </c>
    </row>
    <row r="369" spans="1:7" ht="51">
      <c r="A369" s="229" t="s">
        <v>465</v>
      </c>
      <c r="B369" s="275" t="s">
        <v>908</v>
      </c>
      <c r="C369" s="275" t="s">
        <v>466</v>
      </c>
      <c r="D369" s="275"/>
      <c r="E369" s="321">
        <v>46039251</v>
      </c>
      <c r="F369" s="225">
        <v>46039251</v>
      </c>
      <c r="G369" s="225">
        <f t="shared" si="5"/>
        <v>100</v>
      </c>
    </row>
    <row r="370" spans="1:7">
      <c r="A370" s="229" t="s">
        <v>126</v>
      </c>
      <c r="B370" s="275" t="s">
        <v>908</v>
      </c>
      <c r="C370" s="275" t="s">
        <v>466</v>
      </c>
      <c r="D370" s="275" t="s">
        <v>513</v>
      </c>
      <c r="E370" s="321">
        <v>46039251</v>
      </c>
      <c r="F370" s="225">
        <v>46039251</v>
      </c>
      <c r="G370" s="225">
        <f t="shared" si="5"/>
        <v>100</v>
      </c>
    </row>
    <row r="371" spans="1:7" ht="63.75">
      <c r="A371" s="229" t="s">
        <v>755</v>
      </c>
      <c r="B371" s="275" t="s">
        <v>1204</v>
      </c>
      <c r="C371" s="275"/>
      <c r="D371" s="275"/>
      <c r="E371" s="321">
        <v>19004049</v>
      </c>
      <c r="F371" s="225">
        <v>19004049</v>
      </c>
      <c r="G371" s="225">
        <f t="shared" si="5"/>
        <v>100</v>
      </c>
    </row>
    <row r="372" spans="1:7" ht="114.75">
      <c r="A372" s="229" t="s">
        <v>730</v>
      </c>
      <c r="B372" s="275" t="s">
        <v>910</v>
      </c>
      <c r="C372" s="275"/>
      <c r="D372" s="275"/>
      <c r="E372" s="321">
        <v>19004049</v>
      </c>
      <c r="F372" s="225">
        <v>19004049</v>
      </c>
      <c r="G372" s="225">
        <f t="shared" si="5"/>
        <v>100</v>
      </c>
    </row>
    <row r="373" spans="1:7" ht="25.5">
      <c r="A373" s="229" t="s">
        <v>1165</v>
      </c>
      <c r="B373" s="275" t="s">
        <v>910</v>
      </c>
      <c r="C373" s="275" t="s">
        <v>440</v>
      </c>
      <c r="D373" s="275"/>
      <c r="E373" s="321">
        <v>11608100</v>
      </c>
      <c r="F373" s="225">
        <v>11608100</v>
      </c>
      <c r="G373" s="225">
        <f t="shared" si="5"/>
        <v>100</v>
      </c>
    </row>
    <row r="374" spans="1:7">
      <c r="A374" s="229" t="s">
        <v>81</v>
      </c>
      <c r="B374" s="275" t="s">
        <v>910</v>
      </c>
      <c r="C374" s="275" t="s">
        <v>440</v>
      </c>
      <c r="D374" s="275" t="s">
        <v>514</v>
      </c>
      <c r="E374" s="321">
        <v>11608100</v>
      </c>
      <c r="F374" s="225">
        <v>11608100</v>
      </c>
      <c r="G374" s="225">
        <f t="shared" si="5"/>
        <v>100</v>
      </c>
    </row>
    <row r="375" spans="1:7" ht="38.25">
      <c r="A375" s="229" t="s">
        <v>441</v>
      </c>
      <c r="B375" s="275" t="s">
        <v>910</v>
      </c>
      <c r="C375" s="275" t="s">
        <v>442</v>
      </c>
      <c r="D375" s="275"/>
      <c r="E375" s="321">
        <v>396008.86</v>
      </c>
      <c r="F375" s="225">
        <v>396008.86</v>
      </c>
      <c r="G375" s="225">
        <f t="shared" si="5"/>
        <v>100</v>
      </c>
    </row>
    <row r="376" spans="1:7">
      <c r="A376" s="229" t="s">
        <v>81</v>
      </c>
      <c r="B376" s="275" t="s">
        <v>910</v>
      </c>
      <c r="C376" s="275" t="s">
        <v>442</v>
      </c>
      <c r="D376" s="275" t="s">
        <v>514</v>
      </c>
      <c r="E376" s="321">
        <v>396008.86</v>
      </c>
      <c r="F376" s="225">
        <v>396008.86</v>
      </c>
      <c r="G376" s="225">
        <f t="shared" si="5"/>
        <v>100</v>
      </c>
    </row>
    <row r="377" spans="1:7" ht="38.25">
      <c r="A377" s="229" t="s">
        <v>1288</v>
      </c>
      <c r="B377" s="275" t="s">
        <v>910</v>
      </c>
      <c r="C377" s="275" t="s">
        <v>1289</v>
      </c>
      <c r="D377" s="275"/>
      <c r="E377" s="321">
        <v>3496325.4</v>
      </c>
      <c r="F377" s="225">
        <v>3496325.4</v>
      </c>
      <c r="G377" s="225">
        <f t="shared" si="5"/>
        <v>100</v>
      </c>
    </row>
    <row r="378" spans="1:7">
      <c r="A378" s="229" t="s">
        <v>81</v>
      </c>
      <c r="B378" s="275" t="s">
        <v>910</v>
      </c>
      <c r="C378" s="275" t="s">
        <v>1289</v>
      </c>
      <c r="D378" s="275" t="s">
        <v>514</v>
      </c>
      <c r="E378" s="321">
        <v>3496325.4</v>
      </c>
      <c r="F378" s="225">
        <v>3496325.4</v>
      </c>
      <c r="G378" s="225">
        <f t="shared" si="5"/>
        <v>100</v>
      </c>
    </row>
    <row r="379" spans="1:7" ht="25.5">
      <c r="A379" s="229" t="s">
        <v>445</v>
      </c>
      <c r="B379" s="275" t="s">
        <v>910</v>
      </c>
      <c r="C379" s="275" t="s">
        <v>446</v>
      </c>
      <c r="D379" s="275"/>
      <c r="E379" s="321">
        <v>3496236.08</v>
      </c>
      <c r="F379" s="225">
        <v>3496236.08</v>
      </c>
      <c r="G379" s="225">
        <f t="shared" si="5"/>
        <v>100</v>
      </c>
    </row>
    <row r="380" spans="1:7">
      <c r="A380" s="229" t="s">
        <v>81</v>
      </c>
      <c r="B380" s="275" t="s">
        <v>910</v>
      </c>
      <c r="C380" s="275" t="s">
        <v>446</v>
      </c>
      <c r="D380" s="275" t="s">
        <v>514</v>
      </c>
      <c r="E380" s="321">
        <v>3496236.08</v>
      </c>
      <c r="F380" s="225">
        <v>3496236.08</v>
      </c>
      <c r="G380" s="225">
        <f t="shared" si="5"/>
        <v>100</v>
      </c>
    </row>
    <row r="381" spans="1:7">
      <c r="A381" s="229" t="s">
        <v>1168</v>
      </c>
      <c r="B381" s="275" t="s">
        <v>910</v>
      </c>
      <c r="C381" s="275" t="s">
        <v>626</v>
      </c>
      <c r="D381" s="275"/>
      <c r="E381" s="321">
        <v>5450</v>
      </c>
      <c r="F381" s="225">
        <v>5450</v>
      </c>
      <c r="G381" s="225">
        <f t="shared" si="5"/>
        <v>100</v>
      </c>
    </row>
    <row r="382" spans="1:7">
      <c r="A382" s="229" t="s">
        <v>81</v>
      </c>
      <c r="B382" s="275" t="s">
        <v>910</v>
      </c>
      <c r="C382" s="275" t="s">
        <v>626</v>
      </c>
      <c r="D382" s="275" t="s">
        <v>514</v>
      </c>
      <c r="E382" s="321">
        <v>5450</v>
      </c>
      <c r="F382" s="225">
        <v>5450</v>
      </c>
      <c r="G382" s="225">
        <f t="shared" si="5"/>
        <v>100</v>
      </c>
    </row>
    <row r="383" spans="1:7">
      <c r="A383" s="229" t="s">
        <v>1293</v>
      </c>
      <c r="B383" s="275" t="s">
        <v>910</v>
      </c>
      <c r="C383" s="275" t="s">
        <v>1294</v>
      </c>
      <c r="D383" s="275"/>
      <c r="E383" s="321">
        <v>1928.66</v>
      </c>
      <c r="F383" s="225">
        <v>1928.66</v>
      </c>
      <c r="G383" s="225">
        <f t="shared" si="5"/>
        <v>100</v>
      </c>
    </row>
    <row r="384" spans="1:7">
      <c r="A384" s="229" t="s">
        <v>81</v>
      </c>
      <c r="B384" s="275" t="s">
        <v>910</v>
      </c>
      <c r="C384" s="275" t="s">
        <v>1294</v>
      </c>
      <c r="D384" s="275" t="s">
        <v>514</v>
      </c>
      <c r="E384" s="321">
        <v>1928.66</v>
      </c>
      <c r="F384" s="225">
        <v>1928.66</v>
      </c>
      <c r="G384" s="225">
        <f t="shared" si="5"/>
        <v>100</v>
      </c>
    </row>
    <row r="385" spans="1:7" ht="38.25">
      <c r="A385" s="229" t="s">
        <v>579</v>
      </c>
      <c r="B385" s="275" t="s">
        <v>1205</v>
      </c>
      <c r="C385" s="275"/>
      <c r="D385" s="275"/>
      <c r="E385" s="321">
        <v>262479397.11000001</v>
      </c>
      <c r="F385" s="225">
        <v>242340829.47</v>
      </c>
      <c r="G385" s="225">
        <f t="shared" si="5"/>
        <v>92.327562520436473</v>
      </c>
    </row>
    <row r="386" spans="1:7" ht="38.25">
      <c r="A386" s="229" t="s">
        <v>756</v>
      </c>
      <c r="B386" s="275" t="s">
        <v>1206</v>
      </c>
      <c r="C386" s="275"/>
      <c r="D386" s="275"/>
      <c r="E386" s="321">
        <v>211585700</v>
      </c>
      <c r="F386" s="225">
        <v>208143307.06</v>
      </c>
      <c r="G386" s="225">
        <f t="shared" si="5"/>
        <v>98.373050286479668</v>
      </c>
    </row>
    <row r="387" spans="1:7" ht="153">
      <c r="A387" s="229" t="s">
        <v>1977</v>
      </c>
      <c r="B387" s="275" t="s">
        <v>1978</v>
      </c>
      <c r="C387" s="275"/>
      <c r="D387" s="275"/>
      <c r="E387" s="321">
        <v>5756900</v>
      </c>
      <c r="F387" s="225">
        <v>5399994.2800000003</v>
      </c>
      <c r="G387" s="225">
        <f t="shared" si="5"/>
        <v>93.800383539752303</v>
      </c>
    </row>
    <row r="388" spans="1:7" ht="51">
      <c r="A388" s="229" t="s">
        <v>1740</v>
      </c>
      <c r="B388" s="275" t="s">
        <v>1978</v>
      </c>
      <c r="C388" s="275" t="s">
        <v>1741</v>
      </c>
      <c r="D388" s="275"/>
      <c r="E388" s="321">
        <v>5756900</v>
      </c>
      <c r="F388" s="225">
        <v>5399994.2800000003</v>
      </c>
      <c r="G388" s="225">
        <f t="shared" si="5"/>
        <v>93.800383539752303</v>
      </c>
    </row>
    <row r="389" spans="1:7">
      <c r="A389" s="229" t="s">
        <v>181</v>
      </c>
      <c r="B389" s="275" t="s">
        <v>1978</v>
      </c>
      <c r="C389" s="275" t="s">
        <v>1741</v>
      </c>
      <c r="D389" s="275" t="s">
        <v>482</v>
      </c>
      <c r="E389" s="321">
        <v>5756900</v>
      </c>
      <c r="F389" s="225">
        <v>5399994.2800000003</v>
      </c>
      <c r="G389" s="225">
        <f t="shared" si="5"/>
        <v>93.800383539752303</v>
      </c>
    </row>
    <row r="390" spans="1:7" ht="102">
      <c r="A390" s="229" t="s">
        <v>1742</v>
      </c>
      <c r="B390" s="275" t="s">
        <v>888</v>
      </c>
      <c r="C390" s="275"/>
      <c r="D390" s="275"/>
      <c r="E390" s="321">
        <v>190198400</v>
      </c>
      <c r="F390" s="225">
        <v>187181212.78</v>
      </c>
      <c r="G390" s="225">
        <f t="shared" si="5"/>
        <v>98.413663195904917</v>
      </c>
    </row>
    <row r="391" spans="1:7">
      <c r="A391" s="229" t="s">
        <v>1603</v>
      </c>
      <c r="B391" s="275" t="s">
        <v>888</v>
      </c>
      <c r="C391" s="275" t="s">
        <v>460</v>
      </c>
      <c r="D391" s="275"/>
      <c r="E391" s="321">
        <v>800853.58</v>
      </c>
      <c r="F391" s="225">
        <v>653512.30000000005</v>
      </c>
      <c r="G391" s="225">
        <f t="shared" si="5"/>
        <v>81.601970237805531</v>
      </c>
    </row>
    <row r="392" spans="1:7">
      <c r="A392" s="229" t="s">
        <v>181</v>
      </c>
      <c r="B392" s="275" t="s">
        <v>888</v>
      </c>
      <c r="C392" s="275" t="s">
        <v>460</v>
      </c>
      <c r="D392" s="275" t="s">
        <v>482</v>
      </c>
      <c r="E392" s="321">
        <v>800853.58</v>
      </c>
      <c r="F392" s="225">
        <v>653512.30000000005</v>
      </c>
      <c r="G392" s="225">
        <f t="shared" ref="G392:G455" si="6">F392/E392*100</f>
        <v>81.601970237805531</v>
      </c>
    </row>
    <row r="393" spans="1:7" ht="38.25">
      <c r="A393" s="229" t="s">
        <v>1604</v>
      </c>
      <c r="B393" s="275" t="s">
        <v>888</v>
      </c>
      <c r="C393" s="275" t="s">
        <v>1290</v>
      </c>
      <c r="D393" s="275"/>
      <c r="E393" s="321">
        <v>241124.55</v>
      </c>
      <c r="F393" s="225">
        <v>178286.61</v>
      </c>
      <c r="G393" s="225">
        <f t="shared" si="6"/>
        <v>73.939634101960991</v>
      </c>
    </row>
    <row r="394" spans="1:7">
      <c r="A394" s="229" t="s">
        <v>181</v>
      </c>
      <c r="B394" s="275" t="s">
        <v>888</v>
      </c>
      <c r="C394" s="275" t="s">
        <v>1290</v>
      </c>
      <c r="D394" s="275" t="s">
        <v>482</v>
      </c>
      <c r="E394" s="321">
        <v>241124.55</v>
      </c>
      <c r="F394" s="225">
        <v>178286.61</v>
      </c>
      <c r="G394" s="225">
        <f t="shared" si="6"/>
        <v>73.939634101960991</v>
      </c>
    </row>
    <row r="395" spans="1:7" ht="25.5">
      <c r="A395" s="229" t="s">
        <v>445</v>
      </c>
      <c r="B395" s="275" t="s">
        <v>888</v>
      </c>
      <c r="C395" s="275" t="s">
        <v>446</v>
      </c>
      <c r="D395" s="275"/>
      <c r="E395" s="321">
        <v>443168.5</v>
      </c>
      <c r="F395" s="225">
        <v>442633.5</v>
      </c>
      <c r="G395" s="225">
        <f t="shared" si="6"/>
        <v>99.879278423443907</v>
      </c>
    </row>
    <row r="396" spans="1:7">
      <c r="A396" s="229" t="s">
        <v>181</v>
      </c>
      <c r="B396" s="275" t="s">
        <v>888</v>
      </c>
      <c r="C396" s="275" t="s">
        <v>446</v>
      </c>
      <c r="D396" s="275" t="s">
        <v>482</v>
      </c>
      <c r="E396" s="321">
        <v>443168.5</v>
      </c>
      <c r="F396" s="225">
        <v>442633.5</v>
      </c>
      <c r="G396" s="225">
        <f t="shared" si="6"/>
        <v>99.879278423443907</v>
      </c>
    </row>
    <row r="397" spans="1:7" ht="51">
      <c r="A397" s="229" t="s">
        <v>1740</v>
      </c>
      <c r="B397" s="275" t="s">
        <v>888</v>
      </c>
      <c r="C397" s="275" t="s">
        <v>1741</v>
      </c>
      <c r="D397" s="275"/>
      <c r="E397" s="321">
        <v>188670001</v>
      </c>
      <c r="F397" s="225">
        <v>185863528</v>
      </c>
      <c r="G397" s="225">
        <f t="shared" si="6"/>
        <v>98.512496430208856</v>
      </c>
    </row>
    <row r="398" spans="1:7">
      <c r="A398" s="229" t="s">
        <v>181</v>
      </c>
      <c r="B398" s="275" t="s">
        <v>888</v>
      </c>
      <c r="C398" s="275" t="s">
        <v>1741</v>
      </c>
      <c r="D398" s="275" t="s">
        <v>482</v>
      </c>
      <c r="E398" s="321">
        <v>188670001</v>
      </c>
      <c r="F398" s="225">
        <v>185863528</v>
      </c>
      <c r="G398" s="225">
        <f t="shared" si="6"/>
        <v>98.512496430208856</v>
      </c>
    </row>
    <row r="399" spans="1:7">
      <c r="A399" s="229" t="s">
        <v>1168</v>
      </c>
      <c r="B399" s="275" t="s">
        <v>888</v>
      </c>
      <c r="C399" s="275" t="s">
        <v>626</v>
      </c>
      <c r="D399" s="275"/>
      <c r="E399" s="321">
        <v>43123</v>
      </c>
      <c r="F399" s="225">
        <v>43123</v>
      </c>
      <c r="G399" s="225">
        <f t="shared" si="6"/>
        <v>100</v>
      </c>
    </row>
    <row r="400" spans="1:7">
      <c r="A400" s="229" t="s">
        <v>181</v>
      </c>
      <c r="B400" s="275" t="s">
        <v>888</v>
      </c>
      <c r="C400" s="275" t="s">
        <v>626</v>
      </c>
      <c r="D400" s="275" t="s">
        <v>482</v>
      </c>
      <c r="E400" s="321">
        <v>43123</v>
      </c>
      <c r="F400" s="225">
        <v>43123</v>
      </c>
      <c r="G400" s="225">
        <f t="shared" si="6"/>
        <v>100</v>
      </c>
    </row>
    <row r="401" spans="1:7">
      <c r="A401" s="229" t="s">
        <v>1293</v>
      </c>
      <c r="B401" s="275" t="s">
        <v>888</v>
      </c>
      <c r="C401" s="275" t="s">
        <v>1294</v>
      </c>
      <c r="D401" s="275"/>
      <c r="E401" s="321">
        <v>129.37</v>
      </c>
      <c r="F401" s="225">
        <v>129.37</v>
      </c>
      <c r="G401" s="225">
        <f t="shared" si="6"/>
        <v>100</v>
      </c>
    </row>
    <row r="402" spans="1:7">
      <c r="A402" s="229" t="s">
        <v>181</v>
      </c>
      <c r="B402" s="275" t="s">
        <v>888</v>
      </c>
      <c r="C402" s="275" t="s">
        <v>1294</v>
      </c>
      <c r="D402" s="275" t="s">
        <v>482</v>
      </c>
      <c r="E402" s="321">
        <v>129.37</v>
      </c>
      <c r="F402" s="225">
        <v>129.37</v>
      </c>
      <c r="G402" s="225">
        <f t="shared" si="6"/>
        <v>100</v>
      </c>
    </row>
    <row r="403" spans="1:7" ht="153">
      <c r="A403" s="229" t="s">
        <v>1743</v>
      </c>
      <c r="B403" s="275" t="s">
        <v>887</v>
      </c>
      <c r="C403" s="275"/>
      <c r="D403" s="275"/>
      <c r="E403" s="321">
        <v>15624400</v>
      </c>
      <c r="F403" s="225">
        <v>15556100</v>
      </c>
      <c r="G403" s="225">
        <f t="shared" si="6"/>
        <v>99.562863213947423</v>
      </c>
    </row>
    <row r="404" spans="1:7" ht="51">
      <c r="A404" s="229" t="s">
        <v>1740</v>
      </c>
      <c r="B404" s="275" t="s">
        <v>887</v>
      </c>
      <c r="C404" s="275" t="s">
        <v>1741</v>
      </c>
      <c r="D404" s="275"/>
      <c r="E404" s="321">
        <v>15624400</v>
      </c>
      <c r="F404" s="225">
        <v>15556100</v>
      </c>
      <c r="G404" s="225">
        <f t="shared" si="6"/>
        <v>99.562863213947423</v>
      </c>
    </row>
    <row r="405" spans="1:7">
      <c r="A405" s="229" t="s">
        <v>181</v>
      </c>
      <c r="B405" s="275" t="s">
        <v>887</v>
      </c>
      <c r="C405" s="275" t="s">
        <v>1741</v>
      </c>
      <c r="D405" s="275" t="s">
        <v>482</v>
      </c>
      <c r="E405" s="321">
        <v>15624400</v>
      </c>
      <c r="F405" s="225">
        <v>15556100</v>
      </c>
      <c r="G405" s="225">
        <f t="shared" si="6"/>
        <v>99.562863213947423</v>
      </c>
    </row>
    <row r="406" spans="1:7" ht="165.75">
      <c r="A406" s="229" t="s">
        <v>2006</v>
      </c>
      <c r="B406" s="275" t="s">
        <v>2007</v>
      </c>
      <c r="C406" s="275"/>
      <c r="D406" s="275"/>
      <c r="E406" s="321">
        <v>6000</v>
      </c>
      <c r="F406" s="225">
        <v>6000</v>
      </c>
      <c r="G406" s="225">
        <f t="shared" si="6"/>
        <v>100</v>
      </c>
    </row>
    <row r="407" spans="1:7" ht="51">
      <c r="A407" s="229" t="s">
        <v>1740</v>
      </c>
      <c r="B407" s="275" t="s">
        <v>2007</v>
      </c>
      <c r="C407" s="275" t="s">
        <v>1741</v>
      </c>
      <c r="D407" s="275"/>
      <c r="E407" s="321">
        <v>6000</v>
      </c>
      <c r="F407" s="225">
        <v>6000</v>
      </c>
      <c r="G407" s="225">
        <f t="shared" si="6"/>
        <v>100</v>
      </c>
    </row>
    <row r="408" spans="1:7">
      <c r="A408" s="229" t="s">
        <v>181</v>
      </c>
      <c r="B408" s="275" t="s">
        <v>2007</v>
      </c>
      <c r="C408" s="275" t="s">
        <v>1741</v>
      </c>
      <c r="D408" s="275" t="s">
        <v>482</v>
      </c>
      <c r="E408" s="321">
        <v>6000</v>
      </c>
      <c r="F408" s="225">
        <v>6000</v>
      </c>
      <c r="G408" s="225">
        <f t="shared" si="6"/>
        <v>100</v>
      </c>
    </row>
    <row r="409" spans="1:7" ht="38.25">
      <c r="A409" s="229" t="s">
        <v>757</v>
      </c>
      <c r="B409" s="275" t="s">
        <v>1207</v>
      </c>
      <c r="C409" s="275"/>
      <c r="D409" s="275"/>
      <c r="E409" s="321">
        <v>138966.13</v>
      </c>
      <c r="F409" s="225">
        <v>138966.13</v>
      </c>
      <c r="G409" s="225">
        <f t="shared" si="6"/>
        <v>100</v>
      </c>
    </row>
    <row r="410" spans="1:7" ht="89.25">
      <c r="A410" s="229" t="s">
        <v>658</v>
      </c>
      <c r="B410" s="275" t="s">
        <v>946</v>
      </c>
      <c r="C410" s="275"/>
      <c r="D410" s="275"/>
      <c r="E410" s="321">
        <v>138966.13</v>
      </c>
      <c r="F410" s="225">
        <v>138966.13</v>
      </c>
      <c r="G410" s="225">
        <f t="shared" si="6"/>
        <v>100</v>
      </c>
    </row>
    <row r="411" spans="1:7" ht="25.5">
      <c r="A411" s="229" t="s">
        <v>445</v>
      </c>
      <c r="B411" s="275" t="s">
        <v>946</v>
      </c>
      <c r="C411" s="275" t="s">
        <v>446</v>
      </c>
      <c r="D411" s="275"/>
      <c r="E411" s="321">
        <v>138966.13</v>
      </c>
      <c r="F411" s="225">
        <v>138966.13</v>
      </c>
      <c r="G411" s="225">
        <f t="shared" si="6"/>
        <v>100</v>
      </c>
    </row>
    <row r="412" spans="1:7">
      <c r="A412" s="229" t="s">
        <v>3</v>
      </c>
      <c r="B412" s="275" t="s">
        <v>946</v>
      </c>
      <c r="C412" s="275" t="s">
        <v>446</v>
      </c>
      <c r="D412" s="275" t="s">
        <v>504</v>
      </c>
      <c r="E412" s="321">
        <v>138966.13</v>
      </c>
      <c r="F412" s="225">
        <v>138966.13</v>
      </c>
      <c r="G412" s="225">
        <f t="shared" si="6"/>
        <v>100</v>
      </c>
    </row>
    <row r="413" spans="1:7" ht="38.25">
      <c r="A413" s="229" t="s">
        <v>758</v>
      </c>
      <c r="B413" s="275" t="s">
        <v>1208</v>
      </c>
      <c r="C413" s="275"/>
      <c r="D413" s="275"/>
      <c r="E413" s="321">
        <v>50041917.979999997</v>
      </c>
      <c r="F413" s="225">
        <v>33395330.469999999</v>
      </c>
      <c r="G413" s="225">
        <f t="shared" si="6"/>
        <v>66.734713252491531</v>
      </c>
    </row>
    <row r="414" spans="1:7" ht="204">
      <c r="A414" s="229" t="s">
        <v>1746</v>
      </c>
      <c r="B414" s="275" t="s">
        <v>1747</v>
      </c>
      <c r="C414" s="275"/>
      <c r="D414" s="275"/>
      <c r="E414" s="321">
        <v>22520470.420000002</v>
      </c>
      <c r="F414" s="225">
        <v>20826764.73</v>
      </c>
      <c r="G414" s="225">
        <f t="shared" si="6"/>
        <v>92.479261496705448</v>
      </c>
    </row>
    <row r="415" spans="1:7" ht="25.5">
      <c r="A415" s="229" t="s">
        <v>461</v>
      </c>
      <c r="B415" s="275" t="s">
        <v>1747</v>
      </c>
      <c r="C415" s="275" t="s">
        <v>462</v>
      </c>
      <c r="D415" s="275"/>
      <c r="E415" s="321">
        <v>22520470.420000002</v>
      </c>
      <c r="F415" s="225">
        <v>20826764.73</v>
      </c>
      <c r="G415" s="225">
        <f t="shared" si="6"/>
        <v>92.479261496705448</v>
      </c>
    </row>
    <row r="416" spans="1:7">
      <c r="A416" s="229" t="s">
        <v>181</v>
      </c>
      <c r="B416" s="275" t="s">
        <v>1747</v>
      </c>
      <c r="C416" s="275" t="s">
        <v>462</v>
      </c>
      <c r="D416" s="275" t="s">
        <v>482</v>
      </c>
      <c r="E416" s="321">
        <v>22520470.420000002</v>
      </c>
      <c r="F416" s="225">
        <v>20826764.73</v>
      </c>
      <c r="G416" s="225">
        <f t="shared" si="6"/>
        <v>92.479261496705448</v>
      </c>
    </row>
    <row r="417" spans="1:7" ht="89.25">
      <c r="A417" s="229" t="s">
        <v>505</v>
      </c>
      <c r="B417" s="275" t="s">
        <v>902</v>
      </c>
      <c r="C417" s="275"/>
      <c r="D417" s="275"/>
      <c r="E417" s="321">
        <v>26788003.98</v>
      </c>
      <c r="F417" s="225">
        <v>11866489.35</v>
      </c>
      <c r="G417" s="225">
        <f t="shared" si="6"/>
        <v>44.297773581262547</v>
      </c>
    </row>
    <row r="418" spans="1:7" ht="25.5">
      <c r="A418" s="229" t="s">
        <v>461</v>
      </c>
      <c r="B418" s="275" t="s">
        <v>902</v>
      </c>
      <c r="C418" s="275" t="s">
        <v>462</v>
      </c>
      <c r="D418" s="275"/>
      <c r="E418" s="321">
        <v>12032817.9</v>
      </c>
      <c r="F418" s="225">
        <v>11728322.68</v>
      </c>
      <c r="G418" s="225">
        <f t="shared" si="6"/>
        <v>97.469460416250456</v>
      </c>
    </row>
    <row r="419" spans="1:7">
      <c r="A419" s="229" t="s">
        <v>181</v>
      </c>
      <c r="B419" s="275" t="s">
        <v>902</v>
      </c>
      <c r="C419" s="275" t="s">
        <v>462</v>
      </c>
      <c r="D419" s="275" t="s">
        <v>482</v>
      </c>
      <c r="E419" s="321">
        <v>12032817.9</v>
      </c>
      <c r="F419" s="225">
        <v>11728322.68</v>
      </c>
      <c r="G419" s="225">
        <f t="shared" si="6"/>
        <v>97.469460416250456</v>
      </c>
    </row>
    <row r="420" spans="1:7" ht="25.5">
      <c r="A420" s="229" t="s">
        <v>445</v>
      </c>
      <c r="B420" s="275" t="s">
        <v>902</v>
      </c>
      <c r="C420" s="275" t="s">
        <v>446</v>
      </c>
      <c r="D420" s="275"/>
      <c r="E420" s="321">
        <v>138166.67000000001</v>
      </c>
      <c r="F420" s="225">
        <v>138166.67000000001</v>
      </c>
      <c r="G420" s="225">
        <f t="shared" si="6"/>
        <v>100</v>
      </c>
    </row>
    <row r="421" spans="1:7">
      <c r="A421" s="229" t="s">
        <v>181</v>
      </c>
      <c r="B421" s="275" t="s">
        <v>902</v>
      </c>
      <c r="C421" s="275" t="s">
        <v>446</v>
      </c>
      <c r="D421" s="275" t="s">
        <v>482</v>
      </c>
      <c r="E421" s="321">
        <v>138166.67000000001</v>
      </c>
      <c r="F421" s="225">
        <v>138166.67000000001</v>
      </c>
      <c r="G421" s="225">
        <f t="shared" si="6"/>
        <v>100</v>
      </c>
    </row>
    <row r="422" spans="1:7" ht="38.25">
      <c r="A422" s="229" t="s">
        <v>1748</v>
      </c>
      <c r="B422" s="275" t="s">
        <v>902</v>
      </c>
      <c r="C422" s="275" t="s">
        <v>1749</v>
      </c>
      <c r="D422" s="275"/>
      <c r="E422" s="321">
        <v>14617019.41</v>
      </c>
      <c r="F422" s="225">
        <v>0</v>
      </c>
      <c r="G422" s="225">
        <f t="shared" si="6"/>
        <v>0</v>
      </c>
    </row>
    <row r="423" spans="1:7">
      <c r="A423" s="229" t="s">
        <v>181</v>
      </c>
      <c r="B423" s="275" t="s">
        <v>902</v>
      </c>
      <c r="C423" s="275" t="s">
        <v>1749</v>
      </c>
      <c r="D423" s="275" t="s">
        <v>482</v>
      </c>
      <c r="E423" s="321">
        <v>14617019.41</v>
      </c>
      <c r="F423" s="225">
        <v>0</v>
      </c>
      <c r="G423" s="225">
        <f t="shared" si="6"/>
        <v>0</v>
      </c>
    </row>
    <row r="424" spans="1:7" ht="114.75">
      <c r="A424" s="229" t="s">
        <v>1750</v>
      </c>
      <c r="B424" s="275" t="s">
        <v>1751</v>
      </c>
      <c r="C424" s="275"/>
      <c r="D424" s="275"/>
      <c r="E424" s="321">
        <v>109080.25</v>
      </c>
      <c r="F424" s="225">
        <v>88273.06</v>
      </c>
      <c r="G424" s="225">
        <f t="shared" si="6"/>
        <v>80.924878701689806</v>
      </c>
    </row>
    <row r="425" spans="1:7" ht="25.5">
      <c r="A425" s="229" t="s">
        <v>445</v>
      </c>
      <c r="B425" s="275" t="s">
        <v>1751</v>
      </c>
      <c r="C425" s="275" t="s">
        <v>446</v>
      </c>
      <c r="D425" s="275"/>
      <c r="E425" s="321">
        <v>109080.25</v>
      </c>
      <c r="F425" s="225">
        <v>88273.06</v>
      </c>
      <c r="G425" s="225">
        <f t="shared" si="6"/>
        <v>80.924878701689806</v>
      </c>
    </row>
    <row r="426" spans="1:7">
      <c r="A426" s="229" t="s">
        <v>181</v>
      </c>
      <c r="B426" s="275" t="s">
        <v>1751</v>
      </c>
      <c r="C426" s="275" t="s">
        <v>446</v>
      </c>
      <c r="D426" s="275" t="s">
        <v>482</v>
      </c>
      <c r="E426" s="321">
        <v>109080.25</v>
      </c>
      <c r="F426" s="225">
        <v>88273.06</v>
      </c>
      <c r="G426" s="225">
        <f t="shared" si="6"/>
        <v>80.924878701689806</v>
      </c>
    </row>
    <row r="427" spans="1:7" ht="102">
      <c r="A427" s="229" t="s">
        <v>1956</v>
      </c>
      <c r="B427" s="275" t="s">
        <v>1957</v>
      </c>
      <c r="C427" s="275"/>
      <c r="D427" s="275"/>
      <c r="E427" s="321">
        <v>180833.33</v>
      </c>
      <c r="F427" s="225">
        <v>180833.33</v>
      </c>
      <c r="G427" s="225">
        <f t="shared" si="6"/>
        <v>100</v>
      </c>
    </row>
    <row r="428" spans="1:7" ht="25.5">
      <c r="A428" s="229" t="s">
        <v>445</v>
      </c>
      <c r="B428" s="275" t="s">
        <v>1957</v>
      </c>
      <c r="C428" s="275" t="s">
        <v>446</v>
      </c>
      <c r="D428" s="275"/>
      <c r="E428" s="321">
        <v>180833.33</v>
      </c>
      <c r="F428" s="225">
        <v>180833.33</v>
      </c>
      <c r="G428" s="225">
        <f t="shared" si="6"/>
        <v>100</v>
      </c>
    </row>
    <row r="429" spans="1:7">
      <c r="A429" s="229" t="s">
        <v>181</v>
      </c>
      <c r="B429" s="275" t="s">
        <v>1957</v>
      </c>
      <c r="C429" s="275" t="s">
        <v>446</v>
      </c>
      <c r="D429" s="275" t="s">
        <v>482</v>
      </c>
      <c r="E429" s="321">
        <v>180833.33</v>
      </c>
      <c r="F429" s="225">
        <v>180833.33</v>
      </c>
      <c r="G429" s="225">
        <f t="shared" si="6"/>
        <v>100</v>
      </c>
    </row>
    <row r="430" spans="1:7" ht="204">
      <c r="A430" s="229" t="s">
        <v>1895</v>
      </c>
      <c r="B430" s="275" t="s">
        <v>1753</v>
      </c>
      <c r="C430" s="275"/>
      <c r="D430" s="275"/>
      <c r="E430" s="321">
        <v>443530</v>
      </c>
      <c r="F430" s="225">
        <v>432970</v>
      </c>
      <c r="G430" s="225">
        <f t="shared" si="6"/>
        <v>97.619101300926658</v>
      </c>
    </row>
    <row r="431" spans="1:7" ht="25.5">
      <c r="A431" s="229" t="s">
        <v>461</v>
      </c>
      <c r="B431" s="275" t="s">
        <v>1753</v>
      </c>
      <c r="C431" s="275" t="s">
        <v>462</v>
      </c>
      <c r="D431" s="275"/>
      <c r="E431" s="321">
        <v>443530</v>
      </c>
      <c r="F431" s="225">
        <v>432970</v>
      </c>
      <c r="G431" s="225">
        <f t="shared" si="6"/>
        <v>97.619101300926658</v>
      </c>
    </row>
    <row r="432" spans="1:7">
      <c r="A432" s="229" t="s">
        <v>181</v>
      </c>
      <c r="B432" s="275" t="s">
        <v>1753</v>
      </c>
      <c r="C432" s="275" t="s">
        <v>462</v>
      </c>
      <c r="D432" s="275" t="s">
        <v>482</v>
      </c>
      <c r="E432" s="321">
        <v>443530</v>
      </c>
      <c r="F432" s="225">
        <v>432970</v>
      </c>
      <c r="G432" s="225">
        <f t="shared" si="6"/>
        <v>97.619101300926658</v>
      </c>
    </row>
    <row r="433" spans="1:7" ht="25.5">
      <c r="A433" s="229" t="s">
        <v>1033</v>
      </c>
      <c r="B433" s="275" t="s">
        <v>1297</v>
      </c>
      <c r="C433" s="275"/>
      <c r="D433" s="275"/>
      <c r="E433" s="321">
        <v>600000</v>
      </c>
      <c r="F433" s="225">
        <v>600000</v>
      </c>
      <c r="G433" s="225">
        <f t="shared" si="6"/>
        <v>100</v>
      </c>
    </row>
    <row r="434" spans="1:7" ht="63.75">
      <c r="A434" s="229" t="s">
        <v>1158</v>
      </c>
      <c r="B434" s="275" t="s">
        <v>1014</v>
      </c>
      <c r="C434" s="275"/>
      <c r="D434" s="275"/>
      <c r="E434" s="321">
        <v>600000</v>
      </c>
      <c r="F434" s="225">
        <v>600000</v>
      </c>
      <c r="G434" s="225">
        <f t="shared" si="6"/>
        <v>100</v>
      </c>
    </row>
    <row r="435" spans="1:7" ht="25.5">
      <c r="A435" s="229" t="s">
        <v>445</v>
      </c>
      <c r="B435" s="275" t="s">
        <v>1014</v>
      </c>
      <c r="C435" s="275" t="s">
        <v>446</v>
      </c>
      <c r="D435" s="275"/>
      <c r="E435" s="321">
        <v>600000</v>
      </c>
      <c r="F435" s="225">
        <v>600000</v>
      </c>
      <c r="G435" s="225">
        <f t="shared" si="6"/>
        <v>100</v>
      </c>
    </row>
    <row r="436" spans="1:7">
      <c r="A436" s="229" t="s">
        <v>45</v>
      </c>
      <c r="B436" s="275" t="s">
        <v>1014</v>
      </c>
      <c r="C436" s="275" t="s">
        <v>446</v>
      </c>
      <c r="D436" s="275" t="s">
        <v>506</v>
      </c>
      <c r="E436" s="321">
        <v>600000</v>
      </c>
      <c r="F436" s="225">
        <v>600000</v>
      </c>
      <c r="G436" s="225">
        <f t="shared" si="6"/>
        <v>100</v>
      </c>
    </row>
    <row r="437" spans="1:7" ht="25.5">
      <c r="A437" s="229" t="s">
        <v>1908</v>
      </c>
      <c r="B437" s="275" t="s">
        <v>1909</v>
      </c>
      <c r="C437" s="275"/>
      <c r="D437" s="275"/>
      <c r="E437" s="321">
        <v>112813</v>
      </c>
      <c r="F437" s="225">
        <v>63225.81</v>
      </c>
      <c r="G437" s="225">
        <f t="shared" si="6"/>
        <v>56.044790937214685</v>
      </c>
    </row>
    <row r="438" spans="1:7" ht="89.25">
      <c r="A438" s="229" t="s">
        <v>1891</v>
      </c>
      <c r="B438" s="275" t="s">
        <v>1892</v>
      </c>
      <c r="C438" s="275"/>
      <c r="D438" s="275"/>
      <c r="E438" s="321">
        <v>112700</v>
      </c>
      <c r="F438" s="225">
        <v>63112.81</v>
      </c>
      <c r="G438" s="225">
        <f t="shared" si="6"/>
        <v>56.000718722271515</v>
      </c>
    </row>
    <row r="439" spans="1:7" ht="25.5">
      <c r="A439" s="229" t="s">
        <v>445</v>
      </c>
      <c r="B439" s="275" t="s">
        <v>1892</v>
      </c>
      <c r="C439" s="275" t="s">
        <v>446</v>
      </c>
      <c r="D439" s="275"/>
      <c r="E439" s="321">
        <v>112700</v>
      </c>
      <c r="F439" s="225">
        <v>63112.81</v>
      </c>
      <c r="G439" s="225">
        <f t="shared" si="6"/>
        <v>56.000718722271515</v>
      </c>
    </row>
    <row r="440" spans="1:7">
      <c r="A440" s="229" t="s">
        <v>1889</v>
      </c>
      <c r="B440" s="275" t="s">
        <v>1892</v>
      </c>
      <c r="C440" s="275" t="s">
        <v>446</v>
      </c>
      <c r="D440" s="275" t="s">
        <v>1890</v>
      </c>
      <c r="E440" s="321">
        <v>112700</v>
      </c>
      <c r="F440" s="225">
        <v>63112.81</v>
      </c>
      <c r="G440" s="225">
        <f t="shared" si="6"/>
        <v>56.000718722271515</v>
      </c>
    </row>
    <row r="441" spans="1:7" ht="102">
      <c r="A441" s="229" t="s">
        <v>1893</v>
      </c>
      <c r="B441" s="275" t="s">
        <v>1894</v>
      </c>
      <c r="C441" s="275"/>
      <c r="D441" s="275"/>
      <c r="E441" s="321">
        <v>113</v>
      </c>
      <c r="F441" s="225">
        <v>113</v>
      </c>
      <c r="G441" s="225">
        <f t="shared" si="6"/>
        <v>100</v>
      </c>
    </row>
    <row r="442" spans="1:7" ht="25.5">
      <c r="A442" s="229" t="s">
        <v>445</v>
      </c>
      <c r="B442" s="275" t="s">
        <v>1894</v>
      </c>
      <c r="C442" s="275" t="s">
        <v>446</v>
      </c>
      <c r="D442" s="275"/>
      <c r="E442" s="321">
        <v>113</v>
      </c>
      <c r="F442" s="225">
        <v>113</v>
      </c>
      <c r="G442" s="225">
        <f t="shared" si="6"/>
        <v>100</v>
      </c>
    </row>
    <row r="443" spans="1:7">
      <c r="A443" s="229" t="s">
        <v>1889</v>
      </c>
      <c r="B443" s="275" t="s">
        <v>1894</v>
      </c>
      <c r="C443" s="275" t="s">
        <v>446</v>
      </c>
      <c r="D443" s="275" t="s">
        <v>1890</v>
      </c>
      <c r="E443" s="321">
        <v>113</v>
      </c>
      <c r="F443" s="225">
        <v>113</v>
      </c>
      <c r="G443" s="225">
        <f t="shared" si="6"/>
        <v>100</v>
      </c>
    </row>
    <row r="444" spans="1:7" ht="38.25">
      <c r="A444" s="229" t="s">
        <v>583</v>
      </c>
      <c r="B444" s="275" t="s">
        <v>1209</v>
      </c>
      <c r="C444" s="275"/>
      <c r="D444" s="275"/>
      <c r="E444" s="321">
        <v>27038305</v>
      </c>
      <c r="F444" s="225">
        <v>24499602.530000001</v>
      </c>
      <c r="G444" s="225">
        <f t="shared" si="6"/>
        <v>90.610718867177511</v>
      </c>
    </row>
    <row r="445" spans="1:7" ht="51">
      <c r="A445" s="229" t="s">
        <v>584</v>
      </c>
      <c r="B445" s="275" t="s">
        <v>1210</v>
      </c>
      <c r="C445" s="275"/>
      <c r="D445" s="275"/>
      <c r="E445" s="321">
        <v>3031115.04</v>
      </c>
      <c r="F445" s="225">
        <v>2259804.34</v>
      </c>
      <c r="G445" s="225">
        <f t="shared" si="6"/>
        <v>74.553565607988276</v>
      </c>
    </row>
    <row r="446" spans="1:7" ht="114.75">
      <c r="A446" s="229" t="s">
        <v>459</v>
      </c>
      <c r="B446" s="275" t="s">
        <v>865</v>
      </c>
      <c r="C446" s="275"/>
      <c r="D446" s="275"/>
      <c r="E446" s="321">
        <v>2506297.04</v>
      </c>
      <c r="F446" s="225">
        <v>1958988.19</v>
      </c>
      <c r="G446" s="225">
        <f t="shared" si="6"/>
        <v>78.162650265907828</v>
      </c>
    </row>
    <row r="447" spans="1:7">
      <c r="A447" s="229" t="s">
        <v>1603</v>
      </c>
      <c r="B447" s="275" t="s">
        <v>865</v>
      </c>
      <c r="C447" s="275" t="s">
        <v>460</v>
      </c>
      <c r="D447" s="275"/>
      <c r="E447" s="321">
        <v>1863680.4</v>
      </c>
      <c r="F447" s="225">
        <v>1437666.11</v>
      </c>
      <c r="G447" s="225">
        <f t="shared" si="6"/>
        <v>77.141236769995544</v>
      </c>
    </row>
    <row r="448" spans="1:7" ht="38.25">
      <c r="A448" s="229" t="s">
        <v>311</v>
      </c>
      <c r="B448" s="275" t="s">
        <v>865</v>
      </c>
      <c r="C448" s="275" t="s">
        <v>460</v>
      </c>
      <c r="D448" s="275" t="s">
        <v>458</v>
      </c>
      <c r="E448" s="321">
        <v>1863680.4</v>
      </c>
      <c r="F448" s="225">
        <v>1437666.11</v>
      </c>
      <c r="G448" s="225">
        <f t="shared" si="6"/>
        <v>77.141236769995544</v>
      </c>
    </row>
    <row r="449" spans="1:7" ht="38.25">
      <c r="A449" s="229" t="s">
        <v>1604</v>
      </c>
      <c r="B449" s="275" t="s">
        <v>865</v>
      </c>
      <c r="C449" s="275" t="s">
        <v>1290</v>
      </c>
      <c r="D449" s="275"/>
      <c r="E449" s="321">
        <v>562799.6</v>
      </c>
      <c r="F449" s="225">
        <v>442356.08</v>
      </c>
      <c r="G449" s="225">
        <f t="shared" si="6"/>
        <v>78.599217199159355</v>
      </c>
    </row>
    <row r="450" spans="1:7" ht="38.25">
      <c r="A450" s="229" t="s">
        <v>311</v>
      </c>
      <c r="B450" s="275" t="s">
        <v>865</v>
      </c>
      <c r="C450" s="275" t="s">
        <v>1290</v>
      </c>
      <c r="D450" s="275" t="s">
        <v>458</v>
      </c>
      <c r="E450" s="321">
        <v>562799.6</v>
      </c>
      <c r="F450" s="225">
        <v>442356.08</v>
      </c>
      <c r="G450" s="225">
        <f t="shared" si="6"/>
        <v>78.599217199159355</v>
      </c>
    </row>
    <row r="451" spans="1:7" ht="25.5">
      <c r="A451" s="229" t="s">
        <v>445</v>
      </c>
      <c r="B451" s="275" t="s">
        <v>865</v>
      </c>
      <c r="C451" s="275" t="s">
        <v>446</v>
      </c>
      <c r="D451" s="275"/>
      <c r="E451" s="321">
        <v>79817.039999999994</v>
      </c>
      <c r="F451" s="225">
        <v>78966</v>
      </c>
      <c r="G451" s="225">
        <f t="shared" si="6"/>
        <v>98.933761512579281</v>
      </c>
    </row>
    <row r="452" spans="1:7" ht="38.25">
      <c r="A452" s="229" t="s">
        <v>311</v>
      </c>
      <c r="B452" s="275" t="s">
        <v>865</v>
      </c>
      <c r="C452" s="275" t="s">
        <v>446</v>
      </c>
      <c r="D452" s="275" t="s">
        <v>458</v>
      </c>
      <c r="E452" s="321">
        <v>79817.039999999994</v>
      </c>
      <c r="F452" s="225">
        <v>78966</v>
      </c>
      <c r="G452" s="225">
        <f t="shared" si="6"/>
        <v>98.933761512579281</v>
      </c>
    </row>
    <row r="453" spans="1:7" ht="140.25">
      <c r="A453" s="229" t="s">
        <v>797</v>
      </c>
      <c r="B453" s="275" t="s">
        <v>866</v>
      </c>
      <c r="C453" s="275"/>
      <c r="D453" s="275"/>
      <c r="E453" s="321">
        <v>181048</v>
      </c>
      <c r="F453" s="225">
        <v>181048</v>
      </c>
      <c r="G453" s="225">
        <f t="shared" si="6"/>
        <v>100</v>
      </c>
    </row>
    <row r="454" spans="1:7">
      <c r="A454" s="229" t="s">
        <v>1603</v>
      </c>
      <c r="B454" s="275" t="s">
        <v>866</v>
      </c>
      <c r="C454" s="275" t="s">
        <v>460</v>
      </c>
      <c r="D454" s="275"/>
      <c r="E454" s="321">
        <v>139053.6</v>
      </c>
      <c r="F454" s="225">
        <v>139053.6</v>
      </c>
      <c r="G454" s="225">
        <f t="shared" si="6"/>
        <v>100</v>
      </c>
    </row>
    <row r="455" spans="1:7" ht="38.25">
      <c r="A455" s="229" t="s">
        <v>311</v>
      </c>
      <c r="B455" s="275" t="s">
        <v>866</v>
      </c>
      <c r="C455" s="275" t="s">
        <v>460</v>
      </c>
      <c r="D455" s="275" t="s">
        <v>458</v>
      </c>
      <c r="E455" s="321">
        <v>139053.6</v>
      </c>
      <c r="F455" s="225">
        <v>139053.6</v>
      </c>
      <c r="G455" s="225">
        <f t="shared" si="6"/>
        <v>100</v>
      </c>
    </row>
    <row r="456" spans="1:7" ht="38.25">
      <c r="A456" s="229" t="s">
        <v>1604</v>
      </c>
      <c r="B456" s="275" t="s">
        <v>866</v>
      </c>
      <c r="C456" s="275" t="s">
        <v>1290</v>
      </c>
      <c r="D456" s="275"/>
      <c r="E456" s="321">
        <v>41994.400000000001</v>
      </c>
      <c r="F456" s="225">
        <v>41994.400000000001</v>
      </c>
      <c r="G456" s="225">
        <f t="shared" ref="G456:G519" si="7">F456/E456*100</f>
        <v>100</v>
      </c>
    </row>
    <row r="457" spans="1:7" ht="38.25">
      <c r="A457" s="229" t="s">
        <v>311</v>
      </c>
      <c r="B457" s="275" t="s">
        <v>866</v>
      </c>
      <c r="C457" s="275" t="s">
        <v>1290</v>
      </c>
      <c r="D457" s="275" t="s">
        <v>458</v>
      </c>
      <c r="E457" s="321">
        <v>41994.400000000001</v>
      </c>
      <c r="F457" s="225">
        <v>41994.400000000001</v>
      </c>
      <c r="G457" s="225">
        <f t="shared" si="7"/>
        <v>100</v>
      </c>
    </row>
    <row r="458" spans="1:7" ht="127.5">
      <c r="A458" s="229" t="s">
        <v>1731</v>
      </c>
      <c r="B458" s="275" t="s">
        <v>1732</v>
      </c>
      <c r="C458" s="275"/>
      <c r="D458" s="275"/>
      <c r="E458" s="321">
        <v>343400</v>
      </c>
      <c r="F458" s="225">
        <v>119398.15</v>
      </c>
      <c r="G458" s="225">
        <f t="shared" si="7"/>
        <v>34.769408852649967</v>
      </c>
    </row>
    <row r="459" spans="1:7">
      <c r="A459" s="229" t="s">
        <v>1603</v>
      </c>
      <c r="B459" s="275" t="s">
        <v>1732</v>
      </c>
      <c r="C459" s="275" t="s">
        <v>460</v>
      </c>
      <c r="D459" s="275"/>
      <c r="E459" s="321">
        <v>171582.58</v>
      </c>
      <c r="F459" s="225">
        <v>0</v>
      </c>
      <c r="G459" s="225">
        <f t="shared" si="7"/>
        <v>0</v>
      </c>
    </row>
    <row r="460" spans="1:7" ht="38.25">
      <c r="A460" s="229" t="s">
        <v>311</v>
      </c>
      <c r="B460" s="275" t="s">
        <v>1732</v>
      </c>
      <c r="C460" s="275" t="s">
        <v>460</v>
      </c>
      <c r="D460" s="275" t="s">
        <v>458</v>
      </c>
      <c r="E460" s="321">
        <v>171582.58</v>
      </c>
      <c r="F460" s="225">
        <v>0</v>
      </c>
      <c r="G460" s="225">
        <f t="shared" si="7"/>
        <v>0</v>
      </c>
    </row>
    <row r="461" spans="1:7" ht="38.25">
      <c r="A461" s="229" t="s">
        <v>1604</v>
      </c>
      <c r="B461" s="275" t="s">
        <v>1732</v>
      </c>
      <c r="C461" s="275" t="s">
        <v>1290</v>
      </c>
      <c r="D461" s="275"/>
      <c r="E461" s="321">
        <v>51817.42</v>
      </c>
      <c r="F461" s="225">
        <v>0</v>
      </c>
      <c r="G461" s="225">
        <f t="shared" si="7"/>
        <v>0</v>
      </c>
    </row>
    <row r="462" spans="1:7" ht="38.25">
      <c r="A462" s="229" t="s">
        <v>311</v>
      </c>
      <c r="B462" s="275" t="s">
        <v>1732</v>
      </c>
      <c r="C462" s="275" t="s">
        <v>1290</v>
      </c>
      <c r="D462" s="275" t="s">
        <v>458</v>
      </c>
      <c r="E462" s="321">
        <v>51817.42</v>
      </c>
      <c r="F462" s="225">
        <v>0</v>
      </c>
      <c r="G462" s="225">
        <f t="shared" si="7"/>
        <v>0</v>
      </c>
    </row>
    <row r="463" spans="1:7" ht="25.5">
      <c r="A463" s="229" t="s">
        <v>445</v>
      </c>
      <c r="B463" s="275" t="s">
        <v>1732</v>
      </c>
      <c r="C463" s="275" t="s">
        <v>446</v>
      </c>
      <c r="D463" s="275"/>
      <c r="E463" s="321">
        <v>120000</v>
      </c>
      <c r="F463" s="225">
        <v>119398.15</v>
      </c>
      <c r="G463" s="225">
        <f t="shared" si="7"/>
        <v>99.498458333333332</v>
      </c>
    </row>
    <row r="464" spans="1:7" ht="38.25">
      <c r="A464" s="229" t="s">
        <v>311</v>
      </c>
      <c r="B464" s="275" t="s">
        <v>1732</v>
      </c>
      <c r="C464" s="275" t="s">
        <v>446</v>
      </c>
      <c r="D464" s="275" t="s">
        <v>458</v>
      </c>
      <c r="E464" s="321">
        <v>120000</v>
      </c>
      <c r="F464" s="225">
        <v>119398.15</v>
      </c>
      <c r="G464" s="225">
        <f t="shared" si="7"/>
        <v>99.498458333333332</v>
      </c>
    </row>
    <row r="465" spans="1:7" ht="114.75">
      <c r="A465" s="229" t="s">
        <v>1733</v>
      </c>
      <c r="B465" s="275" t="s">
        <v>1734</v>
      </c>
      <c r="C465" s="275"/>
      <c r="D465" s="275"/>
      <c r="E465" s="321">
        <v>370</v>
      </c>
      <c r="F465" s="225">
        <v>370</v>
      </c>
      <c r="G465" s="225">
        <f t="shared" si="7"/>
        <v>100</v>
      </c>
    </row>
    <row r="466" spans="1:7" ht="25.5">
      <c r="A466" s="229" t="s">
        <v>445</v>
      </c>
      <c r="B466" s="275" t="s">
        <v>1734</v>
      </c>
      <c r="C466" s="275" t="s">
        <v>446</v>
      </c>
      <c r="D466" s="275"/>
      <c r="E466" s="321">
        <v>370</v>
      </c>
      <c r="F466" s="225">
        <v>370</v>
      </c>
      <c r="G466" s="225">
        <f t="shared" si="7"/>
        <v>100</v>
      </c>
    </row>
    <row r="467" spans="1:7" ht="38.25">
      <c r="A467" s="229" t="s">
        <v>311</v>
      </c>
      <c r="B467" s="275" t="s">
        <v>1734</v>
      </c>
      <c r="C467" s="275" t="s">
        <v>446</v>
      </c>
      <c r="D467" s="275" t="s">
        <v>458</v>
      </c>
      <c r="E467" s="321">
        <v>370</v>
      </c>
      <c r="F467" s="225">
        <v>370</v>
      </c>
      <c r="G467" s="225">
        <f t="shared" si="7"/>
        <v>100</v>
      </c>
    </row>
    <row r="468" spans="1:7" ht="25.5">
      <c r="A468" s="229" t="s">
        <v>586</v>
      </c>
      <c r="B468" s="275" t="s">
        <v>1211</v>
      </c>
      <c r="C468" s="275"/>
      <c r="D468" s="275"/>
      <c r="E468" s="321">
        <v>23987189.960000001</v>
      </c>
      <c r="F468" s="225">
        <v>22219979.460000001</v>
      </c>
      <c r="G468" s="225">
        <f t="shared" si="7"/>
        <v>92.632690602997172</v>
      </c>
    </row>
    <row r="469" spans="1:7" ht="114.75">
      <c r="A469" s="229" t="s">
        <v>464</v>
      </c>
      <c r="B469" s="275" t="s">
        <v>867</v>
      </c>
      <c r="C469" s="275"/>
      <c r="D469" s="275"/>
      <c r="E469" s="321">
        <v>16671913.24</v>
      </c>
      <c r="F469" s="225">
        <v>16349831.130000001</v>
      </c>
      <c r="G469" s="225">
        <f t="shared" si="7"/>
        <v>98.068115486426322</v>
      </c>
    </row>
    <row r="470" spans="1:7">
      <c r="A470" s="229" t="s">
        <v>1603</v>
      </c>
      <c r="B470" s="275" t="s">
        <v>867</v>
      </c>
      <c r="C470" s="275" t="s">
        <v>460</v>
      </c>
      <c r="D470" s="275"/>
      <c r="E470" s="321">
        <v>11409658</v>
      </c>
      <c r="F470" s="225">
        <v>11409631</v>
      </c>
      <c r="G470" s="225">
        <f t="shared" si="7"/>
        <v>99.999763358375859</v>
      </c>
    </row>
    <row r="471" spans="1:7">
      <c r="A471" s="229" t="s">
        <v>133</v>
      </c>
      <c r="B471" s="275" t="s">
        <v>867</v>
      </c>
      <c r="C471" s="275" t="s">
        <v>460</v>
      </c>
      <c r="D471" s="275" t="s">
        <v>463</v>
      </c>
      <c r="E471" s="321">
        <v>11409658</v>
      </c>
      <c r="F471" s="225">
        <v>11409631</v>
      </c>
      <c r="G471" s="225">
        <f t="shared" si="7"/>
        <v>99.999763358375859</v>
      </c>
    </row>
    <row r="472" spans="1:7" ht="25.5">
      <c r="A472" s="229" t="s">
        <v>1617</v>
      </c>
      <c r="B472" s="275" t="s">
        <v>867</v>
      </c>
      <c r="C472" s="275" t="s">
        <v>509</v>
      </c>
      <c r="D472" s="275"/>
      <c r="E472" s="321">
        <v>6450</v>
      </c>
      <c r="F472" s="225">
        <v>6450</v>
      </c>
      <c r="G472" s="225">
        <f t="shared" si="7"/>
        <v>100</v>
      </c>
    </row>
    <row r="473" spans="1:7">
      <c r="A473" s="229" t="s">
        <v>133</v>
      </c>
      <c r="B473" s="275" t="s">
        <v>867</v>
      </c>
      <c r="C473" s="275" t="s">
        <v>509</v>
      </c>
      <c r="D473" s="275" t="s">
        <v>463</v>
      </c>
      <c r="E473" s="321">
        <v>6450</v>
      </c>
      <c r="F473" s="225">
        <v>6450</v>
      </c>
      <c r="G473" s="225">
        <f t="shared" si="7"/>
        <v>100</v>
      </c>
    </row>
    <row r="474" spans="1:7" ht="38.25">
      <c r="A474" s="229" t="s">
        <v>1604</v>
      </c>
      <c r="B474" s="275" t="s">
        <v>867</v>
      </c>
      <c r="C474" s="275" t="s">
        <v>1290</v>
      </c>
      <c r="D474" s="275"/>
      <c r="E474" s="321">
        <v>3445716</v>
      </c>
      <c r="F474" s="225">
        <v>3445716</v>
      </c>
      <c r="G474" s="225">
        <f t="shared" si="7"/>
        <v>100</v>
      </c>
    </row>
    <row r="475" spans="1:7">
      <c r="A475" s="229" t="s">
        <v>133</v>
      </c>
      <c r="B475" s="275" t="s">
        <v>867</v>
      </c>
      <c r="C475" s="275" t="s">
        <v>1290</v>
      </c>
      <c r="D475" s="275" t="s">
        <v>463</v>
      </c>
      <c r="E475" s="321">
        <v>3445716</v>
      </c>
      <c r="F475" s="225">
        <v>3445716</v>
      </c>
      <c r="G475" s="225">
        <f t="shared" si="7"/>
        <v>100</v>
      </c>
    </row>
    <row r="476" spans="1:7" ht="25.5">
      <c r="A476" s="229" t="s">
        <v>445</v>
      </c>
      <c r="B476" s="275" t="s">
        <v>867</v>
      </c>
      <c r="C476" s="275" t="s">
        <v>446</v>
      </c>
      <c r="D476" s="275"/>
      <c r="E476" s="321">
        <v>1756539.24</v>
      </c>
      <c r="F476" s="225">
        <v>1462227.33</v>
      </c>
      <c r="G476" s="225">
        <f t="shared" si="7"/>
        <v>83.244785923484415</v>
      </c>
    </row>
    <row r="477" spans="1:7">
      <c r="A477" s="229" t="s">
        <v>133</v>
      </c>
      <c r="B477" s="275" t="s">
        <v>867</v>
      </c>
      <c r="C477" s="275" t="s">
        <v>446</v>
      </c>
      <c r="D477" s="275" t="s">
        <v>463</v>
      </c>
      <c r="E477" s="321">
        <v>1756539.24</v>
      </c>
      <c r="F477" s="225">
        <v>1462227.33</v>
      </c>
      <c r="G477" s="225">
        <f t="shared" si="7"/>
        <v>83.244785923484415</v>
      </c>
    </row>
    <row r="478" spans="1:7">
      <c r="A478" s="229" t="s">
        <v>1168</v>
      </c>
      <c r="B478" s="275" t="s">
        <v>867</v>
      </c>
      <c r="C478" s="275" t="s">
        <v>626</v>
      </c>
      <c r="D478" s="275"/>
      <c r="E478" s="321">
        <v>49050</v>
      </c>
      <c r="F478" s="225">
        <v>22046</v>
      </c>
      <c r="G478" s="225">
        <f t="shared" si="7"/>
        <v>44.94597349643221</v>
      </c>
    </row>
    <row r="479" spans="1:7">
      <c r="A479" s="229" t="s">
        <v>133</v>
      </c>
      <c r="B479" s="275" t="s">
        <v>867</v>
      </c>
      <c r="C479" s="275" t="s">
        <v>626</v>
      </c>
      <c r="D479" s="275" t="s">
        <v>463</v>
      </c>
      <c r="E479" s="321">
        <v>49050</v>
      </c>
      <c r="F479" s="225">
        <v>22046</v>
      </c>
      <c r="G479" s="225">
        <f t="shared" si="7"/>
        <v>44.94597349643221</v>
      </c>
    </row>
    <row r="480" spans="1:7">
      <c r="A480" s="229" t="s">
        <v>1293</v>
      </c>
      <c r="B480" s="275" t="s">
        <v>867</v>
      </c>
      <c r="C480" s="275" t="s">
        <v>1294</v>
      </c>
      <c r="D480" s="275"/>
      <c r="E480" s="321">
        <v>4500</v>
      </c>
      <c r="F480" s="225">
        <v>3760.8</v>
      </c>
      <c r="G480" s="225">
        <f t="shared" si="7"/>
        <v>83.573333333333338</v>
      </c>
    </row>
    <row r="481" spans="1:7">
      <c r="A481" s="229" t="s">
        <v>133</v>
      </c>
      <c r="B481" s="275" t="s">
        <v>867</v>
      </c>
      <c r="C481" s="275" t="s">
        <v>1294</v>
      </c>
      <c r="D481" s="275" t="s">
        <v>463</v>
      </c>
      <c r="E481" s="321">
        <v>4500</v>
      </c>
      <c r="F481" s="225">
        <v>3760.8</v>
      </c>
      <c r="G481" s="225">
        <f t="shared" si="7"/>
        <v>83.573333333333338</v>
      </c>
    </row>
    <row r="482" spans="1:7" ht="140.25">
      <c r="A482" s="53" t="s">
        <v>872</v>
      </c>
      <c r="B482" s="275" t="s">
        <v>873</v>
      </c>
      <c r="C482" s="275"/>
      <c r="D482" s="275"/>
      <c r="E482" s="321">
        <v>3232840</v>
      </c>
      <c r="F482" s="225">
        <v>2466424.85</v>
      </c>
      <c r="G482" s="225">
        <f t="shared" si="7"/>
        <v>76.292821482040566</v>
      </c>
    </row>
    <row r="483" spans="1:7">
      <c r="A483" s="229" t="s">
        <v>1603</v>
      </c>
      <c r="B483" s="275" t="s">
        <v>873</v>
      </c>
      <c r="C483" s="275" t="s">
        <v>460</v>
      </c>
      <c r="D483" s="275"/>
      <c r="E483" s="321">
        <v>1787140</v>
      </c>
      <c r="F483" s="225">
        <v>1236686.6100000001</v>
      </c>
      <c r="G483" s="225">
        <f t="shared" si="7"/>
        <v>69.199201517508428</v>
      </c>
    </row>
    <row r="484" spans="1:7">
      <c r="A484" s="229" t="s">
        <v>133</v>
      </c>
      <c r="B484" s="275" t="s">
        <v>873</v>
      </c>
      <c r="C484" s="275" t="s">
        <v>460</v>
      </c>
      <c r="D484" s="275" t="s">
        <v>463</v>
      </c>
      <c r="E484" s="321">
        <v>1787140</v>
      </c>
      <c r="F484" s="225">
        <v>1236686.6100000001</v>
      </c>
      <c r="G484" s="225">
        <f t="shared" si="7"/>
        <v>69.199201517508428</v>
      </c>
    </row>
    <row r="485" spans="1:7" ht="25.5">
      <c r="A485" s="229" t="s">
        <v>1617</v>
      </c>
      <c r="B485" s="275" t="s">
        <v>873</v>
      </c>
      <c r="C485" s="275" t="s">
        <v>509</v>
      </c>
      <c r="D485" s="275"/>
      <c r="E485" s="321">
        <v>2935.88</v>
      </c>
      <c r="F485" s="225">
        <v>2935.88</v>
      </c>
      <c r="G485" s="225">
        <f t="shared" si="7"/>
        <v>100</v>
      </c>
    </row>
    <row r="486" spans="1:7">
      <c r="A486" s="229" t="s">
        <v>133</v>
      </c>
      <c r="B486" s="275" t="s">
        <v>873</v>
      </c>
      <c r="C486" s="275" t="s">
        <v>509</v>
      </c>
      <c r="D486" s="275" t="s">
        <v>463</v>
      </c>
      <c r="E486" s="321">
        <v>2935.88</v>
      </c>
      <c r="F486" s="225">
        <v>2935.88</v>
      </c>
      <c r="G486" s="225">
        <f t="shared" si="7"/>
        <v>100</v>
      </c>
    </row>
    <row r="487" spans="1:7" ht="38.25">
      <c r="A487" s="229" t="s">
        <v>1604</v>
      </c>
      <c r="B487" s="275" t="s">
        <v>873</v>
      </c>
      <c r="C487" s="275" t="s">
        <v>1290</v>
      </c>
      <c r="D487" s="275"/>
      <c r="E487" s="321">
        <v>539710</v>
      </c>
      <c r="F487" s="225">
        <v>447225.87</v>
      </c>
      <c r="G487" s="225">
        <f t="shared" si="7"/>
        <v>82.864106649867523</v>
      </c>
    </row>
    <row r="488" spans="1:7">
      <c r="A488" s="229" t="s">
        <v>133</v>
      </c>
      <c r="B488" s="275" t="s">
        <v>873</v>
      </c>
      <c r="C488" s="275" t="s">
        <v>1290</v>
      </c>
      <c r="D488" s="275" t="s">
        <v>463</v>
      </c>
      <c r="E488" s="321">
        <v>539710</v>
      </c>
      <c r="F488" s="225">
        <v>447225.87</v>
      </c>
      <c r="G488" s="225">
        <f t="shared" si="7"/>
        <v>82.864106649867523</v>
      </c>
    </row>
    <row r="489" spans="1:7" ht="25.5">
      <c r="A489" s="229" t="s">
        <v>445</v>
      </c>
      <c r="B489" s="275" t="s">
        <v>873</v>
      </c>
      <c r="C489" s="275" t="s">
        <v>446</v>
      </c>
      <c r="D489" s="275"/>
      <c r="E489" s="321">
        <v>794364.12</v>
      </c>
      <c r="F489" s="225">
        <v>676052.87</v>
      </c>
      <c r="G489" s="225">
        <f t="shared" si="7"/>
        <v>85.106168944287163</v>
      </c>
    </row>
    <row r="490" spans="1:7">
      <c r="A490" s="229" t="s">
        <v>133</v>
      </c>
      <c r="B490" s="275" t="s">
        <v>873</v>
      </c>
      <c r="C490" s="275" t="s">
        <v>446</v>
      </c>
      <c r="D490" s="275" t="s">
        <v>463</v>
      </c>
      <c r="E490" s="321">
        <v>794364.12</v>
      </c>
      <c r="F490" s="225">
        <v>676052.87</v>
      </c>
      <c r="G490" s="225">
        <f t="shared" si="7"/>
        <v>85.106168944287163</v>
      </c>
    </row>
    <row r="491" spans="1:7">
      <c r="A491" s="229" t="s">
        <v>1168</v>
      </c>
      <c r="B491" s="275" t="s">
        <v>873</v>
      </c>
      <c r="C491" s="275" t="s">
        <v>626</v>
      </c>
      <c r="D491" s="275"/>
      <c r="E491" s="321">
        <v>105000</v>
      </c>
      <c r="F491" s="225">
        <v>102049</v>
      </c>
      <c r="G491" s="225">
        <f t="shared" si="7"/>
        <v>97.18952380952382</v>
      </c>
    </row>
    <row r="492" spans="1:7">
      <c r="A492" s="229" t="s">
        <v>133</v>
      </c>
      <c r="B492" s="275" t="s">
        <v>873</v>
      </c>
      <c r="C492" s="275" t="s">
        <v>626</v>
      </c>
      <c r="D492" s="275" t="s">
        <v>463</v>
      </c>
      <c r="E492" s="321">
        <v>105000</v>
      </c>
      <c r="F492" s="225">
        <v>102049</v>
      </c>
      <c r="G492" s="225">
        <f t="shared" si="7"/>
        <v>97.18952380952382</v>
      </c>
    </row>
    <row r="493" spans="1:7">
      <c r="A493" s="229" t="s">
        <v>1293</v>
      </c>
      <c r="B493" s="275" t="s">
        <v>873</v>
      </c>
      <c r="C493" s="275" t="s">
        <v>1294</v>
      </c>
      <c r="D493" s="275"/>
      <c r="E493" s="321">
        <v>3690</v>
      </c>
      <c r="F493" s="225">
        <v>1474.62</v>
      </c>
      <c r="G493" s="225">
        <f t="shared" si="7"/>
        <v>39.962601626016259</v>
      </c>
    </row>
    <row r="494" spans="1:7">
      <c r="A494" s="229" t="s">
        <v>133</v>
      </c>
      <c r="B494" s="275" t="s">
        <v>873</v>
      </c>
      <c r="C494" s="275" t="s">
        <v>1294</v>
      </c>
      <c r="D494" s="275" t="s">
        <v>463</v>
      </c>
      <c r="E494" s="321">
        <v>3690</v>
      </c>
      <c r="F494" s="225">
        <v>1474.62</v>
      </c>
      <c r="G494" s="225">
        <f t="shared" si="7"/>
        <v>39.962601626016259</v>
      </c>
    </row>
    <row r="495" spans="1:7" ht="102">
      <c r="A495" s="229" t="s">
        <v>1906</v>
      </c>
      <c r="B495" s="275" t="s">
        <v>1907</v>
      </c>
      <c r="C495" s="275"/>
      <c r="D495" s="275"/>
      <c r="E495" s="321">
        <v>108008.9</v>
      </c>
      <c r="F495" s="225">
        <v>108008.9</v>
      </c>
      <c r="G495" s="225">
        <f t="shared" si="7"/>
        <v>100</v>
      </c>
    </row>
    <row r="496" spans="1:7" ht="25.5">
      <c r="A496" s="229" t="s">
        <v>1617</v>
      </c>
      <c r="B496" s="275" t="s">
        <v>1907</v>
      </c>
      <c r="C496" s="275" t="s">
        <v>509</v>
      </c>
      <c r="D496" s="275"/>
      <c r="E496" s="321">
        <v>108008.9</v>
      </c>
      <c r="F496" s="225">
        <v>108008.9</v>
      </c>
      <c r="G496" s="225">
        <f t="shared" si="7"/>
        <v>100</v>
      </c>
    </row>
    <row r="497" spans="1:7">
      <c r="A497" s="229" t="s">
        <v>133</v>
      </c>
      <c r="B497" s="275" t="s">
        <v>1907</v>
      </c>
      <c r="C497" s="275" t="s">
        <v>509</v>
      </c>
      <c r="D497" s="275" t="s">
        <v>463</v>
      </c>
      <c r="E497" s="321">
        <v>108008.9</v>
      </c>
      <c r="F497" s="225">
        <v>108008.9</v>
      </c>
      <c r="G497" s="225">
        <f t="shared" si="7"/>
        <v>100</v>
      </c>
    </row>
    <row r="498" spans="1:7" ht="127.5">
      <c r="A498" s="229" t="s">
        <v>1628</v>
      </c>
      <c r="B498" s="275" t="s">
        <v>869</v>
      </c>
      <c r="C498" s="275"/>
      <c r="D498" s="275"/>
      <c r="E498" s="321">
        <v>1613287.86</v>
      </c>
      <c r="F498" s="225">
        <v>1362715.69</v>
      </c>
      <c r="G498" s="225">
        <f t="shared" si="7"/>
        <v>84.468229371043549</v>
      </c>
    </row>
    <row r="499" spans="1:7" ht="25.5">
      <c r="A499" s="229" t="s">
        <v>445</v>
      </c>
      <c r="B499" s="275" t="s">
        <v>869</v>
      </c>
      <c r="C499" s="275" t="s">
        <v>446</v>
      </c>
      <c r="D499" s="275"/>
      <c r="E499" s="321">
        <v>1613287.86</v>
      </c>
      <c r="F499" s="225">
        <v>1362715.69</v>
      </c>
      <c r="G499" s="225">
        <f t="shared" si="7"/>
        <v>84.468229371043549</v>
      </c>
    </row>
    <row r="500" spans="1:7">
      <c r="A500" s="229" t="s">
        <v>133</v>
      </c>
      <c r="B500" s="275" t="s">
        <v>869</v>
      </c>
      <c r="C500" s="275" t="s">
        <v>446</v>
      </c>
      <c r="D500" s="275" t="s">
        <v>463</v>
      </c>
      <c r="E500" s="321">
        <v>1613287.86</v>
      </c>
      <c r="F500" s="225">
        <v>1362715.69</v>
      </c>
      <c r="G500" s="225">
        <f t="shared" si="7"/>
        <v>84.468229371043549</v>
      </c>
    </row>
    <row r="501" spans="1:7" ht="140.25">
      <c r="A501" s="229" t="s">
        <v>1629</v>
      </c>
      <c r="B501" s="275" t="s">
        <v>875</v>
      </c>
      <c r="C501" s="275"/>
      <c r="D501" s="275"/>
      <c r="E501" s="321">
        <v>554660</v>
      </c>
      <c r="F501" s="225">
        <v>216685.15</v>
      </c>
      <c r="G501" s="225">
        <f t="shared" si="7"/>
        <v>39.066301878628344</v>
      </c>
    </row>
    <row r="502" spans="1:7" ht="25.5">
      <c r="A502" s="229" t="s">
        <v>445</v>
      </c>
      <c r="B502" s="275" t="s">
        <v>875</v>
      </c>
      <c r="C502" s="275" t="s">
        <v>446</v>
      </c>
      <c r="D502" s="275"/>
      <c r="E502" s="321">
        <v>554660</v>
      </c>
      <c r="F502" s="225">
        <v>216685.15</v>
      </c>
      <c r="G502" s="225">
        <f t="shared" si="7"/>
        <v>39.066301878628344</v>
      </c>
    </row>
    <row r="503" spans="1:7">
      <c r="A503" s="229" t="s">
        <v>133</v>
      </c>
      <c r="B503" s="275" t="s">
        <v>875</v>
      </c>
      <c r="C503" s="275" t="s">
        <v>446</v>
      </c>
      <c r="D503" s="275" t="s">
        <v>463</v>
      </c>
      <c r="E503" s="321">
        <v>554660</v>
      </c>
      <c r="F503" s="225">
        <v>216685.15</v>
      </c>
      <c r="G503" s="225">
        <f t="shared" si="7"/>
        <v>39.066301878628344</v>
      </c>
    </row>
    <row r="504" spans="1:7" ht="114.75">
      <c r="A504" s="229" t="s">
        <v>1193</v>
      </c>
      <c r="B504" s="275" t="s">
        <v>1194</v>
      </c>
      <c r="C504" s="275"/>
      <c r="D504" s="275"/>
      <c r="E504" s="321">
        <v>460167</v>
      </c>
      <c r="F504" s="225">
        <v>398525.78</v>
      </c>
      <c r="G504" s="225">
        <f t="shared" si="7"/>
        <v>86.604597895981243</v>
      </c>
    </row>
    <row r="505" spans="1:7" ht="25.5">
      <c r="A505" s="229" t="s">
        <v>445</v>
      </c>
      <c r="B505" s="275" t="s">
        <v>1194</v>
      </c>
      <c r="C505" s="275" t="s">
        <v>446</v>
      </c>
      <c r="D505" s="275"/>
      <c r="E505" s="321">
        <v>460167</v>
      </c>
      <c r="F505" s="225">
        <v>398525.78</v>
      </c>
      <c r="G505" s="225">
        <f t="shared" si="7"/>
        <v>86.604597895981243</v>
      </c>
    </row>
    <row r="506" spans="1:7">
      <c r="A506" s="229" t="s">
        <v>133</v>
      </c>
      <c r="B506" s="275" t="s">
        <v>1194</v>
      </c>
      <c r="C506" s="275" t="s">
        <v>446</v>
      </c>
      <c r="D506" s="275" t="s">
        <v>463</v>
      </c>
      <c r="E506" s="321">
        <v>460167</v>
      </c>
      <c r="F506" s="225">
        <v>398525.78</v>
      </c>
      <c r="G506" s="225">
        <f t="shared" si="7"/>
        <v>86.604597895981243</v>
      </c>
    </row>
    <row r="507" spans="1:7" ht="76.5">
      <c r="A507" s="229" t="s">
        <v>1735</v>
      </c>
      <c r="B507" s="275" t="s">
        <v>1736</v>
      </c>
      <c r="C507" s="275"/>
      <c r="D507" s="275"/>
      <c r="E507" s="321">
        <v>1176000</v>
      </c>
      <c r="F507" s="225">
        <v>1176000</v>
      </c>
      <c r="G507" s="225">
        <f t="shared" si="7"/>
        <v>100</v>
      </c>
    </row>
    <row r="508" spans="1:7" ht="25.5">
      <c r="A508" s="229" t="s">
        <v>445</v>
      </c>
      <c r="B508" s="275" t="s">
        <v>1736</v>
      </c>
      <c r="C508" s="275" t="s">
        <v>446</v>
      </c>
      <c r="D508" s="275"/>
      <c r="E508" s="321">
        <v>2429</v>
      </c>
      <c r="F508" s="225">
        <v>2429</v>
      </c>
      <c r="G508" s="225">
        <f t="shared" si="7"/>
        <v>100</v>
      </c>
    </row>
    <row r="509" spans="1:7">
      <c r="A509" s="229" t="s">
        <v>133</v>
      </c>
      <c r="B509" s="275" t="s">
        <v>1736</v>
      </c>
      <c r="C509" s="275" t="s">
        <v>446</v>
      </c>
      <c r="D509" s="275" t="s">
        <v>463</v>
      </c>
      <c r="E509" s="321">
        <v>2429</v>
      </c>
      <c r="F509" s="225">
        <v>2429</v>
      </c>
      <c r="G509" s="225">
        <f t="shared" si="7"/>
        <v>100</v>
      </c>
    </row>
    <row r="510" spans="1:7">
      <c r="A510" s="229" t="s">
        <v>93</v>
      </c>
      <c r="B510" s="275" t="s">
        <v>1736</v>
      </c>
      <c r="C510" s="275" t="s">
        <v>550</v>
      </c>
      <c r="D510" s="275"/>
      <c r="E510" s="321">
        <v>1173571</v>
      </c>
      <c r="F510" s="225">
        <v>1173571</v>
      </c>
      <c r="G510" s="225">
        <f t="shared" si="7"/>
        <v>100</v>
      </c>
    </row>
    <row r="511" spans="1:7">
      <c r="A511" s="229" t="s">
        <v>133</v>
      </c>
      <c r="B511" s="275" t="s">
        <v>1736</v>
      </c>
      <c r="C511" s="275" t="s">
        <v>550</v>
      </c>
      <c r="D511" s="275" t="s">
        <v>463</v>
      </c>
      <c r="E511" s="321">
        <v>1173571</v>
      </c>
      <c r="F511" s="225">
        <v>1173571</v>
      </c>
      <c r="G511" s="225">
        <f t="shared" si="7"/>
        <v>100</v>
      </c>
    </row>
    <row r="512" spans="1:7" ht="89.25">
      <c r="A512" s="229" t="s">
        <v>467</v>
      </c>
      <c r="B512" s="275" t="s">
        <v>870</v>
      </c>
      <c r="C512" s="275"/>
      <c r="D512" s="275"/>
      <c r="E512" s="321">
        <v>100000</v>
      </c>
      <c r="F512" s="225">
        <v>71475</v>
      </c>
      <c r="G512" s="225">
        <f t="shared" si="7"/>
        <v>71.474999999999994</v>
      </c>
    </row>
    <row r="513" spans="1:7" ht="25.5">
      <c r="A513" s="229" t="s">
        <v>445</v>
      </c>
      <c r="B513" s="275" t="s">
        <v>870</v>
      </c>
      <c r="C513" s="275" t="s">
        <v>446</v>
      </c>
      <c r="D513" s="275"/>
      <c r="E513" s="321">
        <v>100000</v>
      </c>
      <c r="F513" s="225">
        <v>71475</v>
      </c>
      <c r="G513" s="225">
        <f t="shared" si="7"/>
        <v>71.474999999999994</v>
      </c>
    </row>
    <row r="514" spans="1:7">
      <c r="A514" s="229" t="s">
        <v>133</v>
      </c>
      <c r="B514" s="275" t="s">
        <v>870</v>
      </c>
      <c r="C514" s="275" t="s">
        <v>446</v>
      </c>
      <c r="D514" s="275" t="s">
        <v>463</v>
      </c>
      <c r="E514" s="321">
        <v>100000</v>
      </c>
      <c r="F514" s="225">
        <v>71475</v>
      </c>
      <c r="G514" s="225">
        <f t="shared" si="7"/>
        <v>71.474999999999994</v>
      </c>
    </row>
    <row r="515" spans="1:7" ht="89.25">
      <c r="A515" s="229" t="s">
        <v>468</v>
      </c>
      <c r="B515" s="275" t="s">
        <v>871</v>
      </c>
      <c r="C515" s="275"/>
      <c r="D515" s="275"/>
      <c r="E515" s="321">
        <v>12500</v>
      </c>
      <c r="F515" s="225">
        <v>12500</v>
      </c>
      <c r="G515" s="225">
        <f t="shared" si="7"/>
        <v>100</v>
      </c>
    </row>
    <row r="516" spans="1:7" ht="25.5">
      <c r="A516" s="229" t="s">
        <v>445</v>
      </c>
      <c r="B516" s="275" t="s">
        <v>871</v>
      </c>
      <c r="C516" s="275" t="s">
        <v>446</v>
      </c>
      <c r="D516" s="275"/>
      <c r="E516" s="321">
        <v>12500</v>
      </c>
      <c r="F516" s="225">
        <v>12500</v>
      </c>
      <c r="G516" s="225">
        <f t="shared" si="7"/>
        <v>100</v>
      </c>
    </row>
    <row r="517" spans="1:7">
      <c r="A517" s="229" t="s">
        <v>133</v>
      </c>
      <c r="B517" s="275" t="s">
        <v>871</v>
      </c>
      <c r="C517" s="275" t="s">
        <v>446</v>
      </c>
      <c r="D517" s="275" t="s">
        <v>463</v>
      </c>
      <c r="E517" s="321">
        <v>12500</v>
      </c>
      <c r="F517" s="225">
        <v>12500</v>
      </c>
      <c r="G517" s="225">
        <f t="shared" si="7"/>
        <v>100</v>
      </c>
    </row>
    <row r="518" spans="1:7" ht="76.5">
      <c r="A518" s="229" t="s">
        <v>451</v>
      </c>
      <c r="B518" s="275" t="s">
        <v>854</v>
      </c>
      <c r="C518" s="275"/>
      <c r="D518" s="275"/>
      <c r="E518" s="321">
        <v>57691.51</v>
      </c>
      <c r="F518" s="225">
        <v>57691.51</v>
      </c>
      <c r="G518" s="225">
        <f t="shared" si="7"/>
        <v>100</v>
      </c>
    </row>
    <row r="519" spans="1:7" ht="25.5">
      <c r="A519" s="229" t="s">
        <v>445</v>
      </c>
      <c r="B519" s="275" t="s">
        <v>854</v>
      </c>
      <c r="C519" s="275" t="s">
        <v>446</v>
      </c>
      <c r="D519" s="275"/>
      <c r="E519" s="321">
        <v>57691.51</v>
      </c>
      <c r="F519" s="225">
        <v>57691.51</v>
      </c>
      <c r="G519" s="225">
        <f t="shared" si="7"/>
        <v>100</v>
      </c>
    </row>
    <row r="520" spans="1:7" ht="51">
      <c r="A520" s="229" t="s">
        <v>284</v>
      </c>
      <c r="B520" s="275" t="s">
        <v>854</v>
      </c>
      <c r="C520" s="275" t="s">
        <v>446</v>
      </c>
      <c r="D520" s="275" t="s">
        <v>450</v>
      </c>
      <c r="E520" s="321">
        <v>57691.51</v>
      </c>
      <c r="F520" s="225">
        <v>57691.51</v>
      </c>
      <c r="G520" s="225">
        <f t="shared" ref="G520:G583" si="8">F520/E520*100</f>
        <v>100</v>
      </c>
    </row>
    <row r="521" spans="1:7" ht="89.25">
      <c r="A521" s="229" t="s">
        <v>1737</v>
      </c>
      <c r="B521" s="275" t="s">
        <v>1738</v>
      </c>
      <c r="C521" s="275"/>
      <c r="D521" s="275"/>
      <c r="E521" s="321">
        <v>121.45</v>
      </c>
      <c r="F521" s="225">
        <v>121.45</v>
      </c>
      <c r="G521" s="225">
        <f t="shared" si="8"/>
        <v>100</v>
      </c>
    </row>
    <row r="522" spans="1:7" ht="25.5">
      <c r="A522" s="229" t="s">
        <v>445</v>
      </c>
      <c r="B522" s="275" t="s">
        <v>1738</v>
      </c>
      <c r="C522" s="275" t="s">
        <v>446</v>
      </c>
      <c r="D522" s="275"/>
      <c r="E522" s="321">
        <v>121.45</v>
      </c>
      <c r="F522" s="225">
        <v>121.45</v>
      </c>
      <c r="G522" s="225">
        <f t="shared" si="8"/>
        <v>100</v>
      </c>
    </row>
    <row r="523" spans="1:7">
      <c r="A523" s="229" t="s">
        <v>133</v>
      </c>
      <c r="B523" s="275" t="s">
        <v>1738</v>
      </c>
      <c r="C523" s="275" t="s">
        <v>446</v>
      </c>
      <c r="D523" s="275" t="s">
        <v>463</v>
      </c>
      <c r="E523" s="321">
        <v>121.45</v>
      </c>
      <c r="F523" s="225">
        <v>121.45</v>
      </c>
      <c r="G523" s="225">
        <f t="shared" si="8"/>
        <v>100</v>
      </c>
    </row>
    <row r="524" spans="1:7" ht="38.25">
      <c r="A524" s="229" t="s">
        <v>1825</v>
      </c>
      <c r="B524" s="275" t="s">
        <v>1783</v>
      </c>
      <c r="C524" s="275"/>
      <c r="D524" s="275"/>
      <c r="E524" s="321">
        <v>20000</v>
      </c>
      <c r="F524" s="225">
        <v>19818.73</v>
      </c>
      <c r="G524" s="225">
        <f t="shared" si="8"/>
        <v>99.093649999999997</v>
      </c>
    </row>
    <row r="525" spans="1:7" ht="89.25">
      <c r="A525" s="229" t="s">
        <v>1807</v>
      </c>
      <c r="B525" s="275" t="s">
        <v>1730</v>
      </c>
      <c r="C525" s="275"/>
      <c r="D525" s="275"/>
      <c r="E525" s="321">
        <v>20000</v>
      </c>
      <c r="F525" s="225">
        <v>19818.73</v>
      </c>
      <c r="G525" s="225">
        <f t="shared" si="8"/>
        <v>99.093649999999997</v>
      </c>
    </row>
    <row r="526" spans="1:7" ht="25.5">
      <c r="A526" s="229" t="s">
        <v>445</v>
      </c>
      <c r="B526" s="275" t="s">
        <v>1730</v>
      </c>
      <c r="C526" s="275" t="s">
        <v>446</v>
      </c>
      <c r="D526" s="275"/>
      <c r="E526" s="321">
        <v>20000</v>
      </c>
      <c r="F526" s="225">
        <v>19818.73</v>
      </c>
      <c r="G526" s="225">
        <f t="shared" si="8"/>
        <v>99.093649999999997</v>
      </c>
    </row>
    <row r="527" spans="1:7">
      <c r="A527" s="229" t="s">
        <v>265</v>
      </c>
      <c r="B527" s="275" t="s">
        <v>1730</v>
      </c>
      <c r="C527" s="275" t="s">
        <v>446</v>
      </c>
      <c r="D527" s="275" t="s">
        <v>454</v>
      </c>
      <c r="E527" s="321">
        <v>20000</v>
      </c>
      <c r="F527" s="225">
        <v>19818.73</v>
      </c>
      <c r="G527" s="225">
        <f t="shared" si="8"/>
        <v>99.093649999999997</v>
      </c>
    </row>
    <row r="528" spans="1:7" ht="25.5">
      <c r="A528" s="229" t="s">
        <v>588</v>
      </c>
      <c r="B528" s="275" t="s">
        <v>1212</v>
      </c>
      <c r="C528" s="275"/>
      <c r="D528" s="275"/>
      <c r="E528" s="321">
        <v>217502696.78999999</v>
      </c>
      <c r="F528" s="225">
        <v>204896161.37</v>
      </c>
      <c r="G528" s="225">
        <f t="shared" si="8"/>
        <v>94.203963626174399</v>
      </c>
    </row>
    <row r="529" spans="1:7">
      <c r="A529" s="229" t="s">
        <v>589</v>
      </c>
      <c r="B529" s="275" t="s">
        <v>1213</v>
      </c>
      <c r="C529" s="275"/>
      <c r="D529" s="275"/>
      <c r="E529" s="321">
        <v>41551188.399999999</v>
      </c>
      <c r="F529" s="225">
        <v>38793930</v>
      </c>
      <c r="G529" s="225">
        <f t="shared" si="8"/>
        <v>93.364188832683297</v>
      </c>
    </row>
    <row r="530" spans="1:7" ht="76.5">
      <c r="A530" s="229" t="s">
        <v>1761</v>
      </c>
      <c r="B530" s="275" t="s">
        <v>1762</v>
      </c>
      <c r="C530" s="275"/>
      <c r="D530" s="275"/>
      <c r="E530" s="321">
        <v>888000</v>
      </c>
      <c r="F530" s="225">
        <v>858698.23999999999</v>
      </c>
      <c r="G530" s="225">
        <f t="shared" si="8"/>
        <v>96.700252252252255</v>
      </c>
    </row>
    <row r="531" spans="1:7">
      <c r="A531" s="229" t="s">
        <v>93</v>
      </c>
      <c r="B531" s="275" t="s">
        <v>1762</v>
      </c>
      <c r="C531" s="275" t="s">
        <v>550</v>
      </c>
      <c r="D531" s="275"/>
      <c r="E531" s="321">
        <v>64209</v>
      </c>
      <c r="F531" s="225">
        <v>61911.81</v>
      </c>
      <c r="G531" s="225">
        <f t="shared" si="8"/>
        <v>96.422323973274771</v>
      </c>
    </row>
    <row r="532" spans="1:7">
      <c r="A532" s="229" t="s">
        <v>254</v>
      </c>
      <c r="B532" s="275" t="s">
        <v>1762</v>
      </c>
      <c r="C532" s="275" t="s">
        <v>550</v>
      </c>
      <c r="D532" s="275" t="s">
        <v>510</v>
      </c>
      <c r="E532" s="321">
        <v>64209</v>
      </c>
      <c r="F532" s="225">
        <v>61911.81</v>
      </c>
      <c r="G532" s="225">
        <f t="shared" si="8"/>
        <v>96.422323973274771</v>
      </c>
    </row>
    <row r="533" spans="1:7" ht="51">
      <c r="A533" s="229" t="s">
        <v>465</v>
      </c>
      <c r="B533" s="275" t="s">
        <v>1762</v>
      </c>
      <c r="C533" s="275" t="s">
        <v>466</v>
      </c>
      <c r="D533" s="275"/>
      <c r="E533" s="321">
        <v>823791</v>
      </c>
      <c r="F533" s="225">
        <v>796786.43</v>
      </c>
      <c r="G533" s="225">
        <f t="shared" si="8"/>
        <v>96.721914903173271</v>
      </c>
    </row>
    <row r="534" spans="1:7">
      <c r="A534" s="229" t="s">
        <v>254</v>
      </c>
      <c r="B534" s="275" t="s">
        <v>1762</v>
      </c>
      <c r="C534" s="275" t="s">
        <v>466</v>
      </c>
      <c r="D534" s="275" t="s">
        <v>510</v>
      </c>
      <c r="E534" s="321">
        <v>823791</v>
      </c>
      <c r="F534" s="225">
        <v>796786.43</v>
      </c>
      <c r="G534" s="225">
        <f t="shared" si="8"/>
        <v>96.721914903173271</v>
      </c>
    </row>
    <row r="535" spans="1:7" ht="89.25">
      <c r="A535" s="229" t="s">
        <v>1898</v>
      </c>
      <c r="B535" s="275" t="s">
        <v>1899</v>
      </c>
      <c r="C535" s="275"/>
      <c r="D535" s="275"/>
      <c r="E535" s="321">
        <v>4576480.62</v>
      </c>
      <c r="F535" s="225">
        <v>3856560.39</v>
      </c>
      <c r="G535" s="225">
        <f t="shared" si="8"/>
        <v>84.269129713915405</v>
      </c>
    </row>
    <row r="536" spans="1:7" ht="51">
      <c r="A536" s="229" t="s">
        <v>465</v>
      </c>
      <c r="B536" s="275" t="s">
        <v>1899</v>
      </c>
      <c r="C536" s="275" t="s">
        <v>466</v>
      </c>
      <c r="D536" s="275"/>
      <c r="E536" s="321">
        <v>4576480.62</v>
      </c>
      <c r="F536" s="225">
        <v>3856560.39</v>
      </c>
      <c r="G536" s="225">
        <f t="shared" si="8"/>
        <v>84.269129713915405</v>
      </c>
    </row>
    <row r="537" spans="1:7">
      <c r="A537" s="229" t="s">
        <v>254</v>
      </c>
      <c r="B537" s="275" t="s">
        <v>1899</v>
      </c>
      <c r="C537" s="275" t="s">
        <v>466</v>
      </c>
      <c r="D537" s="275" t="s">
        <v>510</v>
      </c>
      <c r="E537" s="321">
        <v>4576480.62</v>
      </c>
      <c r="F537" s="225">
        <v>3856560.39</v>
      </c>
      <c r="G537" s="225">
        <f t="shared" si="8"/>
        <v>84.269129713915405</v>
      </c>
    </row>
    <row r="538" spans="1:7" ht="89.25">
      <c r="A538" s="229" t="s">
        <v>517</v>
      </c>
      <c r="B538" s="275" t="s">
        <v>917</v>
      </c>
      <c r="C538" s="275"/>
      <c r="D538" s="275"/>
      <c r="E538" s="321">
        <v>25057996.329999998</v>
      </c>
      <c r="F538" s="225">
        <v>23886053.030000001</v>
      </c>
      <c r="G538" s="225">
        <f t="shared" si="8"/>
        <v>95.323076575771864</v>
      </c>
    </row>
    <row r="539" spans="1:7" ht="51">
      <c r="A539" s="229" t="s">
        <v>465</v>
      </c>
      <c r="B539" s="275" t="s">
        <v>917</v>
      </c>
      <c r="C539" s="275" t="s">
        <v>466</v>
      </c>
      <c r="D539" s="275"/>
      <c r="E539" s="321">
        <v>25057996.329999998</v>
      </c>
      <c r="F539" s="225">
        <v>23886053.030000001</v>
      </c>
      <c r="G539" s="225">
        <f t="shared" si="8"/>
        <v>95.323076575771864</v>
      </c>
    </row>
    <row r="540" spans="1:7">
      <c r="A540" s="229" t="s">
        <v>254</v>
      </c>
      <c r="B540" s="275" t="s">
        <v>917</v>
      </c>
      <c r="C540" s="275" t="s">
        <v>466</v>
      </c>
      <c r="D540" s="275" t="s">
        <v>510</v>
      </c>
      <c r="E540" s="321">
        <v>25057996.329999998</v>
      </c>
      <c r="F540" s="225">
        <v>23886053.030000001</v>
      </c>
      <c r="G540" s="225">
        <f t="shared" si="8"/>
        <v>95.323076575771864</v>
      </c>
    </row>
    <row r="541" spans="1:7" ht="114.75">
      <c r="A541" s="229" t="s">
        <v>518</v>
      </c>
      <c r="B541" s="275" t="s">
        <v>918</v>
      </c>
      <c r="C541" s="275"/>
      <c r="D541" s="275"/>
      <c r="E541" s="321">
        <v>4120101.67</v>
      </c>
      <c r="F541" s="225">
        <v>4120101.67</v>
      </c>
      <c r="G541" s="225">
        <f t="shared" si="8"/>
        <v>100</v>
      </c>
    </row>
    <row r="542" spans="1:7" ht="51">
      <c r="A542" s="229" t="s">
        <v>465</v>
      </c>
      <c r="B542" s="275" t="s">
        <v>918</v>
      </c>
      <c r="C542" s="275" t="s">
        <v>466</v>
      </c>
      <c r="D542" s="275"/>
      <c r="E542" s="321">
        <v>4120101.67</v>
      </c>
      <c r="F542" s="225">
        <v>4120101.67</v>
      </c>
      <c r="G542" s="225">
        <f t="shared" si="8"/>
        <v>100</v>
      </c>
    </row>
    <row r="543" spans="1:7">
      <c r="A543" s="229" t="s">
        <v>254</v>
      </c>
      <c r="B543" s="275" t="s">
        <v>918</v>
      </c>
      <c r="C543" s="275" t="s">
        <v>466</v>
      </c>
      <c r="D543" s="275" t="s">
        <v>510</v>
      </c>
      <c r="E543" s="321">
        <v>4120101.67</v>
      </c>
      <c r="F543" s="225">
        <v>4120101.67</v>
      </c>
      <c r="G543" s="225">
        <f t="shared" si="8"/>
        <v>100</v>
      </c>
    </row>
    <row r="544" spans="1:7" ht="89.25">
      <c r="A544" s="229" t="s">
        <v>1303</v>
      </c>
      <c r="B544" s="275" t="s">
        <v>1304</v>
      </c>
      <c r="C544" s="275"/>
      <c r="D544" s="275"/>
      <c r="E544" s="321">
        <v>29000</v>
      </c>
      <c r="F544" s="225">
        <v>22195.56</v>
      </c>
      <c r="G544" s="225">
        <f t="shared" si="8"/>
        <v>76.536413793103449</v>
      </c>
    </row>
    <row r="545" spans="1:7" ht="51">
      <c r="A545" s="229" t="s">
        <v>465</v>
      </c>
      <c r="B545" s="275" t="s">
        <v>1304</v>
      </c>
      <c r="C545" s="275" t="s">
        <v>466</v>
      </c>
      <c r="D545" s="275"/>
      <c r="E545" s="321">
        <v>29000</v>
      </c>
      <c r="F545" s="225">
        <v>22195.56</v>
      </c>
      <c r="G545" s="225">
        <f t="shared" si="8"/>
        <v>76.536413793103449</v>
      </c>
    </row>
    <row r="546" spans="1:7">
      <c r="A546" s="229" t="s">
        <v>254</v>
      </c>
      <c r="B546" s="275" t="s">
        <v>1304</v>
      </c>
      <c r="C546" s="275" t="s">
        <v>466</v>
      </c>
      <c r="D546" s="275" t="s">
        <v>510</v>
      </c>
      <c r="E546" s="321">
        <v>29000</v>
      </c>
      <c r="F546" s="225">
        <v>22195.56</v>
      </c>
      <c r="G546" s="225">
        <f t="shared" si="8"/>
        <v>76.536413793103449</v>
      </c>
    </row>
    <row r="547" spans="1:7" ht="76.5">
      <c r="A547" s="229" t="s">
        <v>642</v>
      </c>
      <c r="B547" s="275" t="s">
        <v>919</v>
      </c>
      <c r="C547" s="275"/>
      <c r="D547" s="275"/>
      <c r="E547" s="321">
        <v>510908</v>
      </c>
      <c r="F547" s="225">
        <v>510908</v>
      </c>
      <c r="G547" s="225">
        <f t="shared" si="8"/>
        <v>100</v>
      </c>
    </row>
    <row r="548" spans="1:7">
      <c r="A548" s="229" t="s">
        <v>484</v>
      </c>
      <c r="B548" s="275" t="s">
        <v>919</v>
      </c>
      <c r="C548" s="275" t="s">
        <v>485</v>
      </c>
      <c r="D548" s="275"/>
      <c r="E548" s="321">
        <v>510908</v>
      </c>
      <c r="F548" s="225">
        <v>510908</v>
      </c>
      <c r="G548" s="225">
        <f t="shared" si="8"/>
        <v>100</v>
      </c>
    </row>
    <row r="549" spans="1:7">
      <c r="A549" s="229" t="s">
        <v>254</v>
      </c>
      <c r="B549" s="275" t="s">
        <v>919</v>
      </c>
      <c r="C549" s="275" t="s">
        <v>485</v>
      </c>
      <c r="D549" s="275" t="s">
        <v>510</v>
      </c>
      <c r="E549" s="321">
        <v>510908</v>
      </c>
      <c r="F549" s="225">
        <v>510908</v>
      </c>
      <c r="G549" s="225">
        <f t="shared" si="8"/>
        <v>100</v>
      </c>
    </row>
    <row r="550" spans="1:7" ht="89.25">
      <c r="A550" s="229" t="s">
        <v>733</v>
      </c>
      <c r="B550" s="275" t="s">
        <v>920</v>
      </c>
      <c r="C550" s="275"/>
      <c r="D550" s="275"/>
      <c r="E550" s="321">
        <v>2987473.78</v>
      </c>
      <c r="F550" s="225">
        <v>2539951.23</v>
      </c>
      <c r="G550" s="225">
        <f t="shared" si="8"/>
        <v>85.020034217672702</v>
      </c>
    </row>
    <row r="551" spans="1:7" ht="51">
      <c r="A551" s="229" t="s">
        <v>465</v>
      </c>
      <c r="B551" s="275" t="s">
        <v>920</v>
      </c>
      <c r="C551" s="275" t="s">
        <v>466</v>
      </c>
      <c r="D551" s="275"/>
      <c r="E551" s="321">
        <v>2987473.78</v>
      </c>
      <c r="F551" s="225">
        <v>2539951.23</v>
      </c>
      <c r="G551" s="225">
        <f t="shared" si="8"/>
        <v>85.020034217672702</v>
      </c>
    </row>
    <row r="552" spans="1:7">
      <c r="A552" s="229" t="s">
        <v>254</v>
      </c>
      <c r="B552" s="275" t="s">
        <v>920</v>
      </c>
      <c r="C552" s="275" t="s">
        <v>466</v>
      </c>
      <c r="D552" s="275" t="s">
        <v>510</v>
      </c>
      <c r="E552" s="321">
        <v>2987473.78</v>
      </c>
      <c r="F552" s="225">
        <v>2539951.23</v>
      </c>
      <c r="G552" s="225">
        <f t="shared" si="8"/>
        <v>85.020034217672702</v>
      </c>
    </row>
    <row r="553" spans="1:7" ht="76.5">
      <c r="A553" s="229" t="s">
        <v>1175</v>
      </c>
      <c r="B553" s="275" t="s">
        <v>1176</v>
      </c>
      <c r="C553" s="275"/>
      <c r="D553" s="275"/>
      <c r="E553" s="321">
        <v>672000</v>
      </c>
      <c r="F553" s="225">
        <v>627199.13</v>
      </c>
      <c r="G553" s="225">
        <f t="shared" si="8"/>
        <v>93.333203869047622</v>
      </c>
    </row>
    <row r="554" spans="1:7" ht="51">
      <c r="A554" s="229" t="s">
        <v>465</v>
      </c>
      <c r="B554" s="275" t="s">
        <v>1176</v>
      </c>
      <c r="C554" s="275" t="s">
        <v>466</v>
      </c>
      <c r="D554" s="275"/>
      <c r="E554" s="321">
        <v>672000</v>
      </c>
      <c r="F554" s="225">
        <v>627199.13</v>
      </c>
      <c r="G554" s="225">
        <f t="shared" si="8"/>
        <v>93.333203869047622</v>
      </c>
    </row>
    <row r="555" spans="1:7">
      <c r="A555" s="229" t="s">
        <v>254</v>
      </c>
      <c r="B555" s="275" t="s">
        <v>1176</v>
      </c>
      <c r="C555" s="275" t="s">
        <v>466</v>
      </c>
      <c r="D555" s="275" t="s">
        <v>510</v>
      </c>
      <c r="E555" s="321">
        <v>672000</v>
      </c>
      <c r="F555" s="225">
        <v>627199.13</v>
      </c>
      <c r="G555" s="225">
        <f t="shared" si="8"/>
        <v>93.333203869047622</v>
      </c>
    </row>
    <row r="556" spans="1:7" ht="51">
      <c r="A556" s="229" t="s">
        <v>520</v>
      </c>
      <c r="B556" s="275" t="s">
        <v>926</v>
      </c>
      <c r="C556" s="275"/>
      <c r="D556" s="275"/>
      <c r="E556" s="321">
        <v>150901.68</v>
      </c>
      <c r="F556" s="225">
        <v>144626.68</v>
      </c>
      <c r="G556" s="225">
        <f t="shared" si="8"/>
        <v>95.8416632604753</v>
      </c>
    </row>
    <row r="557" spans="1:7">
      <c r="A557" s="229" t="s">
        <v>484</v>
      </c>
      <c r="B557" s="275" t="s">
        <v>926</v>
      </c>
      <c r="C557" s="275" t="s">
        <v>485</v>
      </c>
      <c r="D557" s="275"/>
      <c r="E557" s="321">
        <v>150901.68</v>
      </c>
      <c r="F557" s="225">
        <v>144626.68</v>
      </c>
      <c r="G557" s="225">
        <f t="shared" si="8"/>
        <v>95.8416632604753</v>
      </c>
    </row>
    <row r="558" spans="1:7">
      <c r="A558" s="229" t="s">
        <v>254</v>
      </c>
      <c r="B558" s="275" t="s">
        <v>926</v>
      </c>
      <c r="C558" s="275" t="s">
        <v>485</v>
      </c>
      <c r="D558" s="275" t="s">
        <v>510</v>
      </c>
      <c r="E558" s="321">
        <v>150901.68</v>
      </c>
      <c r="F558" s="225">
        <v>144626.68</v>
      </c>
      <c r="G558" s="225">
        <f t="shared" si="8"/>
        <v>95.8416632604753</v>
      </c>
    </row>
    <row r="559" spans="1:7" ht="38.25">
      <c r="A559" s="229" t="s">
        <v>521</v>
      </c>
      <c r="B559" s="275" t="s">
        <v>927</v>
      </c>
      <c r="C559" s="275"/>
      <c r="D559" s="275"/>
      <c r="E559" s="321">
        <v>111097.32</v>
      </c>
      <c r="F559" s="225">
        <v>25000</v>
      </c>
      <c r="G559" s="225">
        <f t="shared" si="8"/>
        <v>22.502793046672949</v>
      </c>
    </row>
    <row r="560" spans="1:7">
      <c r="A560" s="229" t="s">
        <v>484</v>
      </c>
      <c r="B560" s="275" t="s">
        <v>927</v>
      </c>
      <c r="C560" s="275" t="s">
        <v>485</v>
      </c>
      <c r="D560" s="275"/>
      <c r="E560" s="321">
        <v>111097.32</v>
      </c>
      <c r="F560" s="225">
        <v>25000</v>
      </c>
      <c r="G560" s="225">
        <f t="shared" si="8"/>
        <v>22.502793046672949</v>
      </c>
    </row>
    <row r="561" spans="1:7">
      <c r="A561" s="229" t="s">
        <v>254</v>
      </c>
      <c r="B561" s="275" t="s">
        <v>927</v>
      </c>
      <c r="C561" s="275" t="s">
        <v>485</v>
      </c>
      <c r="D561" s="275" t="s">
        <v>510</v>
      </c>
      <c r="E561" s="321">
        <v>111097.32</v>
      </c>
      <c r="F561" s="225">
        <v>25000</v>
      </c>
      <c r="G561" s="225">
        <f t="shared" si="8"/>
        <v>22.502793046672949</v>
      </c>
    </row>
    <row r="562" spans="1:7" ht="51">
      <c r="A562" s="229" t="s">
        <v>1763</v>
      </c>
      <c r="B562" s="275" t="s">
        <v>1764</v>
      </c>
      <c r="C562" s="275"/>
      <c r="D562" s="275"/>
      <c r="E562" s="321">
        <v>1945</v>
      </c>
      <c r="F562" s="225">
        <v>1945</v>
      </c>
      <c r="G562" s="225">
        <f t="shared" si="8"/>
        <v>100</v>
      </c>
    </row>
    <row r="563" spans="1:7">
      <c r="A563" s="229" t="s">
        <v>484</v>
      </c>
      <c r="B563" s="275" t="s">
        <v>1764</v>
      </c>
      <c r="C563" s="275" t="s">
        <v>485</v>
      </c>
      <c r="D563" s="275"/>
      <c r="E563" s="321">
        <v>1945</v>
      </c>
      <c r="F563" s="225">
        <v>1945</v>
      </c>
      <c r="G563" s="225">
        <f t="shared" si="8"/>
        <v>100</v>
      </c>
    </row>
    <row r="564" spans="1:7">
      <c r="A564" s="229" t="s">
        <v>254</v>
      </c>
      <c r="B564" s="275" t="s">
        <v>1764</v>
      </c>
      <c r="C564" s="275" t="s">
        <v>485</v>
      </c>
      <c r="D564" s="275" t="s">
        <v>510</v>
      </c>
      <c r="E564" s="321">
        <v>1945</v>
      </c>
      <c r="F564" s="225">
        <v>1945</v>
      </c>
      <c r="G564" s="225">
        <f t="shared" si="8"/>
        <v>100</v>
      </c>
    </row>
    <row r="565" spans="1:7" ht="38.25">
      <c r="A565" s="229" t="s">
        <v>1765</v>
      </c>
      <c r="B565" s="275" t="s">
        <v>1766</v>
      </c>
      <c r="C565" s="275"/>
      <c r="D565" s="275"/>
      <c r="E565" s="321">
        <v>361700</v>
      </c>
      <c r="F565" s="225">
        <v>361700</v>
      </c>
      <c r="G565" s="225">
        <f t="shared" si="8"/>
        <v>100</v>
      </c>
    </row>
    <row r="566" spans="1:7">
      <c r="A566" s="229" t="s">
        <v>484</v>
      </c>
      <c r="B566" s="275" t="s">
        <v>1766</v>
      </c>
      <c r="C566" s="275" t="s">
        <v>485</v>
      </c>
      <c r="D566" s="275"/>
      <c r="E566" s="321">
        <v>361700</v>
      </c>
      <c r="F566" s="225">
        <v>361700</v>
      </c>
      <c r="G566" s="225">
        <f t="shared" si="8"/>
        <v>100</v>
      </c>
    </row>
    <row r="567" spans="1:7">
      <c r="A567" s="229" t="s">
        <v>254</v>
      </c>
      <c r="B567" s="275" t="s">
        <v>1766</v>
      </c>
      <c r="C567" s="275" t="s">
        <v>485</v>
      </c>
      <c r="D567" s="275" t="s">
        <v>510</v>
      </c>
      <c r="E567" s="321">
        <v>361700</v>
      </c>
      <c r="F567" s="225">
        <v>361700</v>
      </c>
      <c r="G567" s="225">
        <f t="shared" si="8"/>
        <v>100</v>
      </c>
    </row>
    <row r="568" spans="1:7" ht="63.75">
      <c r="A568" s="229" t="s">
        <v>1810</v>
      </c>
      <c r="B568" s="275" t="s">
        <v>1811</v>
      </c>
      <c r="C568" s="275"/>
      <c r="D568" s="275"/>
      <c r="E568" s="321">
        <v>86100</v>
      </c>
      <c r="F568" s="225">
        <v>86100</v>
      </c>
      <c r="G568" s="225">
        <f t="shared" si="8"/>
        <v>100</v>
      </c>
    </row>
    <row r="569" spans="1:7">
      <c r="A569" s="229" t="s">
        <v>484</v>
      </c>
      <c r="B569" s="275" t="s">
        <v>1811</v>
      </c>
      <c r="C569" s="275" t="s">
        <v>485</v>
      </c>
      <c r="D569" s="275"/>
      <c r="E569" s="321">
        <v>86100</v>
      </c>
      <c r="F569" s="225">
        <v>86100</v>
      </c>
      <c r="G569" s="225">
        <f t="shared" si="8"/>
        <v>100</v>
      </c>
    </row>
    <row r="570" spans="1:7">
      <c r="A570" s="229" t="s">
        <v>254</v>
      </c>
      <c r="B570" s="275" t="s">
        <v>1811</v>
      </c>
      <c r="C570" s="275" t="s">
        <v>485</v>
      </c>
      <c r="D570" s="275" t="s">
        <v>510</v>
      </c>
      <c r="E570" s="321">
        <v>86100</v>
      </c>
      <c r="F570" s="225">
        <v>86100</v>
      </c>
      <c r="G570" s="225">
        <f t="shared" si="8"/>
        <v>100</v>
      </c>
    </row>
    <row r="571" spans="1:7" ht="51">
      <c r="A571" s="229" t="s">
        <v>519</v>
      </c>
      <c r="B571" s="275" t="s">
        <v>922</v>
      </c>
      <c r="C571" s="275"/>
      <c r="D571" s="275"/>
      <c r="E571" s="321">
        <v>1590411.85</v>
      </c>
      <c r="F571" s="225">
        <v>1438203.18</v>
      </c>
      <c r="G571" s="225">
        <f t="shared" si="8"/>
        <v>90.429606645599364</v>
      </c>
    </row>
    <row r="572" spans="1:7" ht="51">
      <c r="A572" s="229" t="s">
        <v>465</v>
      </c>
      <c r="B572" s="275" t="s">
        <v>922</v>
      </c>
      <c r="C572" s="275" t="s">
        <v>466</v>
      </c>
      <c r="D572" s="275"/>
      <c r="E572" s="321">
        <v>1560411.85</v>
      </c>
      <c r="F572" s="225">
        <v>1408235.18</v>
      </c>
      <c r="G572" s="225">
        <f t="shared" si="8"/>
        <v>90.247659936701965</v>
      </c>
    </row>
    <row r="573" spans="1:7">
      <c r="A573" s="229" t="s">
        <v>254</v>
      </c>
      <c r="B573" s="275" t="s">
        <v>922</v>
      </c>
      <c r="C573" s="275" t="s">
        <v>466</v>
      </c>
      <c r="D573" s="275" t="s">
        <v>510</v>
      </c>
      <c r="E573" s="321">
        <v>1560411.85</v>
      </c>
      <c r="F573" s="225">
        <v>1408235.18</v>
      </c>
      <c r="G573" s="225">
        <f t="shared" si="8"/>
        <v>90.247659936701965</v>
      </c>
    </row>
    <row r="574" spans="1:7">
      <c r="A574" s="229" t="s">
        <v>484</v>
      </c>
      <c r="B574" s="275" t="s">
        <v>922</v>
      </c>
      <c r="C574" s="275" t="s">
        <v>485</v>
      </c>
      <c r="D574" s="275"/>
      <c r="E574" s="321">
        <v>30000</v>
      </c>
      <c r="F574" s="225">
        <v>29968</v>
      </c>
      <c r="G574" s="225">
        <f t="shared" si="8"/>
        <v>99.893333333333331</v>
      </c>
    </row>
    <row r="575" spans="1:7">
      <c r="A575" s="229" t="s">
        <v>254</v>
      </c>
      <c r="B575" s="275" t="s">
        <v>922</v>
      </c>
      <c r="C575" s="275" t="s">
        <v>485</v>
      </c>
      <c r="D575" s="275" t="s">
        <v>510</v>
      </c>
      <c r="E575" s="321">
        <v>30000</v>
      </c>
      <c r="F575" s="225">
        <v>29968</v>
      </c>
      <c r="G575" s="225">
        <f t="shared" si="8"/>
        <v>99.893333333333331</v>
      </c>
    </row>
    <row r="576" spans="1:7" ht="89.25">
      <c r="A576" s="229" t="s">
        <v>1884</v>
      </c>
      <c r="B576" s="275" t="s">
        <v>1812</v>
      </c>
      <c r="C576" s="275"/>
      <c r="D576" s="275"/>
      <c r="E576" s="321">
        <v>64209</v>
      </c>
      <c r="F576" s="225">
        <v>61911.81</v>
      </c>
      <c r="G576" s="225">
        <f t="shared" si="8"/>
        <v>96.422323973274771</v>
      </c>
    </row>
    <row r="577" spans="1:7" ht="51">
      <c r="A577" s="229" t="s">
        <v>465</v>
      </c>
      <c r="B577" s="275" t="s">
        <v>1812</v>
      </c>
      <c r="C577" s="275" t="s">
        <v>466</v>
      </c>
      <c r="D577" s="275"/>
      <c r="E577" s="321">
        <v>64209</v>
      </c>
      <c r="F577" s="225">
        <v>61911.81</v>
      </c>
      <c r="G577" s="225">
        <f t="shared" si="8"/>
        <v>96.422323973274771</v>
      </c>
    </row>
    <row r="578" spans="1:7">
      <c r="A578" s="229" t="s">
        <v>254</v>
      </c>
      <c r="B578" s="275" t="s">
        <v>1812</v>
      </c>
      <c r="C578" s="275" t="s">
        <v>466</v>
      </c>
      <c r="D578" s="275" t="s">
        <v>510</v>
      </c>
      <c r="E578" s="321">
        <v>64209</v>
      </c>
      <c r="F578" s="225">
        <v>61911.81</v>
      </c>
      <c r="G578" s="225">
        <f t="shared" si="8"/>
        <v>96.422323973274771</v>
      </c>
    </row>
    <row r="579" spans="1:7" ht="102">
      <c r="A579" s="229" t="s">
        <v>798</v>
      </c>
      <c r="B579" s="275" t="s">
        <v>923</v>
      </c>
      <c r="C579" s="275"/>
      <c r="D579" s="275"/>
      <c r="E579" s="321">
        <v>49015.15</v>
      </c>
      <c r="F579" s="225">
        <v>49015.15</v>
      </c>
      <c r="G579" s="225">
        <f t="shared" si="8"/>
        <v>100</v>
      </c>
    </row>
    <row r="580" spans="1:7" ht="51">
      <c r="A580" s="229" t="s">
        <v>465</v>
      </c>
      <c r="B580" s="275" t="s">
        <v>923</v>
      </c>
      <c r="C580" s="275" t="s">
        <v>466</v>
      </c>
      <c r="D580" s="275"/>
      <c r="E580" s="321">
        <v>49015.15</v>
      </c>
      <c r="F580" s="225">
        <v>49015.15</v>
      </c>
      <c r="G580" s="225">
        <f t="shared" si="8"/>
        <v>100</v>
      </c>
    </row>
    <row r="581" spans="1:7">
      <c r="A581" s="229" t="s">
        <v>254</v>
      </c>
      <c r="B581" s="275" t="s">
        <v>923</v>
      </c>
      <c r="C581" s="275" t="s">
        <v>466</v>
      </c>
      <c r="D581" s="275" t="s">
        <v>510</v>
      </c>
      <c r="E581" s="321">
        <v>49015.15</v>
      </c>
      <c r="F581" s="225">
        <v>49015.15</v>
      </c>
      <c r="G581" s="225">
        <f t="shared" si="8"/>
        <v>100</v>
      </c>
    </row>
    <row r="582" spans="1:7" ht="76.5">
      <c r="A582" s="229" t="s">
        <v>644</v>
      </c>
      <c r="B582" s="275" t="s">
        <v>924</v>
      </c>
      <c r="C582" s="275"/>
      <c r="D582" s="275"/>
      <c r="E582" s="321">
        <v>100000</v>
      </c>
      <c r="F582" s="225">
        <v>27781.88</v>
      </c>
      <c r="G582" s="225">
        <f t="shared" si="8"/>
        <v>27.781880000000005</v>
      </c>
    </row>
    <row r="583" spans="1:7">
      <c r="A583" s="229" t="s">
        <v>484</v>
      </c>
      <c r="B583" s="275" t="s">
        <v>924</v>
      </c>
      <c r="C583" s="275" t="s">
        <v>485</v>
      </c>
      <c r="D583" s="275"/>
      <c r="E583" s="321">
        <v>100000</v>
      </c>
      <c r="F583" s="225">
        <v>27781.88</v>
      </c>
      <c r="G583" s="225">
        <f t="shared" si="8"/>
        <v>27.781880000000005</v>
      </c>
    </row>
    <row r="584" spans="1:7">
      <c r="A584" s="229" t="s">
        <v>254</v>
      </c>
      <c r="B584" s="275" t="s">
        <v>924</v>
      </c>
      <c r="C584" s="275" t="s">
        <v>485</v>
      </c>
      <c r="D584" s="275" t="s">
        <v>510</v>
      </c>
      <c r="E584" s="321">
        <v>100000</v>
      </c>
      <c r="F584" s="225">
        <v>27781.88</v>
      </c>
      <c r="G584" s="225">
        <f t="shared" ref="G584:G647" si="9">F584/E584*100</f>
        <v>27.781880000000005</v>
      </c>
    </row>
    <row r="585" spans="1:7" ht="76.5">
      <c r="A585" s="229" t="s">
        <v>734</v>
      </c>
      <c r="B585" s="275" t="s">
        <v>925</v>
      </c>
      <c r="C585" s="275"/>
      <c r="D585" s="275"/>
      <c r="E585" s="321">
        <v>56634</v>
      </c>
      <c r="F585" s="225">
        <v>47740.01</v>
      </c>
      <c r="G585" s="225">
        <f t="shared" si="9"/>
        <v>84.295670445315537</v>
      </c>
    </row>
    <row r="586" spans="1:7" ht="51">
      <c r="A586" s="229" t="s">
        <v>465</v>
      </c>
      <c r="B586" s="275" t="s">
        <v>925</v>
      </c>
      <c r="C586" s="275" t="s">
        <v>466</v>
      </c>
      <c r="D586" s="275"/>
      <c r="E586" s="321">
        <v>56634</v>
      </c>
      <c r="F586" s="225">
        <v>47740.01</v>
      </c>
      <c r="G586" s="225">
        <f t="shared" si="9"/>
        <v>84.295670445315537</v>
      </c>
    </row>
    <row r="587" spans="1:7">
      <c r="A587" s="229" t="s">
        <v>254</v>
      </c>
      <c r="B587" s="275" t="s">
        <v>925</v>
      </c>
      <c r="C587" s="275" t="s">
        <v>466</v>
      </c>
      <c r="D587" s="275" t="s">
        <v>510</v>
      </c>
      <c r="E587" s="321">
        <v>56634</v>
      </c>
      <c r="F587" s="225">
        <v>47740.01</v>
      </c>
      <c r="G587" s="225">
        <f t="shared" si="9"/>
        <v>84.295670445315537</v>
      </c>
    </row>
    <row r="588" spans="1:7" ht="76.5">
      <c r="A588" s="229" t="s">
        <v>1177</v>
      </c>
      <c r="B588" s="275" t="s">
        <v>1178</v>
      </c>
      <c r="C588" s="275"/>
      <c r="D588" s="275"/>
      <c r="E588" s="321">
        <v>137214</v>
      </c>
      <c r="F588" s="225">
        <v>128239.03999999999</v>
      </c>
      <c r="G588" s="225">
        <f t="shared" si="9"/>
        <v>93.45915139854533</v>
      </c>
    </row>
    <row r="589" spans="1:7" ht="51">
      <c r="A589" s="229" t="s">
        <v>465</v>
      </c>
      <c r="B589" s="275" t="s">
        <v>1178</v>
      </c>
      <c r="C589" s="275" t="s">
        <v>466</v>
      </c>
      <c r="D589" s="275"/>
      <c r="E589" s="321">
        <v>137214</v>
      </c>
      <c r="F589" s="225">
        <v>128239.03999999999</v>
      </c>
      <c r="G589" s="225">
        <f t="shared" si="9"/>
        <v>93.45915139854533</v>
      </c>
    </row>
    <row r="590" spans="1:7">
      <c r="A590" s="229" t="s">
        <v>254</v>
      </c>
      <c r="B590" s="275" t="s">
        <v>1178</v>
      </c>
      <c r="C590" s="275" t="s">
        <v>466</v>
      </c>
      <c r="D590" s="275" t="s">
        <v>510</v>
      </c>
      <c r="E590" s="321">
        <v>137214</v>
      </c>
      <c r="F590" s="225">
        <v>128239.03999999999</v>
      </c>
      <c r="G590" s="225">
        <f t="shared" si="9"/>
        <v>93.45915139854533</v>
      </c>
    </row>
    <row r="591" spans="1:7">
      <c r="A591" s="229" t="s">
        <v>759</v>
      </c>
      <c r="B591" s="275" t="s">
        <v>1214</v>
      </c>
      <c r="C591" s="275"/>
      <c r="D591" s="275"/>
      <c r="E591" s="321">
        <v>93783944.620000005</v>
      </c>
      <c r="F591" s="225">
        <v>86878112.349999994</v>
      </c>
      <c r="G591" s="225">
        <f t="shared" si="9"/>
        <v>92.636445078119152</v>
      </c>
    </row>
    <row r="592" spans="1:7" ht="89.25">
      <c r="A592" s="229" t="s">
        <v>1900</v>
      </c>
      <c r="B592" s="275" t="s">
        <v>1901</v>
      </c>
      <c r="C592" s="275"/>
      <c r="D592" s="275"/>
      <c r="E592" s="321">
        <v>7954519.3799999999</v>
      </c>
      <c r="F592" s="225">
        <v>7731918.2400000002</v>
      </c>
      <c r="G592" s="225">
        <f t="shared" si="9"/>
        <v>97.201576495499097</v>
      </c>
    </row>
    <row r="593" spans="1:7">
      <c r="A593" s="229" t="s">
        <v>93</v>
      </c>
      <c r="B593" s="275" t="s">
        <v>1901</v>
      </c>
      <c r="C593" s="275" t="s">
        <v>550</v>
      </c>
      <c r="D593" s="275"/>
      <c r="E593" s="321">
        <v>106684.29</v>
      </c>
      <c r="F593" s="225">
        <v>106684.29</v>
      </c>
      <c r="G593" s="225">
        <f t="shared" si="9"/>
        <v>100</v>
      </c>
    </row>
    <row r="594" spans="1:7">
      <c r="A594" s="229" t="s">
        <v>254</v>
      </c>
      <c r="B594" s="275" t="s">
        <v>1901</v>
      </c>
      <c r="C594" s="275" t="s">
        <v>550</v>
      </c>
      <c r="D594" s="275" t="s">
        <v>510</v>
      </c>
      <c r="E594" s="321">
        <v>106684.29</v>
      </c>
      <c r="F594" s="225">
        <v>106684.29</v>
      </c>
      <c r="G594" s="225">
        <f t="shared" si="9"/>
        <v>100</v>
      </c>
    </row>
    <row r="595" spans="1:7" ht="51">
      <c r="A595" s="229" t="s">
        <v>465</v>
      </c>
      <c r="B595" s="275" t="s">
        <v>1901</v>
      </c>
      <c r="C595" s="275" t="s">
        <v>466</v>
      </c>
      <c r="D595" s="275"/>
      <c r="E595" s="321">
        <v>7847835.0899999999</v>
      </c>
      <c r="F595" s="225">
        <v>7625233.9500000002</v>
      </c>
      <c r="G595" s="225">
        <f t="shared" si="9"/>
        <v>97.163534434054981</v>
      </c>
    </row>
    <row r="596" spans="1:7">
      <c r="A596" s="229" t="s">
        <v>254</v>
      </c>
      <c r="B596" s="275" t="s">
        <v>1901</v>
      </c>
      <c r="C596" s="275" t="s">
        <v>466</v>
      </c>
      <c r="D596" s="275" t="s">
        <v>510</v>
      </c>
      <c r="E596" s="321">
        <v>7847835.0899999999</v>
      </c>
      <c r="F596" s="225">
        <v>7625233.9500000002</v>
      </c>
      <c r="G596" s="225">
        <f t="shared" si="9"/>
        <v>97.163534434054981</v>
      </c>
    </row>
    <row r="597" spans="1:7" ht="89.25">
      <c r="A597" s="229" t="s">
        <v>645</v>
      </c>
      <c r="B597" s="275" t="s">
        <v>929</v>
      </c>
      <c r="C597" s="275"/>
      <c r="D597" s="275"/>
      <c r="E597" s="321">
        <v>33849156.299999997</v>
      </c>
      <c r="F597" s="225">
        <v>31331728.940000001</v>
      </c>
      <c r="G597" s="225">
        <f t="shared" si="9"/>
        <v>92.562806181375947</v>
      </c>
    </row>
    <row r="598" spans="1:7" ht="51">
      <c r="A598" s="229" t="s">
        <v>465</v>
      </c>
      <c r="B598" s="275" t="s">
        <v>929</v>
      </c>
      <c r="C598" s="275" t="s">
        <v>466</v>
      </c>
      <c r="D598" s="275"/>
      <c r="E598" s="321">
        <v>33849156.299999997</v>
      </c>
      <c r="F598" s="225">
        <v>31331728.940000001</v>
      </c>
      <c r="G598" s="225">
        <f t="shared" si="9"/>
        <v>92.562806181375947</v>
      </c>
    </row>
    <row r="599" spans="1:7">
      <c r="A599" s="229" t="s">
        <v>254</v>
      </c>
      <c r="B599" s="275" t="s">
        <v>929</v>
      </c>
      <c r="C599" s="275" t="s">
        <v>466</v>
      </c>
      <c r="D599" s="275" t="s">
        <v>510</v>
      </c>
      <c r="E599" s="321">
        <v>33849156.299999997</v>
      </c>
      <c r="F599" s="225">
        <v>31331728.940000001</v>
      </c>
      <c r="G599" s="225">
        <f t="shared" si="9"/>
        <v>92.562806181375947</v>
      </c>
    </row>
    <row r="600" spans="1:7" ht="114.75">
      <c r="A600" s="229" t="s">
        <v>646</v>
      </c>
      <c r="B600" s="275" t="s">
        <v>930</v>
      </c>
      <c r="C600" s="275"/>
      <c r="D600" s="275"/>
      <c r="E600" s="321">
        <v>7575081.7000000002</v>
      </c>
      <c r="F600" s="225">
        <v>7575081.7000000002</v>
      </c>
      <c r="G600" s="225">
        <f t="shared" si="9"/>
        <v>100</v>
      </c>
    </row>
    <row r="601" spans="1:7" ht="51">
      <c r="A601" s="229" t="s">
        <v>465</v>
      </c>
      <c r="B601" s="275" t="s">
        <v>930</v>
      </c>
      <c r="C601" s="275" t="s">
        <v>466</v>
      </c>
      <c r="D601" s="275"/>
      <c r="E601" s="321">
        <v>7575081.7000000002</v>
      </c>
      <c r="F601" s="225">
        <v>7575081.7000000002</v>
      </c>
      <c r="G601" s="225">
        <f t="shared" si="9"/>
        <v>100</v>
      </c>
    </row>
    <row r="602" spans="1:7">
      <c r="A602" s="229" t="s">
        <v>254</v>
      </c>
      <c r="B602" s="275" t="s">
        <v>930</v>
      </c>
      <c r="C602" s="275" t="s">
        <v>466</v>
      </c>
      <c r="D602" s="275" t="s">
        <v>510</v>
      </c>
      <c r="E602" s="321">
        <v>7575081.7000000002</v>
      </c>
      <c r="F602" s="225">
        <v>7575081.7000000002</v>
      </c>
      <c r="G602" s="225">
        <f t="shared" si="9"/>
        <v>100</v>
      </c>
    </row>
    <row r="603" spans="1:7" ht="76.5">
      <c r="A603" s="229" t="s">
        <v>648</v>
      </c>
      <c r="B603" s="275" t="s">
        <v>932</v>
      </c>
      <c r="C603" s="275"/>
      <c r="D603" s="275"/>
      <c r="E603" s="321">
        <v>696626.61</v>
      </c>
      <c r="F603" s="225">
        <v>693479.14</v>
      </c>
      <c r="G603" s="225">
        <f t="shared" si="9"/>
        <v>99.548184069511791</v>
      </c>
    </row>
    <row r="604" spans="1:7">
      <c r="A604" s="229" t="s">
        <v>484</v>
      </c>
      <c r="B604" s="275" t="s">
        <v>932</v>
      </c>
      <c r="C604" s="275" t="s">
        <v>485</v>
      </c>
      <c r="D604" s="275"/>
      <c r="E604" s="321">
        <v>696626.61</v>
      </c>
      <c r="F604" s="225">
        <v>693479.14</v>
      </c>
      <c r="G604" s="225">
        <f t="shared" si="9"/>
        <v>99.548184069511791</v>
      </c>
    </row>
    <row r="605" spans="1:7">
      <c r="A605" s="229" t="s">
        <v>254</v>
      </c>
      <c r="B605" s="275" t="s">
        <v>932</v>
      </c>
      <c r="C605" s="275" t="s">
        <v>485</v>
      </c>
      <c r="D605" s="275" t="s">
        <v>510</v>
      </c>
      <c r="E605" s="321">
        <v>696626.61</v>
      </c>
      <c r="F605" s="225">
        <v>693479.14</v>
      </c>
      <c r="G605" s="225">
        <f t="shared" si="9"/>
        <v>99.548184069511791</v>
      </c>
    </row>
    <row r="606" spans="1:7" ht="89.25">
      <c r="A606" s="229" t="s">
        <v>735</v>
      </c>
      <c r="B606" s="275" t="s">
        <v>933</v>
      </c>
      <c r="C606" s="275"/>
      <c r="D606" s="275"/>
      <c r="E606" s="321">
        <v>13453806.52</v>
      </c>
      <c r="F606" s="225">
        <v>11852973.01</v>
      </c>
      <c r="G606" s="225">
        <f t="shared" si="9"/>
        <v>88.101259612881663</v>
      </c>
    </row>
    <row r="607" spans="1:7" ht="51">
      <c r="A607" s="229" t="s">
        <v>465</v>
      </c>
      <c r="B607" s="275" t="s">
        <v>933</v>
      </c>
      <c r="C607" s="275" t="s">
        <v>466</v>
      </c>
      <c r="D607" s="275"/>
      <c r="E607" s="321">
        <v>13453806.52</v>
      </c>
      <c r="F607" s="225">
        <v>11852973.01</v>
      </c>
      <c r="G607" s="225">
        <f t="shared" si="9"/>
        <v>88.101259612881663</v>
      </c>
    </row>
    <row r="608" spans="1:7">
      <c r="A608" s="229" t="s">
        <v>254</v>
      </c>
      <c r="B608" s="275" t="s">
        <v>933</v>
      </c>
      <c r="C608" s="275" t="s">
        <v>466</v>
      </c>
      <c r="D608" s="275" t="s">
        <v>510</v>
      </c>
      <c r="E608" s="321">
        <v>13453806.52</v>
      </c>
      <c r="F608" s="225">
        <v>11852973.01</v>
      </c>
      <c r="G608" s="225">
        <f t="shared" si="9"/>
        <v>88.101259612881663</v>
      </c>
    </row>
    <row r="609" spans="1:7" ht="76.5">
      <c r="A609" s="229" t="s">
        <v>1179</v>
      </c>
      <c r="B609" s="275" t="s">
        <v>1180</v>
      </c>
      <c r="C609" s="275"/>
      <c r="D609" s="275"/>
      <c r="E609" s="321">
        <v>1562226</v>
      </c>
      <c r="F609" s="225">
        <v>1524884.2</v>
      </c>
      <c r="G609" s="225">
        <f t="shared" si="9"/>
        <v>97.609705637980667</v>
      </c>
    </row>
    <row r="610" spans="1:7" ht="51">
      <c r="A610" s="229" t="s">
        <v>465</v>
      </c>
      <c r="B610" s="275" t="s">
        <v>1180</v>
      </c>
      <c r="C610" s="275" t="s">
        <v>466</v>
      </c>
      <c r="D610" s="275"/>
      <c r="E610" s="321">
        <v>1562226</v>
      </c>
      <c r="F610" s="225">
        <v>1524884.2</v>
      </c>
      <c r="G610" s="225">
        <f t="shared" si="9"/>
        <v>97.609705637980667</v>
      </c>
    </row>
    <row r="611" spans="1:7">
      <c r="A611" s="229" t="s">
        <v>254</v>
      </c>
      <c r="B611" s="275" t="s">
        <v>1180</v>
      </c>
      <c r="C611" s="275" t="s">
        <v>466</v>
      </c>
      <c r="D611" s="275" t="s">
        <v>510</v>
      </c>
      <c r="E611" s="321">
        <v>1562226</v>
      </c>
      <c r="F611" s="225">
        <v>1524884.2</v>
      </c>
      <c r="G611" s="225">
        <f t="shared" si="9"/>
        <v>97.609705637980667</v>
      </c>
    </row>
    <row r="612" spans="1:7" ht="51">
      <c r="A612" s="229" t="s">
        <v>637</v>
      </c>
      <c r="B612" s="275" t="s">
        <v>911</v>
      </c>
      <c r="C612" s="275"/>
      <c r="D612" s="275"/>
      <c r="E612" s="321">
        <v>3592550</v>
      </c>
      <c r="F612" s="225">
        <v>3342868</v>
      </c>
      <c r="G612" s="225">
        <f t="shared" si="9"/>
        <v>93.050006262960849</v>
      </c>
    </row>
    <row r="613" spans="1:7">
      <c r="A613" s="229" t="s">
        <v>484</v>
      </c>
      <c r="B613" s="275" t="s">
        <v>911</v>
      </c>
      <c r="C613" s="275" t="s">
        <v>485</v>
      </c>
      <c r="D613" s="275"/>
      <c r="E613" s="321">
        <v>3592550</v>
      </c>
      <c r="F613" s="225">
        <v>3342868</v>
      </c>
      <c r="G613" s="225">
        <f t="shared" si="9"/>
        <v>93.050006262960849</v>
      </c>
    </row>
    <row r="614" spans="1:7">
      <c r="A614" s="229" t="s">
        <v>1442</v>
      </c>
      <c r="B614" s="275" t="s">
        <v>911</v>
      </c>
      <c r="C614" s="275" t="s">
        <v>485</v>
      </c>
      <c r="D614" s="275" t="s">
        <v>1443</v>
      </c>
      <c r="E614" s="321">
        <v>158550</v>
      </c>
      <c r="F614" s="225">
        <v>158550</v>
      </c>
      <c r="G614" s="225">
        <f t="shared" si="9"/>
        <v>100</v>
      </c>
    </row>
    <row r="615" spans="1:7">
      <c r="A615" s="229" t="s">
        <v>254</v>
      </c>
      <c r="B615" s="275" t="s">
        <v>911</v>
      </c>
      <c r="C615" s="275" t="s">
        <v>485</v>
      </c>
      <c r="D615" s="275" t="s">
        <v>510</v>
      </c>
      <c r="E615" s="321">
        <v>3434000</v>
      </c>
      <c r="F615" s="225">
        <v>3184318</v>
      </c>
      <c r="G615" s="225">
        <f t="shared" si="9"/>
        <v>92.729120559114733</v>
      </c>
    </row>
    <row r="616" spans="1:7" ht="63.75">
      <c r="A616" s="229" t="s">
        <v>649</v>
      </c>
      <c r="B616" s="275" t="s">
        <v>934</v>
      </c>
      <c r="C616" s="275"/>
      <c r="D616" s="275"/>
      <c r="E616" s="321">
        <v>16078558</v>
      </c>
      <c r="F616" s="225">
        <v>15331382.859999999</v>
      </c>
      <c r="G616" s="225">
        <f t="shared" si="9"/>
        <v>95.352971703059438</v>
      </c>
    </row>
    <row r="617" spans="1:7" ht="51">
      <c r="A617" s="229" t="s">
        <v>465</v>
      </c>
      <c r="B617" s="275" t="s">
        <v>934</v>
      </c>
      <c r="C617" s="275" t="s">
        <v>466</v>
      </c>
      <c r="D617" s="275"/>
      <c r="E617" s="321">
        <v>16078558</v>
      </c>
      <c r="F617" s="225">
        <v>15331382.859999999</v>
      </c>
      <c r="G617" s="225">
        <f t="shared" si="9"/>
        <v>95.352971703059438</v>
      </c>
    </row>
    <row r="618" spans="1:7">
      <c r="A618" s="229" t="s">
        <v>254</v>
      </c>
      <c r="B618" s="275" t="s">
        <v>934</v>
      </c>
      <c r="C618" s="275" t="s">
        <v>466</v>
      </c>
      <c r="D618" s="275" t="s">
        <v>510</v>
      </c>
      <c r="E618" s="321">
        <v>16078558</v>
      </c>
      <c r="F618" s="225">
        <v>15331382.859999999</v>
      </c>
      <c r="G618" s="225">
        <f t="shared" si="9"/>
        <v>95.352971703059438</v>
      </c>
    </row>
    <row r="619" spans="1:7" ht="114.75">
      <c r="A619" s="229" t="s">
        <v>650</v>
      </c>
      <c r="B619" s="275" t="s">
        <v>935</v>
      </c>
      <c r="C619" s="275"/>
      <c r="D619" s="275"/>
      <c r="E619" s="321">
        <v>3256034.11</v>
      </c>
      <c r="F619" s="225">
        <v>2926479.3</v>
      </c>
      <c r="G619" s="225">
        <f t="shared" si="9"/>
        <v>89.87864380818786</v>
      </c>
    </row>
    <row r="620" spans="1:7" ht="51">
      <c r="A620" s="229" t="s">
        <v>465</v>
      </c>
      <c r="B620" s="275" t="s">
        <v>935</v>
      </c>
      <c r="C620" s="275" t="s">
        <v>466</v>
      </c>
      <c r="D620" s="275"/>
      <c r="E620" s="321">
        <v>3256034.11</v>
      </c>
      <c r="F620" s="225">
        <v>2926479.3</v>
      </c>
      <c r="G620" s="225">
        <f t="shared" si="9"/>
        <v>89.87864380818786</v>
      </c>
    </row>
    <row r="621" spans="1:7">
      <c r="A621" s="229" t="s">
        <v>254</v>
      </c>
      <c r="B621" s="275" t="s">
        <v>935</v>
      </c>
      <c r="C621" s="275" t="s">
        <v>466</v>
      </c>
      <c r="D621" s="275" t="s">
        <v>510</v>
      </c>
      <c r="E621" s="321">
        <v>3256034.11</v>
      </c>
      <c r="F621" s="225">
        <v>2926479.3</v>
      </c>
      <c r="G621" s="225">
        <f t="shared" si="9"/>
        <v>89.87864380818786</v>
      </c>
    </row>
    <row r="622" spans="1:7" ht="89.25">
      <c r="A622" s="229" t="s">
        <v>652</v>
      </c>
      <c r="B622" s="275" t="s">
        <v>937</v>
      </c>
      <c r="C622" s="275"/>
      <c r="D622" s="275"/>
      <c r="E622" s="321">
        <v>721770</v>
      </c>
      <c r="F622" s="225">
        <v>385001.93</v>
      </c>
      <c r="G622" s="225">
        <f t="shared" si="9"/>
        <v>53.341359435831357</v>
      </c>
    </row>
    <row r="623" spans="1:7">
      <c r="A623" s="229" t="s">
        <v>484</v>
      </c>
      <c r="B623" s="275" t="s">
        <v>937</v>
      </c>
      <c r="C623" s="275" t="s">
        <v>485</v>
      </c>
      <c r="D623" s="275"/>
      <c r="E623" s="321">
        <v>721770</v>
      </c>
      <c r="F623" s="225">
        <v>385001.93</v>
      </c>
      <c r="G623" s="225">
        <f t="shared" si="9"/>
        <v>53.341359435831357</v>
      </c>
    </row>
    <row r="624" spans="1:7">
      <c r="A624" s="229" t="s">
        <v>254</v>
      </c>
      <c r="B624" s="275" t="s">
        <v>937</v>
      </c>
      <c r="C624" s="275" t="s">
        <v>485</v>
      </c>
      <c r="D624" s="275" t="s">
        <v>510</v>
      </c>
      <c r="E624" s="321">
        <v>721770</v>
      </c>
      <c r="F624" s="225">
        <v>385001.93</v>
      </c>
      <c r="G624" s="225">
        <f t="shared" si="9"/>
        <v>53.341359435831357</v>
      </c>
    </row>
    <row r="625" spans="1:7" ht="76.5">
      <c r="A625" s="229" t="s">
        <v>736</v>
      </c>
      <c r="B625" s="275" t="s">
        <v>938</v>
      </c>
      <c r="C625" s="275"/>
      <c r="D625" s="275"/>
      <c r="E625" s="321">
        <v>4310842</v>
      </c>
      <c r="F625" s="225">
        <v>3470721.53</v>
      </c>
      <c r="G625" s="225">
        <f t="shared" si="9"/>
        <v>80.511452982967128</v>
      </c>
    </row>
    <row r="626" spans="1:7" ht="51">
      <c r="A626" s="229" t="s">
        <v>465</v>
      </c>
      <c r="B626" s="275" t="s">
        <v>938</v>
      </c>
      <c r="C626" s="275" t="s">
        <v>466</v>
      </c>
      <c r="D626" s="275"/>
      <c r="E626" s="321">
        <v>4310842</v>
      </c>
      <c r="F626" s="225">
        <v>3470721.53</v>
      </c>
      <c r="G626" s="225">
        <f t="shared" si="9"/>
        <v>80.511452982967128</v>
      </c>
    </row>
    <row r="627" spans="1:7">
      <c r="A627" s="229" t="s">
        <v>254</v>
      </c>
      <c r="B627" s="275" t="s">
        <v>938</v>
      </c>
      <c r="C627" s="275" t="s">
        <v>466</v>
      </c>
      <c r="D627" s="275" t="s">
        <v>510</v>
      </c>
      <c r="E627" s="321">
        <v>4310842</v>
      </c>
      <c r="F627" s="225">
        <v>3470721.53</v>
      </c>
      <c r="G627" s="225">
        <f t="shared" si="9"/>
        <v>80.511452982967128</v>
      </c>
    </row>
    <row r="628" spans="1:7" ht="76.5">
      <c r="A628" s="229" t="s">
        <v>1181</v>
      </c>
      <c r="B628" s="275" t="s">
        <v>1182</v>
      </c>
      <c r="C628" s="275"/>
      <c r="D628" s="275"/>
      <c r="E628" s="321">
        <v>732774</v>
      </c>
      <c r="F628" s="225">
        <v>711593.5</v>
      </c>
      <c r="G628" s="225">
        <f t="shared" si="9"/>
        <v>97.109545371424204</v>
      </c>
    </row>
    <row r="629" spans="1:7" ht="51">
      <c r="A629" s="229" t="s">
        <v>465</v>
      </c>
      <c r="B629" s="275" t="s">
        <v>1182</v>
      </c>
      <c r="C629" s="275" t="s">
        <v>466</v>
      </c>
      <c r="D629" s="275"/>
      <c r="E629" s="321">
        <v>732774</v>
      </c>
      <c r="F629" s="225">
        <v>711593.5</v>
      </c>
      <c r="G629" s="225">
        <f t="shared" si="9"/>
        <v>97.109545371424204</v>
      </c>
    </row>
    <row r="630" spans="1:7">
      <c r="A630" s="229" t="s">
        <v>254</v>
      </c>
      <c r="B630" s="275" t="s">
        <v>1182</v>
      </c>
      <c r="C630" s="275" t="s">
        <v>466</v>
      </c>
      <c r="D630" s="275" t="s">
        <v>510</v>
      </c>
      <c r="E630" s="321">
        <v>732774</v>
      </c>
      <c r="F630" s="225">
        <v>711593.5</v>
      </c>
      <c r="G630" s="225">
        <f t="shared" si="9"/>
        <v>97.109545371424204</v>
      </c>
    </row>
    <row r="631" spans="1:7" ht="25.5">
      <c r="A631" s="229" t="s">
        <v>760</v>
      </c>
      <c r="B631" s="275" t="s">
        <v>1215</v>
      </c>
      <c r="C631" s="275"/>
      <c r="D631" s="275"/>
      <c r="E631" s="321">
        <v>82167563.769999996</v>
      </c>
      <c r="F631" s="225">
        <v>79224119.019999996</v>
      </c>
      <c r="G631" s="225">
        <f t="shared" si="9"/>
        <v>96.417753411505331</v>
      </c>
    </row>
    <row r="632" spans="1:7" ht="89.25">
      <c r="A632" s="229" t="s">
        <v>1896</v>
      </c>
      <c r="B632" s="275" t="s">
        <v>1897</v>
      </c>
      <c r="C632" s="275"/>
      <c r="D632" s="275"/>
      <c r="E632" s="321">
        <v>1017100</v>
      </c>
      <c r="F632" s="225">
        <v>1011794.88</v>
      </c>
      <c r="G632" s="225">
        <f t="shared" si="9"/>
        <v>99.478407236259955</v>
      </c>
    </row>
    <row r="633" spans="1:7" ht="51">
      <c r="A633" s="229" t="s">
        <v>465</v>
      </c>
      <c r="B633" s="275" t="s">
        <v>1897</v>
      </c>
      <c r="C633" s="275" t="s">
        <v>466</v>
      </c>
      <c r="D633" s="275"/>
      <c r="E633" s="321">
        <v>1017100</v>
      </c>
      <c r="F633" s="225">
        <v>1011794.88</v>
      </c>
      <c r="G633" s="225">
        <f t="shared" si="9"/>
        <v>99.478407236259955</v>
      </c>
    </row>
    <row r="634" spans="1:7">
      <c r="A634" s="229" t="s">
        <v>1442</v>
      </c>
      <c r="B634" s="275" t="s">
        <v>1897</v>
      </c>
      <c r="C634" s="275" t="s">
        <v>466</v>
      </c>
      <c r="D634" s="275" t="s">
        <v>1443</v>
      </c>
      <c r="E634" s="321">
        <v>1017100</v>
      </c>
      <c r="F634" s="225">
        <v>1011794.88</v>
      </c>
      <c r="G634" s="225">
        <f t="shared" si="9"/>
        <v>99.478407236259955</v>
      </c>
    </row>
    <row r="635" spans="1:7" ht="102">
      <c r="A635" s="229" t="s">
        <v>638</v>
      </c>
      <c r="B635" s="275" t="s">
        <v>912</v>
      </c>
      <c r="C635" s="275"/>
      <c r="D635" s="275"/>
      <c r="E635" s="321">
        <v>45207012.289999999</v>
      </c>
      <c r="F635" s="225">
        <v>44366114.649999999</v>
      </c>
      <c r="G635" s="225">
        <f t="shared" si="9"/>
        <v>98.1398955661885</v>
      </c>
    </row>
    <row r="636" spans="1:7">
      <c r="A636" s="229" t="s">
        <v>1603</v>
      </c>
      <c r="B636" s="275" t="s">
        <v>912</v>
      </c>
      <c r="C636" s="275" t="s">
        <v>460</v>
      </c>
      <c r="D636" s="275"/>
      <c r="E636" s="321">
        <v>9423030</v>
      </c>
      <c r="F636" s="225">
        <v>9415643.4700000007</v>
      </c>
      <c r="G636" s="225">
        <f t="shared" si="9"/>
        <v>99.921611944353359</v>
      </c>
    </row>
    <row r="637" spans="1:7">
      <c r="A637" s="229" t="s">
        <v>0</v>
      </c>
      <c r="B637" s="275" t="s">
        <v>912</v>
      </c>
      <c r="C637" s="275" t="s">
        <v>460</v>
      </c>
      <c r="D637" s="275" t="s">
        <v>522</v>
      </c>
      <c r="E637" s="321">
        <v>9423030</v>
      </c>
      <c r="F637" s="225">
        <v>9415643.4700000007</v>
      </c>
      <c r="G637" s="225">
        <f t="shared" si="9"/>
        <v>99.921611944353359</v>
      </c>
    </row>
    <row r="638" spans="1:7" ht="25.5">
      <c r="A638" s="229" t="s">
        <v>1617</v>
      </c>
      <c r="B638" s="275" t="s">
        <v>912</v>
      </c>
      <c r="C638" s="275" t="s">
        <v>509</v>
      </c>
      <c r="D638" s="275"/>
      <c r="E638" s="321">
        <v>33658.58</v>
      </c>
      <c r="F638" s="225">
        <v>33658.58</v>
      </c>
      <c r="G638" s="225">
        <f t="shared" si="9"/>
        <v>100</v>
      </c>
    </row>
    <row r="639" spans="1:7">
      <c r="A639" s="229" t="s">
        <v>0</v>
      </c>
      <c r="B639" s="275" t="s">
        <v>912</v>
      </c>
      <c r="C639" s="275" t="s">
        <v>509</v>
      </c>
      <c r="D639" s="275" t="s">
        <v>522</v>
      </c>
      <c r="E639" s="321">
        <v>33658.58</v>
      </c>
      <c r="F639" s="225">
        <v>33658.58</v>
      </c>
      <c r="G639" s="225">
        <f t="shared" si="9"/>
        <v>100</v>
      </c>
    </row>
    <row r="640" spans="1:7" ht="38.25">
      <c r="A640" s="229" t="s">
        <v>1604</v>
      </c>
      <c r="B640" s="275" t="s">
        <v>912</v>
      </c>
      <c r="C640" s="275" t="s">
        <v>1290</v>
      </c>
      <c r="D640" s="275"/>
      <c r="E640" s="321">
        <v>2882253</v>
      </c>
      <c r="F640" s="225">
        <v>2879503.76</v>
      </c>
      <c r="G640" s="225">
        <f t="shared" si="9"/>
        <v>99.904614896749166</v>
      </c>
    </row>
    <row r="641" spans="1:7">
      <c r="A641" s="229" t="s">
        <v>0</v>
      </c>
      <c r="B641" s="275" t="s">
        <v>912</v>
      </c>
      <c r="C641" s="275" t="s">
        <v>1290</v>
      </c>
      <c r="D641" s="275" t="s">
        <v>522</v>
      </c>
      <c r="E641" s="321">
        <v>2882253</v>
      </c>
      <c r="F641" s="225">
        <v>2879503.76</v>
      </c>
      <c r="G641" s="225">
        <f t="shared" si="9"/>
        <v>99.904614896749166</v>
      </c>
    </row>
    <row r="642" spans="1:7" ht="25.5">
      <c r="A642" s="229" t="s">
        <v>445</v>
      </c>
      <c r="B642" s="275" t="s">
        <v>912</v>
      </c>
      <c r="C642" s="275" t="s">
        <v>446</v>
      </c>
      <c r="D642" s="275"/>
      <c r="E642" s="321">
        <v>1786799.64</v>
      </c>
      <c r="F642" s="225">
        <v>1557329.29</v>
      </c>
      <c r="G642" s="225">
        <f t="shared" si="9"/>
        <v>87.157466071573651</v>
      </c>
    </row>
    <row r="643" spans="1:7">
      <c r="A643" s="229" t="s">
        <v>0</v>
      </c>
      <c r="B643" s="275" t="s">
        <v>912</v>
      </c>
      <c r="C643" s="275" t="s">
        <v>446</v>
      </c>
      <c r="D643" s="275" t="s">
        <v>522</v>
      </c>
      <c r="E643" s="321">
        <v>1786799.64</v>
      </c>
      <c r="F643" s="225">
        <v>1557329.29</v>
      </c>
      <c r="G643" s="225">
        <f t="shared" si="9"/>
        <v>87.157466071573651</v>
      </c>
    </row>
    <row r="644" spans="1:7" ht="51">
      <c r="A644" s="229" t="s">
        <v>465</v>
      </c>
      <c r="B644" s="275" t="s">
        <v>912</v>
      </c>
      <c r="C644" s="275" t="s">
        <v>466</v>
      </c>
      <c r="D644" s="275"/>
      <c r="E644" s="321">
        <v>31081009.050000001</v>
      </c>
      <c r="F644" s="225">
        <v>30479717.530000001</v>
      </c>
      <c r="G644" s="225">
        <f t="shared" si="9"/>
        <v>98.065405408708898</v>
      </c>
    </row>
    <row r="645" spans="1:7">
      <c r="A645" s="229" t="s">
        <v>1442</v>
      </c>
      <c r="B645" s="275" t="s">
        <v>912</v>
      </c>
      <c r="C645" s="275" t="s">
        <v>466</v>
      </c>
      <c r="D645" s="275" t="s">
        <v>1443</v>
      </c>
      <c r="E645" s="321">
        <v>31081009.050000001</v>
      </c>
      <c r="F645" s="225">
        <v>30479717.530000001</v>
      </c>
      <c r="G645" s="225">
        <f t="shared" si="9"/>
        <v>98.065405408708898</v>
      </c>
    </row>
    <row r="646" spans="1:7">
      <c r="A646" s="229" t="s">
        <v>1293</v>
      </c>
      <c r="B646" s="275" t="s">
        <v>912</v>
      </c>
      <c r="C646" s="275" t="s">
        <v>1294</v>
      </c>
      <c r="D646" s="275"/>
      <c r="E646" s="321">
        <v>262.02</v>
      </c>
      <c r="F646" s="225">
        <v>262.02</v>
      </c>
      <c r="G646" s="225">
        <f t="shared" si="9"/>
        <v>100</v>
      </c>
    </row>
    <row r="647" spans="1:7">
      <c r="A647" s="229" t="s">
        <v>0</v>
      </c>
      <c r="B647" s="275" t="s">
        <v>912</v>
      </c>
      <c r="C647" s="275" t="s">
        <v>1294</v>
      </c>
      <c r="D647" s="275" t="s">
        <v>522</v>
      </c>
      <c r="E647" s="321">
        <v>262.02</v>
      </c>
      <c r="F647" s="225">
        <v>262.02</v>
      </c>
      <c r="G647" s="225">
        <f t="shared" si="9"/>
        <v>100</v>
      </c>
    </row>
    <row r="648" spans="1:7" ht="63.75">
      <c r="A648" s="229" t="s">
        <v>1867</v>
      </c>
      <c r="B648" s="275" t="s">
        <v>1868</v>
      </c>
      <c r="C648" s="275"/>
      <c r="D648" s="275"/>
      <c r="E648" s="321">
        <v>5945459</v>
      </c>
      <c r="F648" s="225">
        <v>5867357.04</v>
      </c>
      <c r="G648" s="225">
        <f t="shared" ref="G648:G711" si="10">F648/E648*100</f>
        <v>98.686359455174113</v>
      </c>
    </row>
    <row r="649" spans="1:7">
      <c r="A649" s="229" t="s">
        <v>1603</v>
      </c>
      <c r="B649" s="275" t="s">
        <v>1868</v>
      </c>
      <c r="C649" s="275" t="s">
        <v>460</v>
      </c>
      <c r="D649" s="275"/>
      <c r="E649" s="321">
        <v>4472762</v>
      </c>
      <c r="F649" s="225">
        <v>4394660.26</v>
      </c>
      <c r="G649" s="225">
        <f t="shared" si="10"/>
        <v>98.253836443790206</v>
      </c>
    </row>
    <row r="650" spans="1:7">
      <c r="A650" s="229" t="s">
        <v>0</v>
      </c>
      <c r="B650" s="275" t="s">
        <v>1868</v>
      </c>
      <c r="C650" s="275" t="s">
        <v>460</v>
      </c>
      <c r="D650" s="275" t="s">
        <v>522</v>
      </c>
      <c r="E650" s="321">
        <v>4472762</v>
      </c>
      <c r="F650" s="225">
        <v>4394660.26</v>
      </c>
      <c r="G650" s="225">
        <f t="shared" si="10"/>
        <v>98.253836443790206</v>
      </c>
    </row>
    <row r="651" spans="1:7" ht="25.5">
      <c r="A651" s="229" t="s">
        <v>1617</v>
      </c>
      <c r="B651" s="275" t="s">
        <v>1868</v>
      </c>
      <c r="C651" s="275" t="s">
        <v>509</v>
      </c>
      <c r="D651" s="275"/>
      <c r="E651" s="321">
        <v>1170</v>
      </c>
      <c r="F651" s="225">
        <v>1170</v>
      </c>
      <c r="G651" s="225">
        <f t="shared" si="10"/>
        <v>100</v>
      </c>
    </row>
    <row r="652" spans="1:7">
      <c r="A652" s="229" t="s">
        <v>0</v>
      </c>
      <c r="B652" s="275" t="s">
        <v>1868</v>
      </c>
      <c r="C652" s="275" t="s">
        <v>509</v>
      </c>
      <c r="D652" s="275" t="s">
        <v>522</v>
      </c>
      <c r="E652" s="321">
        <v>1170</v>
      </c>
      <c r="F652" s="225">
        <v>1170</v>
      </c>
      <c r="G652" s="225">
        <f t="shared" si="10"/>
        <v>100</v>
      </c>
    </row>
    <row r="653" spans="1:7" ht="38.25">
      <c r="A653" s="229" t="s">
        <v>1604</v>
      </c>
      <c r="B653" s="275" t="s">
        <v>1868</v>
      </c>
      <c r="C653" s="275" t="s">
        <v>1290</v>
      </c>
      <c r="D653" s="275"/>
      <c r="E653" s="321">
        <v>1471527</v>
      </c>
      <c r="F653" s="225">
        <v>1471526.78</v>
      </c>
      <c r="G653" s="225">
        <f t="shared" si="10"/>
        <v>99.999985049543767</v>
      </c>
    </row>
    <row r="654" spans="1:7">
      <c r="A654" s="229" t="s">
        <v>0</v>
      </c>
      <c r="B654" s="275" t="s">
        <v>1868</v>
      </c>
      <c r="C654" s="275" t="s">
        <v>1290</v>
      </c>
      <c r="D654" s="275" t="s">
        <v>522</v>
      </c>
      <c r="E654" s="321">
        <v>1471527</v>
      </c>
      <c r="F654" s="225">
        <v>1471526.78</v>
      </c>
      <c r="G654" s="225">
        <f t="shared" si="10"/>
        <v>99.999985049543767</v>
      </c>
    </row>
    <row r="655" spans="1:7" ht="127.5">
      <c r="A655" s="229" t="s">
        <v>639</v>
      </c>
      <c r="B655" s="275" t="s">
        <v>913</v>
      </c>
      <c r="C655" s="275"/>
      <c r="D655" s="275"/>
      <c r="E655" s="321">
        <v>8030000</v>
      </c>
      <c r="F655" s="225">
        <v>7256871.0499999998</v>
      </c>
      <c r="G655" s="225">
        <f t="shared" si="10"/>
        <v>90.371993150684929</v>
      </c>
    </row>
    <row r="656" spans="1:7">
      <c r="A656" s="229" t="s">
        <v>1603</v>
      </c>
      <c r="B656" s="275" t="s">
        <v>913</v>
      </c>
      <c r="C656" s="275" t="s">
        <v>460</v>
      </c>
      <c r="D656" s="275"/>
      <c r="E656" s="321">
        <v>604360</v>
      </c>
      <c r="F656" s="225">
        <v>533906.23</v>
      </c>
      <c r="G656" s="225">
        <f t="shared" si="10"/>
        <v>88.342416771460719</v>
      </c>
    </row>
    <row r="657" spans="1:7">
      <c r="A657" s="229" t="s">
        <v>0</v>
      </c>
      <c r="B657" s="275" t="s">
        <v>913</v>
      </c>
      <c r="C657" s="275" t="s">
        <v>460</v>
      </c>
      <c r="D657" s="275" t="s">
        <v>522</v>
      </c>
      <c r="E657" s="321">
        <v>604360</v>
      </c>
      <c r="F657" s="225">
        <v>533906.23</v>
      </c>
      <c r="G657" s="225">
        <f t="shared" si="10"/>
        <v>88.342416771460719</v>
      </c>
    </row>
    <row r="658" spans="1:7" ht="38.25">
      <c r="A658" s="229" t="s">
        <v>1604</v>
      </c>
      <c r="B658" s="275" t="s">
        <v>913</v>
      </c>
      <c r="C658" s="275" t="s">
        <v>1290</v>
      </c>
      <c r="D658" s="275"/>
      <c r="E658" s="321">
        <v>198140</v>
      </c>
      <c r="F658" s="225">
        <v>147080.07</v>
      </c>
      <c r="G658" s="225">
        <f t="shared" si="10"/>
        <v>74.230377510850914</v>
      </c>
    </row>
    <row r="659" spans="1:7">
      <c r="A659" s="229" t="s">
        <v>0</v>
      </c>
      <c r="B659" s="275" t="s">
        <v>913</v>
      </c>
      <c r="C659" s="275" t="s">
        <v>1290</v>
      </c>
      <c r="D659" s="275" t="s">
        <v>522</v>
      </c>
      <c r="E659" s="321">
        <v>198140</v>
      </c>
      <c r="F659" s="225">
        <v>147080.07</v>
      </c>
      <c r="G659" s="225">
        <f t="shared" si="10"/>
        <v>74.230377510850914</v>
      </c>
    </row>
    <row r="660" spans="1:7" ht="51">
      <c r="A660" s="229" t="s">
        <v>465</v>
      </c>
      <c r="B660" s="275" t="s">
        <v>913</v>
      </c>
      <c r="C660" s="275" t="s">
        <v>466</v>
      </c>
      <c r="D660" s="275"/>
      <c r="E660" s="321">
        <v>7227500</v>
      </c>
      <c r="F660" s="225">
        <v>6575884.75</v>
      </c>
      <c r="G660" s="225">
        <f t="shared" si="10"/>
        <v>90.984223452092706</v>
      </c>
    </row>
    <row r="661" spans="1:7">
      <c r="A661" s="229" t="s">
        <v>1442</v>
      </c>
      <c r="B661" s="275" t="s">
        <v>913</v>
      </c>
      <c r="C661" s="275" t="s">
        <v>466</v>
      </c>
      <c r="D661" s="275" t="s">
        <v>1443</v>
      </c>
      <c r="E661" s="321">
        <v>7227500</v>
      </c>
      <c r="F661" s="225">
        <v>6575884.75</v>
      </c>
      <c r="G661" s="225">
        <f t="shared" si="10"/>
        <v>90.984223452092706</v>
      </c>
    </row>
    <row r="662" spans="1:7" ht="89.25">
      <c r="A662" s="229" t="s">
        <v>1869</v>
      </c>
      <c r="B662" s="275" t="s">
        <v>1870</v>
      </c>
      <c r="C662" s="275"/>
      <c r="D662" s="275"/>
      <c r="E662" s="321">
        <v>9348494</v>
      </c>
      <c r="F662" s="225">
        <v>8961836.2699999996</v>
      </c>
      <c r="G662" s="225">
        <f t="shared" si="10"/>
        <v>95.863957018103662</v>
      </c>
    </row>
    <row r="663" spans="1:7">
      <c r="A663" s="229" t="s">
        <v>1603</v>
      </c>
      <c r="B663" s="275" t="s">
        <v>1870</v>
      </c>
      <c r="C663" s="275" t="s">
        <v>460</v>
      </c>
      <c r="D663" s="275"/>
      <c r="E663" s="321">
        <v>7180101</v>
      </c>
      <c r="F663" s="225">
        <v>7016324.54</v>
      </c>
      <c r="G663" s="225">
        <f t="shared" si="10"/>
        <v>97.719022893967647</v>
      </c>
    </row>
    <row r="664" spans="1:7">
      <c r="A664" s="229" t="s">
        <v>0</v>
      </c>
      <c r="B664" s="275" t="s">
        <v>1870</v>
      </c>
      <c r="C664" s="275" t="s">
        <v>460</v>
      </c>
      <c r="D664" s="275" t="s">
        <v>522</v>
      </c>
      <c r="E664" s="321">
        <v>7180101</v>
      </c>
      <c r="F664" s="225">
        <v>7016324.54</v>
      </c>
      <c r="G664" s="225">
        <f t="shared" si="10"/>
        <v>97.719022893967647</v>
      </c>
    </row>
    <row r="665" spans="1:7" ht="38.25">
      <c r="A665" s="229" t="s">
        <v>1604</v>
      </c>
      <c r="B665" s="275" t="s">
        <v>1870</v>
      </c>
      <c r="C665" s="275" t="s">
        <v>1290</v>
      </c>
      <c r="D665" s="275"/>
      <c r="E665" s="321">
        <v>2168393</v>
      </c>
      <c r="F665" s="225">
        <v>1945511.73</v>
      </c>
      <c r="G665" s="225">
        <f t="shared" si="10"/>
        <v>89.721361856453143</v>
      </c>
    </row>
    <row r="666" spans="1:7">
      <c r="A666" s="229" t="s">
        <v>0</v>
      </c>
      <c r="B666" s="275" t="s">
        <v>1870</v>
      </c>
      <c r="C666" s="275" t="s">
        <v>1290</v>
      </c>
      <c r="D666" s="275" t="s">
        <v>522</v>
      </c>
      <c r="E666" s="321">
        <v>2168393</v>
      </c>
      <c r="F666" s="225">
        <v>1945511.73</v>
      </c>
      <c r="G666" s="225">
        <f t="shared" si="10"/>
        <v>89.721361856453143</v>
      </c>
    </row>
    <row r="667" spans="1:7" ht="102">
      <c r="A667" s="229" t="s">
        <v>731</v>
      </c>
      <c r="B667" s="275" t="s">
        <v>914</v>
      </c>
      <c r="C667" s="275"/>
      <c r="D667" s="275"/>
      <c r="E667" s="321">
        <v>276930.27</v>
      </c>
      <c r="F667" s="225">
        <v>169570.01</v>
      </c>
      <c r="G667" s="225">
        <f t="shared" si="10"/>
        <v>61.2320242203931</v>
      </c>
    </row>
    <row r="668" spans="1:7" ht="51">
      <c r="A668" s="229" t="s">
        <v>465</v>
      </c>
      <c r="B668" s="275" t="s">
        <v>914</v>
      </c>
      <c r="C668" s="275" t="s">
        <v>466</v>
      </c>
      <c r="D668" s="275"/>
      <c r="E668" s="321">
        <v>276930.27</v>
      </c>
      <c r="F668" s="225">
        <v>169570.01</v>
      </c>
      <c r="G668" s="225">
        <f t="shared" si="10"/>
        <v>61.2320242203931</v>
      </c>
    </row>
    <row r="669" spans="1:7">
      <c r="A669" s="229" t="s">
        <v>1442</v>
      </c>
      <c r="B669" s="275" t="s">
        <v>914</v>
      </c>
      <c r="C669" s="275" t="s">
        <v>466</v>
      </c>
      <c r="D669" s="275" t="s">
        <v>1443</v>
      </c>
      <c r="E669" s="321">
        <v>276930.27</v>
      </c>
      <c r="F669" s="225">
        <v>169570.01</v>
      </c>
      <c r="G669" s="225">
        <f t="shared" si="10"/>
        <v>61.2320242203931</v>
      </c>
    </row>
    <row r="670" spans="1:7" ht="89.25">
      <c r="A670" s="229" t="s">
        <v>640</v>
      </c>
      <c r="B670" s="275" t="s">
        <v>915</v>
      </c>
      <c r="C670" s="275"/>
      <c r="D670" s="275"/>
      <c r="E670" s="321">
        <v>721077.39</v>
      </c>
      <c r="F670" s="225">
        <v>721077.39</v>
      </c>
      <c r="G670" s="225">
        <f t="shared" si="10"/>
        <v>100</v>
      </c>
    </row>
    <row r="671" spans="1:7" ht="25.5">
      <c r="A671" s="229" t="s">
        <v>1617</v>
      </c>
      <c r="B671" s="275" t="s">
        <v>915</v>
      </c>
      <c r="C671" s="275" t="s">
        <v>509</v>
      </c>
      <c r="D671" s="275"/>
      <c r="E671" s="321">
        <v>178152</v>
      </c>
      <c r="F671" s="225">
        <v>178152</v>
      </c>
      <c r="G671" s="225">
        <f t="shared" si="10"/>
        <v>100</v>
      </c>
    </row>
    <row r="672" spans="1:7">
      <c r="A672" s="229" t="s">
        <v>0</v>
      </c>
      <c r="B672" s="275" t="s">
        <v>915</v>
      </c>
      <c r="C672" s="275" t="s">
        <v>509</v>
      </c>
      <c r="D672" s="275" t="s">
        <v>522</v>
      </c>
      <c r="E672" s="321">
        <v>178152</v>
      </c>
      <c r="F672" s="225">
        <v>178152</v>
      </c>
      <c r="G672" s="225">
        <f t="shared" si="10"/>
        <v>100</v>
      </c>
    </row>
    <row r="673" spans="1:7">
      <c r="A673" s="229" t="s">
        <v>484</v>
      </c>
      <c r="B673" s="275" t="s">
        <v>915</v>
      </c>
      <c r="C673" s="275" t="s">
        <v>485</v>
      </c>
      <c r="D673" s="275"/>
      <c r="E673" s="321">
        <v>542925.39</v>
      </c>
      <c r="F673" s="225">
        <v>542925.39</v>
      </c>
      <c r="G673" s="225">
        <f t="shared" si="10"/>
        <v>100</v>
      </c>
    </row>
    <row r="674" spans="1:7">
      <c r="A674" s="229" t="s">
        <v>1442</v>
      </c>
      <c r="B674" s="275" t="s">
        <v>915</v>
      </c>
      <c r="C674" s="275" t="s">
        <v>485</v>
      </c>
      <c r="D674" s="275" t="s">
        <v>1443</v>
      </c>
      <c r="E674" s="321">
        <v>542925.39</v>
      </c>
      <c r="F674" s="225">
        <v>542925.39</v>
      </c>
      <c r="G674" s="225">
        <f t="shared" si="10"/>
        <v>100</v>
      </c>
    </row>
    <row r="675" spans="1:7" ht="89.25">
      <c r="A675" s="229" t="s">
        <v>732</v>
      </c>
      <c r="B675" s="275" t="s">
        <v>916</v>
      </c>
      <c r="C675" s="275"/>
      <c r="D675" s="275"/>
      <c r="E675" s="321">
        <v>2768657.33</v>
      </c>
      <c r="F675" s="225">
        <v>2205639.7000000002</v>
      </c>
      <c r="G675" s="225">
        <f t="shared" si="10"/>
        <v>79.664596846298792</v>
      </c>
    </row>
    <row r="676" spans="1:7" ht="25.5">
      <c r="A676" s="229" t="s">
        <v>445</v>
      </c>
      <c r="B676" s="275" t="s">
        <v>916</v>
      </c>
      <c r="C676" s="275" t="s">
        <v>446</v>
      </c>
      <c r="D676" s="275"/>
      <c r="E676" s="321">
        <v>308531.76</v>
      </c>
      <c r="F676" s="225">
        <v>243199.76</v>
      </c>
      <c r="G676" s="225">
        <f t="shared" si="10"/>
        <v>78.824870412044461</v>
      </c>
    </row>
    <row r="677" spans="1:7">
      <c r="A677" s="229" t="s">
        <v>0</v>
      </c>
      <c r="B677" s="275" t="s">
        <v>916</v>
      </c>
      <c r="C677" s="275" t="s">
        <v>446</v>
      </c>
      <c r="D677" s="275" t="s">
        <v>522</v>
      </c>
      <c r="E677" s="321">
        <v>308531.76</v>
      </c>
      <c r="F677" s="225">
        <v>243199.76</v>
      </c>
      <c r="G677" s="225">
        <f t="shared" si="10"/>
        <v>78.824870412044461</v>
      </c>
    </row>
    <row r="678" spans="1:7" ht="51">
      <c r="A678" s="229" t="s">
        <v>465</v>
      </c>
      <c r="B678" s="275" t="s">
        <v>916</v>
      </c>
      <c r="C678" s="275" t="s">
        <v>466</v>
      </c>
      <c r="D678" s="275"/>
      <c r="E678" s="321">
        <v>2460125.5699999998</v>
      </c>
      <c r="F678" s="225">
        <v>1962439.94</v>
      </c>
      <c r="G678" s="225">
        <f t="shared" si="10"/>
        <v>79.76990946848295</v>
      </c>
    </row>
    <row r="679" spans="1:7">
      <c r="A679" s="229" t="s">
        <v>1442</v>
      </c>
      <c r="B679" s="275" t="s">
        <v>916</v>
      </c>
      <c r="C679" s="275" t="s">
        <v>466</v>
      </c>
      <c r="D679" s="275" t="s">
        <v>1443</v>
      </c>
      <c r="E679" s="321">
        <v>2460125.5699999998</v>
      </c>
      <c r="F679" s="225">
        <v>1962439.94</v>
      </c>
      <c r="G679" s="225">
        <f t="shared" si="10"/>
        <v>79.76990946848295</v>
      </c>
    </row>
    <row r="680" spans="1:7" ht="63.75">
      <c r="A680" s="229" t="s">
        <v>1183</v>
      </c>
      <c r="B680" s="275" t="s">
        <v>1184</v>
      </c>
      <c r="C680" s="275"/>
      <c r="D680" s="275"/>
      <c r="E680" s="321">
        <v>74603</v>
      </c>
      <c r="F680" s="225">
        <v>74603</v>
      </c>
      <c r="G680" s="225">
        <f t="shared" si="10"/>
        <v>100</v>
      </c>
    </row>
    <row r="681" spans="1:7" ht="25.5">
      <c r="A681" s="229" t="s">
        <v>445</v>
      </c>
      <c r="B681" s="275" t="s">
        <v>1184</v>
      </c>
      <c r="C681" s="275" t="s">
        <v>446</v>
      </c>
      <c r="D681" s="275"/>
      <c r="E681" s="321">
        <v>74603</v>
      </c>
      <c r="F681" s="225">
        <v>74603</v>
      </c>
      <c r="G681" s="225">
        <f t="shared" si="10"/>
        <v>100</v>
      </c>
    </row>
    <row r="682" spans="1:7">
      <c r="A682" s="229" t="s">
        <v>0</v>
      </c>
      <c r="B682" s="275" t="s">
        <v>1184</v>
      </c>
      <c r="C682" s="275" t="s">
        <v>446</v>
      </c>
      <c r="D682" s="275" t="s">
        <v>522</v>
      </c>
      <c r="E682" s="321">
        <v>74603</v>
      </c>
      <c r="F682" s="225">
        <v>74603</v>
      </c>
      <c r="G682" s="225">
        <f t="shared" si="10"/>
        <v>100</v>
      </c>
    </row>
    <row r="683" spans="1:7" ht="89.25">
      <c r="A683" s="229" t="s">
        <v>1173</v>
      </c>
      <c r="B683" s="275" t="s">
        <v>1174</v>
      </c>
      <c r="C683" s="275"/>
      <c r="D683" s="275"/>
      <c r="E683" s="321">
        <v>421880</v>
      </c>
      <c r="F683" s="225">
        <v>369139.93</v>
      </c>
      <c r="G683" s="225">
        <f t="shared" si="10"/>
        <v>87.498798236465348</v>
      </c>
    </row>
    <row r="684" spans="1:7" ht="25.5">
      <c r="A684" s="229" t="s">
        <v>445</v>
      </c>
      <c r="B684" s="275" t="s">
        <v>1174</v>
      </c>
      <c r="C684" s="275" t="s">
        <v>446</v>
      </c>
      <c r="D684" s="275"/>
      <c r="E684" s="321">
        <v>141000</v>
      </c>
      <c r="F684" s="225">
        <v>141000</v>
      </c>
      <c r="G684" s="225">
        <f t="shared" si="10"/>
        <v>100</v>
      </c>
    </row>
    <row r="685" spans="1:7">
      <c r="A685" s="229" t="s">
        <v>0</v>
      </c>
      <c r="B685" s="275" t="s">
        <v>1174</v>
      </c>
      <c r="C685" s="275" t="s">
        <v>446</v>
      </c>
      <c r="D685" s="275" t="s">
        <v>522</v>
      </c>
      <c r="E685" s="321">
        <v>141000</v>
      </c>
      <c r="F685" s="225">
        <v>141000</v>
      </c>
      <c r="G685" s="225">
        <f t="shared" si="10"/>
        <v>100</v>
      </c>
    </row>
    <row r="686" spans="1:7" ht="51">
      <c r="A686" s="229" t="s">
        <v>465</v>
      </c>
      <c r="B686" s="275" t="s">
        <v>1174</v>
      </c>
      <c r="C686" s="275" t="s">
        <v>466</v>
      </c>
      <c r="D686" s="275"/>
      <c r="E686" s="321">
        <v>280880</v>
      </c>
      <c r="F686" s="225">
        <v>228139.93</v>
      </c>
      <c r="G686" s="225">
        <f t="shared" si="10"/>
        <v>81.223273283964687</v>
      </c>
    </row>
    <row r="687" spans="1:7">
      <c r="A687" s="229" t="s">
        <v>1442</v>
      </c>
      <c r="B687" s="275" t="s">
        <v>1174</v>
      </c>
      <c r="C687" s="275" t="s">
        <v>466</v>
      </c>
      <c r="D687" s="275" t="s">
        <v>1443</v>
      </c>
      <c r="E687" s="321">
        <v>280880</v>
      </c>
      <c r="F687" s="225">
        <v>228139.93</v>
      </c>
      <c r="G687" s="225">
        <f t="shared" si="10"/>
        <v>81.223273283964687</v>
      </c>
    </row>
    <row r="688" spans="1:7" ht="89.25">
      <c r="A688" s="229" t="s">
        <v>2008</v>
      </c>
      <c r="B688" s="275" t="s">
        <v>2009</v>
      </c>
      <c r="C688" s="275"/>
      <c r="D688" s="275"/>
      <c r="E688" s="321">
        <v>1113030</v>
      </c>
      <c r="F688" s="225">
        <v>1113024.8700000001</v>
      </c>
      <c r="G688" s="225">
        <f t="shared" si="10"/>
        <v>99.999539095981248</v>
      </c>
    </row>
    <row r="689" spans="1:7">
      <c r="A689" s="229" t="s">
        <v>1603</v>
      </c>
      <c r="B689" s="275" t="s">
        <v>2009</v>
      </c>
      <c r="C689" s="275" t="s">
        <v>460</v>
      </c>
      <c r="D689" s="275"/>
      <c r="E689" s="321">
        <v>10000</v>
      </c>
      <c r="F689" s="225">
        <v>10000</v>
      </c>
      <c r="G689" s="225">
        <f t="shared" si="10"/>
        <v>100</v>
      </c>
    </row>
    <row r="690" spans="1:7">
      <c r="A690" s="229" t="s">
        <v>0</v>
      </c>
      <c r="B690" s="275" t="s">
        <v>2009</v>
      </c>
      <c r="C690" s="275" t="s">
        <v>460</v>
      </c>
      <c r="D690" s="275" t="s">
        <v>522</v>
      </c>
      <c r="E690" s="321">
        <v>10000</v>
      </c>
      <c r="F690" s="225">
        <v>10000</v>
      </c>
      <c r="G690" s="225">
        <f t="shared" si="10"/>
        <v>100</v>
      </c>
    </row>
    <row r="691" spans="1:7" ht="38.25">
      <c r="A691" s="229" t="s">
        <v>1604</v>
      </c>
      <c r="B691" s="275" t="s">
        <v>2009</v>
      </c>
      <c r="C691" s="275" t="s">
        <v>1290</v>
      </c>
      <c r="D691" s="275"/>
      <c r="E691" s="321">
        <v>3020</v>
      </c>
      <c r="F691" s="225">
        <v>3020</v>
      </c>
      <c r="G691" s="225">
        <f t="shared" si="10"/>
        <v>100</v>
      </c>
    </row>
    <row r="692" spans="1:7">
      <c r="A692" s="229" t="s">
        <v>0</v>
      </c>
      <c r="B692" s="275" t="s">
        <v>2009</v>
      </c>
      <c r="C692" s="275" t="s">
        <v>1290</v>
      </c>
      <c r="D692" s="275" t="s">
        <v>522</v>
      </c>
      <c r="E692" s="321">
        <v>3020</v>
      </c>
      <c r="F692" s="225">
        <v>3020</v>
      </c>
      <c r="G692" s="225">
        <f t="shared" si="10"/>
        <v>100</v>
      </c>
    </row>
    <row r="693" spans="1:7">
      <c r="A693" s="229" t="s">
        <v>484</v>
      </c>
      <c r="B693" s="275" t="s">
        <v>2009</v>
      </c>
      <c r="C693" s="275" t="s">
        <v>485</v>
      </c>
      <c r="D693" s="275"/>
      <c r="E693" s="321">
        <v>1100010</v>
      </c>
      <c r="F693" s="225">
        <v>1100004.8700000001</v>
      </c>
      <c r="G693" s="225">
        <f t="shared" si="10"/>
        <v>99.999533640603275</v>
      </c>
    </row>
    <row r="694" spans="1:7">
      <c r="A694" s="229" t="s">
        <v>1442</v>
      </c>
      <c r="B694" s="275" t="s">
        <v>2009</v>
      </c>
      <c r="C694" s="275" t="s">
        <v>485</v>
      </c>
      <c r="D694" s="275" t="s">
        <v>1443</v>
      </c>
      <c r="E694" s="321">
        <v>47020</v>
      </c>
      <c r="F694" s="225">
        <v>47015</v>
      </c>
      <c r="G694" s="225">
        <f t="shared" si="10"/>
        <v>99.989366227137396</v>
      </c>
    </row>
    <row r="695" spans="1:7">
      <c r="A695" s="229" t="s">
        <v>254</v>
      </c>
      <c r="B695" s="275" t="s">
        <v>2009</v>
      </c>
      <c r="C695" s="275" t="s">
        <v>485</v>
      </c>
      <c r="D695" s="275" t="s">
        <v>510</v>
      </c>
      <c r="E695" s="321">
        <v>1052990</v>
      </c>
      <c r="F695" s="225">
        <v>1052989.8700000001</v>
      </c>
      <c r="G695" s="225">
        <f t="shared" si="10"/>
        <v>99.999987654203764</v>
      </c>
    </row>
    <row r="696" spans="1:7" ht="51">
      <c r="A696" s="229" t="s">
        <v>1759</v>
      </c>
      <c r="B696" s="275" t="s">
        <v>1760</v>
      </c>
      <c r="C696" s="275"/>
      <c r="D696" s="275"/>
      <c r="E696" s="321">
        <v>1373989.93</v>
      </c>
      <c r="F696" s="225">
        <v>1373989.93</v>
      </c>
      <c r="G696" s="225">
        <f t="shared" si="10"/>
        <v>100</v>
      </c>
    </row>
    <row r="697" spans="1:7" ht="25.5">
      <c r="A697" s="229" t="s">
        <v>461</v>
      </c>
      <c r="B697" s="275" t="s">
        <v>1760</v>
      </c>
      <c r="C697" s="275" t="s">
        <v>462</v>
      </c>
      <c r="D697" s="275"/>
      <c r="E697" s="321">
        <v>301952</v>
      </c>
      <c r="F697" s="225">
        <v>301952</v>
      </c>
      <c r="G697" s="225">
        <f t="shared" si="10"/>
        <v>100</v>
      </c>
    </row>
    <row r="698" spans="1:7">
      <c r="A698" s="229" t="s">
        <v>254</v>
      </c>
      <c r="B698" s="275" t="s">
        <v>1760</v>
      </c>
      <c r="C698" s="275" t="s">
        <v>462</v>
      </c>
      <c r="D698" s="275" t="s">
        <v>510</v>
      </c>
      <c r="E698" s="321">
        <v>301952</v>
      </c>
      <c r="F698" s="225">
        <v>301952</v>
      </c>
      <c r="G698" s="225">
        <f t="shared" si="10"/>
        <v>100</v>
      </c>
    </row>
    <row r="699" spans="1:7">
      <c r="A699" s="229" t="s">
        <v>484</v>
      </c>
      <c r="B699" s="275" t="s">
        <v>1760</v>
      </c>
      <c r="C699" s="275" t="s">
        <v>485</v>
      </c>
      <c r="D699" s="275"/>
      <c r="E699" s="321">
        <v>1072037.93</v>
      </c>
      <c r="F699" s="225">
        <v>1072037.93</v>
      </c>
      <c r="G699" s="225">
        <f t="shared" si="10"/>
        <v>100</v>
      </c>
    </row>
    <row r="700" spans="1:7">
      <c r="A700" s="229" t="s">
        <v>1442</v>
      </c>
      <c r="B700" s="275" t="s">
        <v>1760</v>
      </c>
      <c r="C700" s="275" t="s">
        <v>485</v>
      </c>
      <c r="D700" s="275" t="s">
        <v>1443</v>
      </c>
      <c r="E700" s="321">
        <v>664257.30000000005</v>
      </c>
      <c r="F700" s="225">
        <v>664257.30000000005</v>
      </c>
      <c r="G700" s="225">
        <f t="shared" si="10"/>
        <v>100</v>
      </c>
    </row>
    <row r="701" spans="1:7">
      <c r="A701" s="229" t="s">
        <v>254</v>
      </c>
      <c r="B701" s="275" t="s">
        <v>1760</v>
      </c>
      <c r="C701" s="275" t="s">
        <v>485</v>
      </c>
      <c r="D701" s="275" t="s">
        <v>510</v>
      </c>
      <c r="E701" s="321">
        <v>407780.63</v>
      </c>
      <c r="F701" s="225">
        <v>407780.63</v>
      </c>
      <c r="G701" s="225">
        <f t="shared" si="10"/>
        <v>100</v>
      </c>
    </row>
    <row r="702" spans="1:7" ht="63.75">
      <c r="A702" s="229" t="s">
        <v>1109</v>
      </c>
      <c r="B702" s="275" t="s">
        <v>1108</v>
      </c>
      <c r="C702" s="275"/>
      <c r="D702" s="275"/>
      <c r="E702" s="321">
        <v>119000</v>
      </c>
      <c r="F702" s="225">
        <v>119000</v>
      </c>
      <c r="G702" s="225">
        <f t="shared" si="10"/>
        <v>100</v>
      </c>
    </row>
    <row r="703" spans="1:7">
      <c r="A703" s="229" t="s">
        <v>484</v>
      </c>
      <c r="B703" s="275" t="s">
        <v>1108</v>
      </c>
      <c r="C703" s="275" t="s">
        <v>485</v>
      </c>
      <c r="D703" s="275"/>
      <c r="E703" s="321">
        <v>119000</v>
      </c>
      <c r="F703" s="225">
        <v>119000</v>
      </c>
      <c r="G703" s="225">
        <f t="shared" si="10"/>
        <v>100</v>
      </c>
    </row>
    <row r="704" spans="1:7">
      <c r="A704" s="229" t="s">
        <v>254</v>
      </c>
      <c r="B704" s="275" t="s">
        <v>1108</v>
      </c>
      <c r="C704" s="275" t="s">
        <v>485</v>
      </c>
      <c r="D704" s="275" t="s">
        <v>510</v>
      </c>
      <c r="E704" s="321">
        <v>119000</v>
      </c>
      <c r="F704" s="225">
        <v>119000</v>
      </c>
      <c r="G704" s="225">
        <f t="shared" si="10"/>
        <v>100</v>
      </c>
    </row>
    <row r="705" spans="1:7" ht="102">
      <c r="A705" s="229" t="s">
        <v>1832</v>
      </c>
      <c r="B705" s="275" t="s">
        <v>1833</v>
      </c>
      <c r="C705" s="275"/>
      <c r="D705" s="275"/>
      <c r="E705" s="321">
        <v>611100</v>
      </c>
      <c r="F705" s="225">
        <v>611100</v>
      </c>
      <c r="G705" s="225">
        <f t="shared" si="10"/>
        <v>100</v>
      </c>
    </row>
    <row r="706" spans="1:7">
      <c r="A706" s="229" t="s">
        <v>484</v>
      </c>
      <c r="B706" s="275" t="s">
        <v>1833</v>
      </c>
      <c r="C706" s="275" t="s">
        <v>485</v>
      </c>
      <c r="D706" s="275"/>
      <c r="E706" s="321">
        <v>611100</v>
      </c>
      <c r="F706" s="225">
        <v>611100</v>
      </c>
      <c r="G706" s="225">
        <f t="shared" si="10"/>
        <v>100</v>
      </c>
    </row>
    <row r="707" spans="1:7">
      <c r="A707" s="229" t="s">
        <v>254</v>
      </c>
      <c r="B707" s="275" t="s">
        <v>1833</v>
      </c>
      <c r="C707" s="275" t="s">
        <v>485</v>
      </c>
      <c r="D707" s="275" t="s">
        <v>510</v>
      </c>
      <c r="E707" s="321">
        <v>611100</v>
      </c>
      <c r="F707" s="225">
        <v>611100</v>
      </c>
      <c r="G707" s="225">
        <f t="shared" si="10"/>
        <v>100</v>
      </c>
    </row>
    <row r="708" spans="1:7" ht="114.75">
      <c r="A708" s="229" t="s">
        <v>1813</v>
      </c>
      <c r="B708" s="275" t="s">
        <v>1814</v>
      </c>
      <c r="C708" s="275"/>
      <c r="D708" s="275"/>
      <c r="E708" s="321">
        <v>6900</v>
      </c>
      <c r="F708" s="225">
        <v>6900</v>
      </c>
      <c r="G708" s="225">
        <f t="shared" si="10"/>
        <v>100</v>
      </c>
    </row>
    <row r="709" spans="1:7">
      <c r="A709" s="229" t="s">
        <v>484</v>
      </c>
      <c r="B709" s="275" t="s">
        <v>1814</v>
      </c>
      <c r="C709" s="275" t="s">
        <v>485</v>
      </c>
      <c r="D709" s="275"/>
      <c r="E709" s="321">
        <v>6900</v>
      </c>
      <c r="F709" s="225">
        <v>6900</v>
      </c>
      <c r="G709" s="225">
        <f t="shared" si="10"/>
        <v>100</v>
      </c>
    </row>
    <row r="710" spans="1:7">
      <c r="A710" s="229" t="s">
        <v>254</v>
      </c>
      <c r="B710" s="275" t="s">
        <v>1814</v>
      </c>
      <c r="C710" s="275" t="s">
        <v>485</v>
      </c>
      <c r="D710" s="275" t="s">
        <v>510</v>
      </c>
      <c r="E710" s="321">
        <v>6900</v>
      </c>
      <c r="F710" s="225">
        <v>6900</v>
      </c>
      <c r="G710" s="225">
        <f t="shared" si="10"/>
        <v>100</v>
      </c>
    </row>
    <row r="711" spans="1:7" ht="76.5">
      <c r="A711" s="229" t="s">
        <v>1951</v>
      </c>
      <c r="B711" s="275" t="s">
        <v>1952</v>
      </c>
      <c r="C711" s="275"/>
      <c r="D711" s="275"/>
      <c r="E711" s="321">
        <v>7032.37</v>
      </c>
      <c r="F711" s="225">
        <v>7032.37</v>
      </c>
      <c r="G711" s="225">
        <f t="shared" si="10"/>
        <v>100</v>
      </c>
    </row>
    <row r="712" spans="1:7">
      <c r="A712" s="229" t="s">
        <v>484</v>
      </c>
      <c r="B712" s="275" t="s">
        <v>1952</v>
      </c>
      <c r="C712" s="275" t="s">
        <v>485</v>
      </c>
      <c r="D712" s="275"/>
      <c r="E712" s="321">
        <v>7032.37</v>
      </c>
      <c r="F712" s="225">
        <v>7032.37</v>
      </c>
      <c r="G712" s="225">
        <f t="shared" ref="G712:G775" si="11">F712/E712*100</f>
        <v>100</v>
      </c>
    </row>
    <row r="713" spans="1:7">
      <c r="A713" s="229" t="s">
        <v>254</v>
      </c>
      <c r="B713" s="275" t="s">
        <v>1952</v>
      </c>
      <c r="C713" s="275" t="s">
        <v>485</v>
      </c>
      <c r="D713" s="275" t="s">
        <v>510</v>
      </c>
      <c r="E713" s="321">
        <v>7032.37</v>
      </c>
      <c r="F713" s="225">
        <v>7032.37</v>
      </c>
      <c r="G713" s="225">
        <f t="shared" si="11"/>
        <v>100</v>
      </c>
    </row>
    <row r="714" spans="1:7" ht="63.75">
      <c r="A714" s="229" t="s">
        <v>641</v>
      </c>
      <c r="B714" s="275" t="s">
        <v>940</v>
      </c>
      <c r="C714" s="275"/>
      <c r="D714" s="275"/>
      <c r="E714" s="321">
        <v>83659</v>
      </c>
      <c r="F714" s="225">
        <v>83659</v>
      </c>
      <c r="G714" s="225">
        <f t="shared" si="11"/>
        <v>100</v>
      </c>
    </row>
    <row r="715" spans="1:7">
      <c r="A715" s="229" t="s">
        <v>484</v>
      </c>
      <c r="B715" s="275" t="s">
        <v>940</v>
      </c>
      <c r="C715" s="275" t="s">
        <v>485</v>
      </c>
      <c r="D715" s="275"/>
      <c r="E715" s="321">
        <v>83659</v>
      </c>
      <c r="F715" s="225">
        <v>83659</v>
      </c>
      <c r="G715" s="225">
        <f t="shared" si="11"/>
        <v>100</v>
      </c>
    </row>
    <row r="716" spans="1:7">
      <c r="A716" s="229" t="s">
        <v>1442</v>
      </c>
      <c r="B716" s="275" t="s">
        <v>940</v>
      </c>
      <c r="C716" s="275" t="s">
        <v>485</v>
      </c>
      <c r="D716" s="275" t="s">
        <v>1443</v>
      </c>
      <c r="E716" s="321">
        <v>83659</v>
      </c>
      <c r="F716" s="225">
        <v>83659</v>
      </c>
      <c r="G716" s="225">
        <f t="shared" si="11"/>
        <v>100</v>
      </c>
    </row>
    <row r="717" spans="1:7" ht="89.25">
      <c r="A717" s="229" t="s">
        <v>654</v>
      </c>
      <c r="B717" s="275" t="s">
        <v>941</v>
      </c>
      <c r="C717" s="275"/>
      <c r="D717" s="275"/>
      <c r="E717" s="321">
        <v>301234.3</v>
      </c>
      <c r="F717" s="225">
        <v>301234.3</v>
      </c>
      <c r="G717" s="225">
        <f t="shared" si="11"/>
        <v>100</v>
      </c>
    </row>
    <row r="718" spans="1:7">
      <c r="A718" s="229" t="s">
        <v>484</v>
      </c>
      <c r="B718" s="275" t="s">
        <v>941</v>
      </c>
      <c r="C718" s="275" t="s">
        <v>485</v>
      </c>
      <c r="D718" s="275"/>
      <c r="E718" s="321">
        <v>301234.3</v>
      </c>
      <c r="F718" s="225">
        <v>301234.3</v>
      </c>
      <c r="G718" s="225">
        <f t="shared" si="11"/>
        <v>100</v>
      </c>
    </row>
    <row r="719" spans="1:7">
      <c r="A719" s="229" t="s">
        <v>1442</v>
      </c>
      <c r="B719" s="275" t="s">
        <v>941</v>
      </c>
      <c r="C719" s="275" t="s">
        <v>485</v>
      </c>
      <c r="D719" s="275" t="s">
        <v>1443</v>
      </c>
      <c r="E719" s="321">
        <v>160138.29999999999</v>
      </c>
      <c r="F719" s="225">
        <v>160138.29999999999</v>
      </c>
      <c r="G719" s="225">
        <f t="shared" si="11"/>
        <v>100</v>
      </c>
    </row>
    <row r="720" spans="1:7">
      <c r="A720" s="229" t="s">
        <v>254</v>
      </c>
      <c r="B720" s="275" t="s">
        <v>941</v>
      </c>
      <c r="C720" s="275" t="s">
        <v>485</v>
      </c>
      <c r="D720" s="275" t="s">
        <v>510</v>
      </c>
      <c r="E720" s="321">
        <v>141096</v>
      </c>
      <c r="F720" s="225">
        <v>141096</v>
      </c>
      <c r="G720" s="225">
        <f t="shared" si="11"/>
        <v>100</v>
      </c>
    </row>
    <row r="721" spans="1:7" ht="89.25">
      <c r="A721" s="229" t="s">
        <v>1871</v>
      </c>
      <c r="B721" s="275" t="s">
        <v>1872</v>
      </c>
      <c r="C721" s="275"/>
      <c r="D721" s="275"/>
      <c r="E721" s="321">
        <v>1701155</v>
      </c>
      <c r="F721" s="225">
        <v>1698801.83</v>
      </c>
      <c r="G721" s="225">
        <f t="shared" si="11"/>
        <v>99.861672216817396</v>
      </c>
    </row>
    <row r="722" spans="1:7">
      <c r="A722" s="229" t="s">
        <v>1603</v>
      </c>
      <c r="B722" s="275" t="s">
        <v>1872</v>
      </c>
      <c r="C722" s="275" t="s">
        <v>460</v>
      </c>
      <c r="D722" s="275"/>
      <c r="E722" s="321">
        <v>1296624</v>
      </c>
      <c r="F722" s="225">
        <v>1296623.29</v>
      </c>
      <c r="G722" s="225">
        <f t="shared" si="11"/>
        <v>99.999945242414142</v>
      </c>
    </row>
    <row r="723" spans="1:7">
      <c r="A723" s="229" t="s">
        <v>0</v>
      </c>
      <c r="B723" s="275" t="s">
        <v>1872</v>
      </c>
      <c r="C723" s="275" t="s">
        <v>460</v>
      </c>
      <c r="D723" s="275" t="s">
        <v>522</v>
      </c>
      <c r="E723" s="321">
        <v>1296624</v>
      </c>
      <c r="F723" s="225">
        <v>1296623.29</v>
      </c>
      <c r="G723" s="225">
        <f t="shared" si="11"/>
        <v>99.999945242414142</v>
      </c>
    </row>
    <row r="724" spans="1:7" ht="25.5">
      <c r="A724" s="229" t="s">
        <v>1617</v>
      </c>
      <c r="B724" s="275" t="s">
        <v>1872</v>
      </c>
      <c r="C724" s="275" t="s">
        <v>509</v>
      </c>
      <c r="D724" s="275"/>
      <c r="E724" s="321">
        <v>780</v>
      </c>
      <c r="F724" s="225">
        <v>144.68</v>
      </c>
      <c r="G724" s="225">
        <f t="shared" si="11"/>
        <v>18.54871794871795</v>
      </c>
    </row>
    <row r="725" spans="1:7">
      <c r="A725" s="229" t="s">
        <v>0</v>
      </c>
      <c r="B725" s="275" t="s">
        <v>1872</v>
      </c>
      <c r="C725" s="275" t="s">
        <v>509</v>
      </c>
      <c r="D725" s="275" t="s">
        <v>522</v>
      </c>
      <c r="E725" s="321">
        <v>780</v>
      </c>
      <c r="F725" s="225">
        <v>144.68</v>
      </c>
      <c r="G725" s="225">
        <f t="shared" si="11"/>
        <v>18.54871794871795</v>
      </c>
    </row>
    <row r="726" spans="1:7" ht="38.25">
      <c r="A726" s="229" t="s">
        <v>1604</v>
      </c>
      <c r="B726" s="275" t="s">
        <v>1872</v>
      </c>
      <c r="C726" s="275" t="s">
        <v>1290</v>
      </c>
      <c r="D726" s="275"/>
      <c r="E726" s="321">
        <v>403751</v>
      </c>
      <c r="F726" s="225">
        <v>402033.86</v>
      </c>
      <c r="G726" s="225">
        <f t="shared" si="11"/>
        <v>99.574703220549296</v>
      </c>
    </row>
    <row r="727" spans="1:7">
      <c r="A727" s="229" t="s">
        <v>0</v>
      </c>
      <c r="B727" s="275" t="s">
        <v>1872</v>
      </c>
      <c r="C727" s="275" t="s">
        <v>1290</v>
      </c>
      <c r="D727" s="275" t="s">
        <v>522</v>
      </c>
      <c r="E727" s="321">
        <v>403751</v>
      </c>
      <c r="F727" s="225">
        <v>402033.86</v>
      </c>
      <c r="G727" s="225">
        <f t="shared" si="11"/>
        <v>99.574703220549296</v>
      </c>
    </row>
    <row r="728" spans="1:7" ht="76.5">
      <c r="A728" s="229" t="s">
        <v>1873</v>
      </c>
      <c r="B728" s="275" t="s">
        <v>1874</v>
      </c>
      <c r="C728" s="275"/>
      <c r="D728" s="275"/>
      <c r="E728" s="321">
        <v>35804</v>
      </c>
      <c r="F728" s="225">
        <v>32470.41</v>
      </c>
      <c r="G728" s="225">
        <f t="shared" si="11"/>
        <v>90.689336386995862</v>
      </c>
    </row>
    <row r="729" spans="1:7">
      <c r="A729" s="229" t="s">
        <v>1603</v>
      </c>
      <c r="B729" s="275" t="s">
        <v>1874</v>
      </c>
      <c r="C729" s="275" t="s">
        <v>460</v>
      </c>
      <c r="D729" s="275"/>
      <c r="E729" s="321">
        <v>27499</v>
      </c>
      <c r="F729" s="225">
        <v>25311.49</v>
      </c>
      <c r="G729" s="225">
        <f t="shared" si="11"/>
        <v>92.045128913778683</v>
      </c>
    </row>
    <row r="730" spans="1:7">
      <c r="A730" s="229" t="s">
        <v>0</v>
      </c>
      <c r="B730" s="275" t="s">
        <v>1874</v>
      </c>
      <c r="C730" s="275" t="s">
        <v>460</v>
      </c>
      <c r="D730" s="275" t="s">
        <v>522</v>
      </c>
      <c r="E730" s="321">
        <v>27499</v>
      </c>
      <c r="F730" s="225">
        <v>25311.49</v>
      </c>
      <c r="G730" s="225">
        <f t="shared" si="11"/>
        <v>92.045128913778683</v>
      </c>
    </row>
    <row r="731" spans="1:7" ht="38.25">
      <c r="A731" s="229" t="s">
        <v>1604</v>
      </c>
      <c r="B731" s="275" t="s">
        <v>1874</v>
      </c>
      <c r="C731" s="275" t="s">
        <v>1290</v>
      </c>
      <c r="D731" s="275"/>
      <c r="E731" s="321">
        <v>8305</v>
      </c>
      <c r="F731" s="225">
        <v>7158.92</v>
      </c>
      <c r="G731" s="225">
        <f t="shared" si="11"/>
        <v>86.200120409391928</v>
      </c>
    </row>
    <row r="732" spans="1:7">
      <c r="A732" s="229" t="s">
        <v>0</v>
      </c>
      <c r="B732" s="275" t="s">
        <v>1874</v>
      </c>
      <c r="C732" s="275" t="s">
        <v>1290</v>
      </c>
      <c r="D732" s="275" t="s">
        <v>522</v>
      </c>
      <c r="E732" s="321">
        <v>8305</v>
      </c>
      <c r="F732" s="225">
        <v>7158.92</v>
      </c>
      <c r="G732" s="225">
        <f t="shared" si="11"/>
        <v>86.200120409391928</v>
      </c>
    </row>
    <row r="733" spans="1:7" ht="127.5">
      <c r="A733" s="229" t="s">
        <v>1875</v>
      </c>
      <c r="B733" s="275" t="s">
        <v>1876</v>
      </c>
      <c r="C733" s="275"/>
      <c r="D733" s="275"/>
      <c r="E733" s="321">
        <v>2872817.29</v>
      </c>
      <c r="F733" s="225">
        <v>2828412.07</v>
      </c>
      <c r="G733" s="225">
        <f t="shared" si="11"/>
        <v>98.454297105681917</v>
      </c>
    </row>
    <row r="734" spans="1:7">
      <c r="A734" s="229" t="s">
        <v>1603</v>
      </c>
      <c r="B734" s="275" t="s">
        <v>1876</v>
      </c>
      <c r="C734" s="275" t="s">
        <v>460</v>
      </c>
      <c r="D734" s="275"/>
      <c r="E734" s="321">
        <v>2252648.3199999998</v>
      </c>
      <c r="F734" s="225">
        <v>2215298.96</v>
      </c>
      <c r="G734" s="225">
        <f t="shared" si="11"/>
        <v>98.34197998558426</v>
      </c>
    </row>
    <row r="735" spans="1:7">
      <c r="A735" s="229" t="s">
        <v>0</v>
      </c>
      <c r="B735" s="275" t="s">
        <v>1876</v>
      </c>
      <c r="C735" s="275" t="s">
        <v>460</v>
      </c>
      <c r="D735" s="275" t="s">
        <v>522</v>
      </c>
      <c r="E735" s="321">
        <v>2252648.3199999998</v>
      </c>
      <c r="F735" s="225">
        <v>2215298.96</v>
      </c>
      <c r="G735" s="225">
        <f t="shared" si="11"/>
        <v>98.34197998558426</v>
      </c>
    </row>
    <row r="736" spans="1:7" ht="38.25">
      <c r="A736" s="229" t="s">
        <v>1604</v>
      </c>
      <c r="B736" s="275" t="s">
        <v>1876</v>
      </c>
      <c r="C736" s="275" t="s">
        <v>1290</v>
      </c>
      <c r="D736" s="275"/>
      <c r="E736" s="321">
        <v>620168.97</v>
      </c>
      <c r="F736" s="225">
        <v>613113.11</v>
      </c>
      <c r="G736" s="225">
        <f t="shared" si="11"/>
        <v>98.862268133150877</v>
      </c>
    </row>
    <row r="737" spans="1:7">
      <c r="A737" s="229" t="s">
        <v>0</v>
      </c>
      <c r="B737" s="275" t="s">
        <v>1876</v>
      </c>
      <c r="C737" s="275" t="s">
        <v>1290</v>
      </c>
      <c r="D737" s="275" t="s">
        <v>522</v>
      </c>
      <c r="E737" s="321">
        <v>620168.97</v>
      </c>
      <c r="F737" s="225">
        <v>613113.11</v>
      </c>
      <c r="G737" s="225">
        <f t="shared" si="11"/>
        <v>98.862268133150877</v>
      </c>
    </row>
    <row r="738" spans="1:7" ht="114.75">
      <c r="A738" s="229" t="s">
        <v>1877</v>
      </c>
      <c r="B738" s="275" t="s">
        <v>1878</v>
      </c>
      <c r="C738" s="275"/>
      <c r="D738" s="275"/>
      <c r="E738" s="321">
        <v>70131</v>
      </c>
      <c r="F738" s="225">
        <v>44490.32</v>
      </c>
      <c r="G738" s="225">
        <f t="shared" si="11"/>
        <v>63.43887866991772</v>
      </c>
    </row>
    <row r="739" spans="1:7">
      <c r="A739" s="229" t="s">
        <v>1603</v>
      </c>
      <c r="B739" s="275" t="s">
        <v>1878</v>
      </c>
      <c r="C739" s="275" t="s">
        <v>460</v>
      </c>
      <c r="D739" s="275"/>
      <c r="E739" s="321">
        <v>53864</v>
      </c>
      <c r="F739" s="225">
        <v>34689.4</v>
      </c>
      <c r="G739" s="225">
        <f t="shared" si="11"/>
        <v>64.401826823110056</v>
      </c>
    </row>
    <row r="740" spans="1:7">
      <c r="A740" s="274" t="s">
        <v>0</v>
      </c>
      <c r="B740" s="140" t="s">
        <v>1878</v>
      </c>
      <c r="C740" s="54" t="s">
        <v>460</v>
      </c>
      <c r="D740" s="54" t="s">
        <v>522</v>
      </c>
      <c r="E740" s="322">
        <v>53864</v>
      </c>
      <c r="F740" s="225">
        <v>34689.4</v>
      </c>
      <c r="G740" s="225">
        <f t="shared" si="11"/>
        <v>64.401826823110056</v>
      </c>
    </row>
    <row r="741" spans="1:7" ht="38.25">
      <c r="A741" s="274" t="s">
        <v>1604</v>
      </c>
      <c r="B741" s="140" t="s">
        <v>1878</v>
      </c>
      <c r="C741" s="54" t="s">
        <v>1290</v>
      </c>
      <c r="D741" s="54"/>
      <c r="E741" s="322">
        <v>16267</v>
      </c>
      <c r="F741" s="225">
        <v>9800.92</v>
      </c>
      <c r="G741" s="225">
        <f t="shared" si="11"/>
        <v>60.25032273928813</v>
      </c>
    </row>
    <row r="742" spans="1:7">
      <c r="A742" s="274" t="s">
        <v>0</v>
      </c>
      <c r="B742" s="140" t="s">
        <v>1878</v>
      </c>
      <c r="C742" s="54" t="s">
        <v>1290</v>
      </c>
      <c r="D742" s="54" t="s">
        <v>522</v>
      </c>
      <c r="E742" s="322">
        <v>16267</v>
      </c>
      <c r="F742" s="225">
        <v>9800.92</v>
      </c>
      <c r="G742" s="225">
        <f t="shared" si="11"/>
        <v>60.25032273928813</v>
      </c>
    </row>
    <row r="743" spans="1:7" ht="89.25">
      <c r="A743" s="274" t="s">
        <v>1865</v>
      </c>
      <c r="B743" s="140" t="s">
        <v>1866</v>
      </c>
      <c r="C743" s="54"/>
      <c r="D743" s="54"/>
      <c r="E743" s="322">
        <v>60497.599999999999</v>
      </c>
      <c r="F743" s="225">
        <v>0</v>
      </c>
      <c r="G743" s="225">
        <f t="shared" si="11"/>
        <v>0</v>
      </c>
    </row>
    <row r="744" spans="1:7">
      <c r="A744" s="274" t="s">
        <v>484</v>
      </c>
      <c r="B744" s="140" t="s">
        <v>1866</v>
      </c>
      <c r="C744" s="54" t="s">
        <v>485</v>
      </c>
      <c r="D744" s="54"/>
      <c r="E744" s="322">
        <v>60497.599999999999</v>
      </c>
      <c r="F744" s="225">
        <v>0</v>
      </c>
      <c r="G744" s="225">
        <f t="shared" si="11"/>
        <v>0</v>
      </c>
    </row>
    <row r="745" spans="1:7">
      <c r="A745" s="274" t="s">
        <v>254</v>
      </c>
      <c r="B745" s="140" t="s">
        <v>1866</v>
      </c>
      <c r="C745" s="54" t="s">
        <v>485</v>
      </c>
      <c r="D745" s="54" t="s">
        <v>510</v>
      </c>
      <c r="E745" s="322">
        <v>60497.599999999999</v>
      </c>
      <c r="F745" s="225">
        <v>0</v>
      </c>
      <c r="G745" s="225">
        <f t="shared" si="11"/>
        <v>0</v>
      </c>
    </row>
    <row r="746" spans="1:7">
      <c r="A746" s="274" t="s">
        <v>593</v>
      </c>
      <c r="B746" s="140" t="s">
        <v>1216</v>
      </c>
      <c r="C746" s="54"/>
      <c r="D746" s="54"/>
      <c r="E746" s="322">
        <v>15652707</v>
      </c>
      <c r="F746" s="225">
        <v>15564883.5</v>
      </c>
      <c r="G746" s="225">
        <f t="shared" si="11"/>
        <v>99.438924525962193</v>
      </c>
    </row>
    <row r="747" spans="1:7" ht="25.5">
      <c r="A747" s="274" t="s">
        <v>594</v>
      </c>
      <c r="B747" s="140" t="s">
        <v>1217</v>
      </c>
      <c r="C747" s="54"/>
      <c r="D747" s="54"/>
      <c r="E747" s="322">
        <v>1138400</v>
      </c>
      <c r="F747" s="225">
        <v>1134350</v>
      </c>
      <c r="G747" s="225">
        <f t="shared" si="11"/>
        <v>99.644237526352768</v>
      </c>
    </row>
    <row r="748" spans="1:7" ht="51">
      <c r="A748" s="274" t="s">
        <v>1171</v>
      </c>
      <c r="B748" s="140" t="s">
        <v>1172</v>
      </c>
      <c r="C748" s="54"/>
      <c r="D748" s="54"/>
      <c r="E748" s="322">
        <v>164160</v>
      </c>
      <c r="F748" s="225">
        <v>160110</v>
      </c>
      <c r="G748" s="225">
        <f t="shared" si="11"/>
        <v>97.532894736842096</v>
      </c>
    </row>
    <row r="749" spans="1:7">
      <c r="A749" s="274" t="s">
        <v>484</v>
      </c>
      <c r="B749" s="140" t="s">
        <v>1172</v>
      </c>
      <c r="C749" s="54" t="s">
        <v>485</v>
      </c>
      <c r="D749" s="54"/>
      <c r="E749" s="322">
        <v>164160</v>
      </c>
      <c r="F749" s="225">
        <v>160110</v>
      </c>
      <c r="G749" s="225">
        <f t="shared" si="11"/>
        <v>97.532894736842096</v>
      </c>
    </row>
    <row r="750" spans="1:7">
      <c r="A750" s="274" t="s">
        <v>1440</v>
      </c>
      <c r="B750" s="140" t="s">
        <v>1172</v>
      </c>
      <c r="C750" s="54" t="s">
        <v>485</v>
      </c>
      <c r="D750" s="54" t="s">
        <v>483</v>
      </c>
      <c r="E750" s="322">
        <v>164160</v>
      </c>
      <c r="F750" s="225">
        <v>160110</v>
      </c>
      <c r="G750" s="225">
        <f t="shared" si="11"/>
        <v>97.532894736842096</v>
      </c>
    </row>
    <row r="751" spans="1:7" ht="76.5">
      <c r="A751" s="274" t="s">
        <v>486</v>
      </c>
      <c r="B751" s="140" t="s">
        <v>891</v>
      </c>
      <c r="C751" s="54"/>
      <c r="D751" s="54"/>
      <c r="E751" s="322">
        <v>300000</v>
      </c>
      <c r="F751" s="225">
        <v>300000</v>
      </c>
      <c r="G751" s="225">
        <f t="shared" si="11"/>
        <v>100</v>
      </c>
    </row>
    <row r="752" spans="1:7">
      <c r="A752" s="274" t="s">
        <v>484</v>
      </c>
      <c r="B752" s="140" t="s">
        <v>891</v>
      </c>
      <c r="C752" s="54" t="s">
        <v>485</v>
      </c>
      <c r="D752" s="54"/>
      <c r="E752" s="322">
        <v>300000</v>
      </c>
      <c r="F752" s="225">
        <v>300000</v>
      </c>
      <c r="G752" s="225">
        <f t="shared" si="11"/>
        <v>100</v>
      </c>
    </row>
    <row r="753" spans="1:7">
      <c r="A753" s="274" t="s">
        <v>1440</v>
      </c>
      <c r="B753" s="140" t="s">
        <v>891</v>
      </c>
      <c r="C753" s="54" t="s">
        <v>485</v>
      </c>
      <c r="D753" s="54" t="s">
        <v>483</v>
      </c>
      <c r="E753" s="322">
        <v>300000</v>
      </c>
      <c r="F753" s="225">
        <v>300000</v>
      </c>
      <c r="G753" s="225">
        <f t="shared" si="11"/>
        <v>100</v>
      </c>
    </row>
    <row r="754" spans="1:7" ht="63.75">
      <c r="A754" s="274" t="s">
        <v>556</v>
      </c>
      <c r="B754" s="140" t="s">
        <v>1008</v>
      </c>
      <c r="C754" s="54"/>
      <c r="D754" s="54"/>
      <c r="E754" s="322">
        <v>674240</v>
      </c>
      <c r="F754" s="225">
        <v>674240</v>
      </c>
      <c r="G754" s="225">
        <f t="shared" si="11"/>
        <v>100</v>
      </c>
    </row>
    <row r="755" spans="1:7">
      <c r="A755" s="274" t="s">
        <v>93</v>
      </c>
      <c r="B755" s="140" t="s">
        <v>1008</v>
      </c>
      <c r="C755" s="54" t="s">
        <v>550</v>
      </c>
      <c r="D755" s="54"/>
      <c r="E755" s="322">
        <v>674240</v>
      </c>
      <c r="F755" s="225">
        <v>674240</v>
      </c>
      <c r="G755" s="225">
        <f t="shared" si="11"/>
        <v>100</v>
      </c>
    </row>
    <row r="756" spans="1:7">
      <c r="A756" s="274" t="s">
        <v>1440</v>
      </c>
      <c r="B756" s="140" t="s">
        <v>1008</v>
      </c>
      <c r="C756" s="54" t="s">
        <v>550</v>
      </c>
      <c r="D756" s="54" t="s">
        <v>483</v>
      </c>
      <c r="E756" s="322">
        <v>674240</v>
      </c>
      <c r="F756" s="225">
        <v>674240</v>
      </c>
      <c r="G756" s="225">
        <f t="shared" si="11"/>
        <v>100</v>
      </c>
    </row>
    <row r="757" spans="1:7" ht="25.5">
      <c r="A757" s="274" t="s">
        <v>596</v>
      </c>
      <c r="B757" s="140" t="s">
        <v>1448</v>
      </c>
      <c r="C757" s="54"/>
      <c r="D757" s="54"/>
      <c r="E757" s="322">
        <v>537297</v>
      </c>
      <c r="F757" s="225">
        <v>537297</v>
      </c>
      <c r="G757" s="225">
        <f t="shared" si="11"/>
        <v>100</v>
      </c>
    </row>
    <row r="758" spans="1:7" ht="63.75">
      <c r="A758" s="274" t="s">
        <v>1885</v>
      </c>
      <c r="B758" s="140" t="s">
        <v>1886</v>
      </c>
      <c r="C758" s="54"/>
      <c r="D758" s="54"/>
      <c r="E758" s="322">
        <v>97297</v>
      </c>
      <c r="F758" s="225">
        <v>97297</v>
      </c>
      <c r="G758" s="225">
        <f t="shared" si="11"/>
        <v>100</v>
      </c>
    </row>
    <row r="759" spans="1:7">
      <c r="A759" s="274" t="s">
        <v>484</v>
      </c>
      <c r="B759" s="140" t="s">
        <v>1886</v>
      </c>
      <c r="C759" s="54" t="s">
        <v>485</v>
      </c>
      <c r="D759" s="54"/>
      <c r="E759" s="322">
        <v>97297</v>
      </c>
      <c r="F759" s="225">
        <v>97297</v>
      </c>
      <c r="G759" s="225">
        <f t="shared" si="11"/>
        <v>100</v>
      </c>
    </row>
    <row r="760" spans="1:7">
      <c r="A760" s="274" t="s">
        <v>1440</v>
      </c>
      <c r="B760" s="140" t="s">
        <v>1886</v>
      </c>
      <c r="C760" s="54" t="s">
        <v>485</v>
      </c>
      <c r="D760" s="54" t="s">
        <v>483</v>
      </c>
      <c r="E760" s="322">
        <v>97297</v>
      </c>
      <c r="F760" s="225">
        <v>97297</v>
      </c>
      <c r="G760" s="225">
        <f t="shared" si="11"/>
        <v>100</v>
      </c>
    </row>
    <row r="761" spans="1:7" ht="51">
      <c r="A761" s="274" t="s">
        <v>487</v>
      </c>
      <c r="B761" s="140" t="s">
        <v>892</v>
      </c>
      <c r="C761" s="54"/>
      <c r="D761" s="54"/>
      <c r="E761" s="322">
        <v>430000</v>
      </c>
      <c r="F761" s="225">
        <v>430000</v>
      </c>
      <c r="G761" s="225">
        <f t="shared" si="11"/>
        <v>100</v>
      </c>
    </row>
    <row r="762" spans="1:7">
      <c r="A762" s="274" t="s">
        <v>484</v>
      </c>
      <c r="B762" s="140" t="s">
        <v>892</v>
      </c>
      <c r="C762" s="54" t="s">
        <v>485</v>
      </c>
      <c r="D762" s="54"/>
      <c r="E762" s="322">
        <v>430000</v>
      </c>
      <c r="F762" s="225">
        <v>430000</v>
      </c>
      <c r="G762" s="225">
        <f t="shared" si="11"/>
        <v>100</v>
      </c>
    </row>
    <row r="763" spans="1:7">
      <c r="A763" s="274" t="s">
        <v>1440</v>
      </c>
      <c r="B763" s="140" t="s">
        <v>892</v>
      </c>
      <c r="C763" s="54" t="s">
        <v>485</v>
      </c>
      <c r="D763" s="54" t="s">
        <v>483</v>
      </c>
      <c r="E763" s="322">
        <v>430000</v>
      </c>
      <c r="F763" s="225">
        <v>430000</v>
      </c>
      <c r="G763" s="225">
        <f t="shared" si="11"/>
        <v>100</v>
      </c>
    </row>
    <row r="764" spans="1:7" ht="89.25">
      <c r="A764" s="274" t="s">
        <v>1887</v>
      </c>
      <c r="B764" s="140" t="s">
        <v>1888</v>
      </c>
      <c r="C764" s="54"/>
      <c r="D764" s="54"/>
      <c r="E764" s="322">
        <v>10000</v>
      </c>
      <c r="F764" s="225">
        <v>10000</v>
      </c>
      <c r="G764" s="225">
        <f t="shared" si="11"/>
        <v>100</v>
      </c>
    </row>
    <row r="765" spans="1:7">
      <c r="A765" s="274" t="s">
        <v>484</v>
      </c>
      <c r="B765" s="140" t="s">
        <v>1888</v>
      </c>
      <c r="C765" s="54" t="s">
        <v>485</v>
      </c>
      <c r="D765" s="54"/>
      <c r="E765" s="322">
        <v>10000</v>
      </c>
      <c r="F765" s="225">
        <v>10000</v>
      </c>
      <c r="G765" s="225">
        <f t="shared" si="11"/>
        <v>100</v>
      </c>
    </row>
    <row r="766" spans="1:7">
      <c r="A766" s="274" t="s">
        <v>1440</v>
      </c>
      <c r="B766" s="140" t="s">
        <v>1888</v>
      </c>
      <c r="C766" s="54" t="s">
        <v>485</v>
      </c>
      <c r="D766" s="54" t="s">
        <v>483</v>
      </c>
      <c r="E766" s="322">
        <v>10000</v>
      </c>
      <c r="F766" s="225">
        <v>10000</v>
      </c>
      <c r="G766" s="225">
        <f t="shared" si="11"/>
        <v>100</v>
      </c>
    </row>
    <row r="767" spans="1:7" ht="25.5">
      <c r="A767" s="274" t="s">
        <v>598</v>
      </c>
      <c r="B767" s="140" t="s">
        <v>1218</v>
      </c>
      <c r="C767" s="54"/>
      <c r="D767" s="54"/>
      <c r="E767" s="322">
        <v>6711504</v>
      </c>
      <c r="F767" s="225">
        <v>6711504</v>
      </c>
      <c r="G767" s="225">
        <f t="shared" si="11"/>
        <v>100</v>
      </c>
    </row>
    <row r="768" spans="1:7" ht="76.5">
      <c r="A768" s="274" t="s">
        <v>526</v>
      </c>
      <c r="B768" s="140" t="s">
        <v>1311</v>
      </c>
      <c r="C768" s="54"/>
      <c r="D768" s="54"/>
      <c r="E768" s="322">
        <v>2555400</v>
      </c>
      <c r="F768" s="225">
        <v>2555400</v>
      </c>
      <c r="G768" s="225">
        <f t="shared" si="11"/>
        <v>100</v>
      </c>
    </row>
    <row r="769" spans="1:7">
      <c r="A769" s="274" t="s">
        <v>768</v>
      </c>
      <c r="B769" s="140" t="s">
        <v>1311</v>
      </c>
      <c r="C769" s="54" t="s">
        <v>767</v>
      </c>
      <c r="D769" s="54"/>
      <c r="E769" s="322">
        <v>2555400</v>
      </c>
      <c r="F769" s="225">
        <v>2555400</v>
      </c>
      <c r="G769" s="225">
        <f t="shared" si="11"/>
        <v>100</v>
      </c>
    </row>
    <row r="770" spans="1:7">
      <c r="A770" s="274" t="s">
        <v>127</v>
      </c>
      <c r="B770" s="140" t="s">
        <v>1311</v>
      </c>
      <c r="C770" s="54" t="s">
        <v>767</v>
      </c>
      <c r="D770" s="54" t="s">
        <v>496</v>
      </c>
      <c r="E770" s="322">
        <v>2555400</v>
      </c>
      <c r="F770" s="225">
        <v>2555400</v>
      </c>
      <c r="G770" s="225">
        <f t="shared" si="11"/>
        <v>100</v>
      </c>
    </row>
    <row r="771" spans="1:7" ht="63.75">
      <c r="A771" s="274" t="s">
        <v>1116</v>
      </c>
      <c r="B771" s="140" t="s">
        <v>1815</v>
      </c>
      <c r="C771" s="54"/>
      <c r="D771" s="54"/>
      <c r="E771" s="322">
        <v>4156104</v>
      </c>
      <c r="F771" s="225">
        <v>4156104</v>
      </c>
      <c r="G771" s="225">
        <f t="shared" si="11"/>
        <v>100</v>
      </c>
    </row>
    <row r="772" spans="1:7">
      <c r="A772" s="274" t="s">
        <v>768</v>
      </c>
      <c r="B772" s="140" t="s">
        <v>1815</v>
      </c>
      <c r="C772" s="54" t="s">
        <v>767</v>
      </c>
      <c r="D772" s="54"/>
      <c r="E772" s="322">
        <v>4156104</v>
      </c>
      <c r="F772" s="225">
        <v>4156104</v>
      </c>
      <c r="G772" s="225">
        <f t="shared" si="11"/>
        <v>100</v>
      </c>
    </row>
    <row r="773" spans="1:7">
      <c r="A773" s="274" t="s">
        <v>127</v>
      </c>
      <c r="B773" s="140" t="s">
        <v>1815</v>
      </c>
      <c r="C773" s="54" t="s">
        <v>767</v>
      </c>
      <c r="D773" s="54" t="s">
        <v>496</v>
      </c>
      <c r="E773" s="322">
        <v>4156104</v>
      </c>
      <c r="F773" s="225">
        <v>4156104</v>
      </c>
      <c r="G773" s="225">
        <f t="shared" si="11"/>
        <v>100</v>
      </c>
    </row>
    <row r="774" spans="1:7" ht="25.5">
      <c r="A774" s="274" t="s">
        <v>574</v>
      </c>
      <c r="B774" s="140" t="s">
        <v>1219</v>
      </c>
      <c r="C774" s="54"/>
      <c r="D774" s="54"/>
      <c r="E774" s="322">
        <v>7265506</v>
      </c>
      <c r="F774" s="225">
        <v>7181732.5</v>
      </c>
      <c r="G774" s="225">
        <f t="shared" si="11"/>
        <v>98.846969502192962</v>
      </c>
    </row>
    <row r="775" spans="1:7" ht="63.75">
      <c r="A775" s="274" t="s">
        <v>1744</v>
      </c>
      <c r="B775" s="140" t="s">
        <v>1745</v>
      </c>
      <c r="C775" s="54"/>
      <c r="D775" s="54"/>
      <c r="E775" s="322">
        <v>675300</v>
      </c>
      <c r="F775" s="225">
        <v>675300</v>
      </c>
      <c r="G775" s="225">
        <f t="shared" si="11"/>
        <v>100</v>
      </c>
    </row>
    <row r="776" spans="1:7" ht="51">
      <c r="A776" s="274" t="s">
        <v>465</v>
      </c>
      <c r="B776" s="140" t="s">
        <v>1745</v>
      </c>
      <c r="C776" s="54" t="s">
        <v>466</v>
      </c>
      <c r="D776" s="54"/>
      <c r="E776" s="322">
        <v>675300</v>
      </c>
      <c r="F776" s="225">
        <v>675300</v>
      </c>
      <c r="G776" s="225">
        <f t="shared" ref="G776:G839" si="12">F776/E776*100</f>
        <v>100</v>
      </c>
    </row>
    <row r="777" spans="1:7">
      <c r="A777" s="274" t="s">
        <v>1440</v>
      </c>
      <c r="B777" s="140" t="s">
        <v>1745</v>
      </c>
      <c r="C777" s="54" t="s">
        <v>466</v>
      </c>
      <c r="D777" s="54" t="s">
        <v>483</v>
      </c>
      <c r="E777" s="322">
        <v>675300</v>
      </c>
      <c r="F777" s="225">
        <v>675300</v>
      </c>
      <c r="G777" s="225">
        <f t="shared" si="12"/>
        <v>100</v>
      </c>
    </row>
    <row r="778" spans="1:7" ht="102">
      <c r="A778" s="274" t="s">
        <v>489</v>
      </c>
      <c r="B778" s="140" t="s">
        <v>894</v>
      </c>
      <c r="C778" s="54"/>
      <c r="D778" s="54"/>
      <c r="E778" s="322">
        <v>4917400</v>
      </c>
      <c r="F778" s="225">
        <v>4917400</v>
      </c>
      <c r="G778" s="225">
        <f t="shared" si="12"/>
        <v>100</v>
      </c>
    </row>
    <row r="779" spans="1:7" ht="51">
      <c r="A779" s="274" t="s">
        <v>465</v>
      </c>
      <c r="B779" s="140" t="s">
        <v>894</v>
      </c>
      <c r="C779" s="54" t="s">
        <v>466</v>
      </c>
      <c r="D779" s="54"/>
      <c r="E779" s="322">
        <v>4917400</v>
      </c>
      <c r="F779" s="225">
        <v>4917400</v>
      </c>
      <c r="G779" s="225">
        <f t="shared" si="12"/>
        <v>100</v>
      </c>
    </row>
    <row r="780" spans="1:7">
      <c r="A780" s="274" t="s">
        <v>1440</v>
      </c>
      <c r="B780" s="140" t="s">
        <v>894</v>
      </c>
      <c r="C780" s="54" t="s">
        <v>466</v>
      </c>
      <c r="D780" s="54" t="s">
        <v>483</v>
      </c>
      <c r="E780" s="322">
        <v>4917400</v>
      </c>
      <c r="F780" s="225">
        <v>4917400</v>
      </c>
      <c r="G780" s="225">
        <f t="shared" si="12"/>
        <v>100</v>
      </c>
    </row>
    <row r="781" spans="1:7" ht="127.5">
      <c r="A781" s="274" t="s">
        <v>490</v>
      </c>
      <c r="B781" s="140" t="s">
        <v>895</v>
      </c>
      <c r="C781" s="54"/>
      <c r="D781" s="54"/>
      <c r="E781" s="322">
        <v>828106</v>
      </c>
      <c r="F781" s="225">
        <v>828106</v>
      </c>
      <c r="G781" s="225">
        <f t="shared" si="12"/>
        <v>100</v>
      </c>
    </row>
    <row r="782" spans="1:7" ht="51">
      <c r="A782" s="274" t="s">
        <v>465</v>
      </c>
      <c r="B782" s="140" t="s">
        <v>895</v>
      </c>
      <c r="C782" s="54" t="s">
        <v>466</v>
      </c>
      <c r="D782" s="54"/>
      <c r="E782" s="322">
        <v>828106</v>
      </c>
      <c r="F782" s="225">
        <v>828106</v>
      </c>
      <c r="G782" s="225">
        <f t="shared" si="12"/>
        <v>100</v>
      </c>
    </row>
    <row r="783" spans="1:7">
      <c r="A783" s="274" t="s">
        <v>1440</v>
      </c>
      <c r="B783" s="140" t="s">
        <v>895</v>
      </c>
      <c r="C783" s="54" t="s">
        <v>466</v>
      </c>
      <c r="D783" s="54" t="s">
        <v>483</v>
      </c>
      <c r="E783" s="322">
        <v>828106</v>
      </c>
      <c r="F783" s="225">
        <v>828106</v>
      </c>
      <c r="G783" s="225">
        <f t="shared" si="12"/>
        <v>100</v>
      </c>
    </row>
    <row r="784" spans="1:7" ht="89.25">
      <c r="A784" s="274" t="s">
        <v>1118</v>
      </c>
      <c r="B784" s="140" t="s">
        <v>1117</v>
      </c>
      <c r="C784" s="54"/>
      <c r="D784" s="54"/>
      <c r="E784" s="322">
        <v>50000</v>
      </c>
      <c r="F784" s="225">
        <v>7242.7</v>
      </c>
      <c r="G784" s="225">
        <f t="shared" si="12"/>
        <v>14.485399999999998</v>
      </c>
    </row>
    <row r="785" spans="1:7">
      <c r="A785" s="274" t="s">
        <v>484</v>
      </c>
      <c r="B785" s="140" t="s">
        <v>1117</v>
      </c>
      <c r="C785" s="54" t="s">
        <v>485</v>
      </c>
      <c r="D785" s="54"/>
      <c r="E785" s="322">
        <v>50000</v>
      </c>
      <c r="F785" s="225">
        <v>7242.7</v>
      </c>
      <c r="G785" s="225">
        <f t="shared" si="12"/>
        <v>14.485399999999998</v>
      </c>
    </row>
    <row r="786" spans="1:7">
      <c r="A786" s="274" t="s">
        <v>1440</v>
      </c>
      <c r="B786" s="140" t="s">
        <v>1117</v>
      </c>
      <c r="C786" s="54" t="s">
        <v>485</v>
      </c>
      <c r="D786" s="54" t="s">
        <v>483</v>
      </c>
      <c r="E786" s="322">
        <v>50000</v>
      </c>
      <c r="F786" s="225">
        <v>7242.7</v>
      </c>
      <c r="G786" s="225">
        <f t="shared" si="12"/>
        <v>14.485399999999998</v>
      </c>
    </row>
    <row r="787" spans="1:7" ht="63.75">
      <c r="A787" s="274" t="s">
        <v>488</v>
      </c>
      <c r="B787" s="140" t="s">
        <v>893</v>
      </c>
      <c r="C787" s="54"/>
      <c r="D787" s="54"/>
      <c r="E787" s="322">
        <v>794700</v>
      </c>
      <c r="F787" s="225">
        <v>753683.8</v>
      </c>
      <c r="G787" s="225">
        <f t="shared" si="12"/>
        <v>94.838781930288164</v>
      </c>
    </row>
    <row r="788" spans="1:7">
      <c r="A788" s="274" t="s">
        <v>484</v>
      </c>
      <c r="B788" s="140" t="s">
        <v>893</v>
      </c>
      <c r="C788" s="54" t="s">
        <v>485</v>
      </c>
      <c r="D788" s="54"/>
      <c r="E788" s="322">
        <v>794700</v>
      </c>
      <c r="F788" s="225">
        <v>753683.8</v>
      </c>
      <c r="G788" s="225">
        <f t="shared" si="12"/>
        <v>94.838781930288164</v>
      </c>
    </row>
    <row r="789" spans="1:7">
      <c r="A789" s="274" t="s">
        <v>1440</v>
      </c>
      <c r="B789" s="140" t="s">
        <v>893</v>
      </c>
      <c r="C789" s="54" t="s">
        <v>485</v>
      </c>
      <c r="D789" s="54" t="s">
        <v>483</v>
      </c>
      <c r="E789" s="322">
        <v>794700</v>
      </c>
      <c r="F789" s="225">
        <v>753683.8</v>
      </c>
      <c r="G789" s="225">
        <f t="shared" si="12"/>
        <v>94.838781930288164</v>
      </c>
    </row>
    <row r="790" spans="1:7" ht="25.5">
      <c r="A790" s="274" t="s">
        <v>601</v>
      </c>
      <c r="B790" s="140" t="s">
        <v>1220</v>
      </c>
      <c r="C790" s="54"/>
      <c r="D790" s="54"/>
      <c r="E790" s="322">
        <v>1945700</v>
      </c>
      <c r="F790" s="225">
        <v>1616842.56</v>
      </c>
      <c r="G790" s="225">
        <f t="shared" si="12"/>
        <v>83.098245361566541</v>
      </c>
    </row>
    <row r="791" spans="1:7" ht="25.5">
      <c r="A791" s="274" t="s">
        <v>602</v>
      </c>
      <c r="B791" s="140" t="s">
        <v>1221</v>
      </c>
      <c r="C791" s="54"/>
      <c r="D791" s="54"/>
      <c r="E791" s="322">
        <v>1745700</v>
      </c>
      <c r="F791" s="225">
        <v>1436944.36</v>
      </c>
      <c r="G791" s="225">
        <f t="shared" si="12"/>
        <v>82.313361975138918</v>
      </c>
    </row>
    <row r="792" spans="1:7" ht="63.75">
      <c r="A792" s="274" t="s">
        <v>500</v>
      </c>
      <c r="B792" s="140" t="s">
        <v>897</v>
      </c>
      <c r="C792" s="54"/>
      <c r="D792" s="54"/>
      <c r="E792" s="322">
        <v>632026.26</v>
      </c>
      <c r="F792" s="225">
        <v>468562.93</v>
      </c>
      <c r="G792" s="225">
        <f t="shared" si="12"/>
        <v>74.136623690287806</v>
      </c>
    </row>
    <row r="793" spans="1:7" ht="38.25">
      <c r="A793" s="274" t="s">
        <v>1619</v>
      </c>
      <c r="B793" s="140" t="s">
        <v>897</v>
      </c>
      <c r="C793" s="54" t="s">
        <v>1295</v>
      </c>
      <c r="D793" s="54"/>
      <c r="E793" s="322">
        <v>20000</v>
      </c>
      <c r="F793" s="225">
        <v>20000</v>
      </c>
      <c r="G793" s="225">
        <f t="shared" si="12"/>
        <v>100</v>
      </c>
    </row>
    <row r="794" spans="1:7">
      <c r="A794" s="274" t="s">
        <v>258</v>
      </c>
      <c r="B794" s="140" t="s">
        <v>897</v>
      </c>
      <c r="C794" s="54" t="s">
        <v>1295</v>
      </c>
      <c r="D794" s="54" t="s">
        <v>499</v>
      </c>
      <c r="E794" s="322">
        <v>20000</v>
      </c>
      <c r="F794" s="225">
        <v>20000</v>
      </c>
      <c r="G794" s="225">
        <f t="shared" si="12"/>
        <v>100</v>
      </c>
    </row>
    <row r="795" spans="1:7" ht="25.5">
      <c r="A795" s="274" t="s">
        <v>445</v>
      </c>
      <c r="B795" s="140" t="s">
        <v>897</v>
      </c>
      <c r="C795" s="54" t="s">
        <v>446</v>
      </c>
      <c r="D795" s="54"/>
      <c r="E795" s="322">
        <v>612026.26</v>
      </c>
      <c r="F795" s="225">
        <v>448562.93</v>
      </c>
      <c r="G795" s="225">
        <f t="shared" si="12"/>
        <v>73.291451579218176</v>
      </c>
    </row>
    <row r="796" spans="1:7">
      <c r="A796" s="274" t="s">
        <v>258</v>
      </c>
      <c r="B796" s="140" t="s">
        <v>897</v>
      </c>
      <c r="C796" s="54" t="s">
        <v>446</v>
      </c>
      <c r="D796" s="54" t="s">
        <v>499</v>
      </c>
      <c r="E796" s="322">
        <v>612026.26</v>
      </c>
      <c r="F796" s="225">
        <v>448562.93</v>
      </c>
      <c r="G796" s="225">
        <f t="shared" si="12"/>
        <v>73.291451579218176</v>
      </c>
    </row>
    <row r="797" spans="1:7" ht="63.75">
      <c r="A797" s="274" t="s">
        <v>501</v>
      </c>
      <c r="B797" s="140" t="s">
        <v>898</v>
      </c>
      <c r="C797" s="54"/>
      <c r="D797" s="54"/>
      <c r="E797" s="322">
        <v>858738.74</v>
      </c>
      <c r="F797" s="225">
        <v>713446.43</v>
      </c>
      <c r="G797" s="225">
        <f t="shared" si="12"/>
        <v>83.080731864967461</v>
      </c>
    </row>
    <row r="798" spans="1:7" ht="25.5">
      <c r="A798" s="274" t="s">
        <v>1617</v>
      </c>
      <c r="B798" s="140" t="s">
        <v>898</v>
      </c>
      <c r="C798" s="54" t="s">
        <v>509</v>
      </c>
      <c r="D798" s="54"/>
      <c r="E798" s="322">
        <v>60000</v>
      </c>
      <c r="F798" s="225">
        <v>53531</v>
      </c>
      <c r="G798" s="225">
        <f t="shared" si="12"/>
        <v>89.218333333333334</v>
      </c>
    </row>
    <row r="799" spans="1:7">
      <c r="A799" s="274" t="s">
        <v>258</v>
      </c>
      <c r="B799" s="140" t="s">
        <v>898</v>
      </c>
      <c r="C799" s="54" t="s">
        <v>509</v>
      </c>
      <c r="D799" s="54" t="s">
        <v>499</v>
      </c>
      <c r="E799" s="322">
        <v>60000</v>
      </c>
      <c r="F799" s="225">
        <v>53531</v>
      </c>
      <c r="G799" s="225">
        <f t="shared" si="12"/>
        <v>89.218333333333334</v>
      </c>
    </row>
    <row r="800" spans="1:7" ht="38.25">
      <c r="A800" s="274" t="s">
        <v>1619</v>
      </c>
      <c r="B800" s="140" t="s">
        <v>898</v>
      </c>
      <c r="C800" s="54" t="s">
        <v>1295</v>
      </c>
      <c r="D800" s="54"/>
      <c r="E800" s="322">
        <v>486123.61</v>
      </c>
      <c r="F800" s="225">
        <v>462713.2</v>
      </c>
      <c r="G800" s="225">
        <f t="shared" si="12"/>
        <v>95.184268050671321</v>
      </c>
    </row>
    <row r="801" spans="1:7">
      <c r="A801" s="274" t="s">
        <v>258</v>
      </c>
      <c r="B801" s="140" t="s">
        <v>898</v>
      </c>
      <c r="C801" s="54" t="s">
        <v>1295</v>
      </c>
      <c r="D801" s="54" t="s">
        <v>499</v>
      </c>
      <c r="E801" s="322">
        <v>486123.61</v>
      </c>
      <c r="F801" s="225">
        <v>462713.2</v>
      </c>
      <c r="G801" s="225">
        <f t="shared" si="12"/>
        <v>95.184268050671321</v>
      </c>
    </row>
    <row r="802" spans="1:7" ht="25.5">
      <c r="A802" s="274" t="s">
        <v>445</v>
      </c>
      <c r="B802" s="140" t="s">
        <v>898</v>
      </c>
      <c r="C802" s="54" t="s">
        <v>446</v>
      </c>
      <c r="D802" s="54"/>
      <c r="E802" s="322">
        <v>312615.13</v>
      </c>
      <c r="F802" s="225">
        <v>197202.23</v>
      </c>
      <c r="G802" s="225">
        <f t="shared" si="12"/>
        <v>63.081473375904743</v>
      </c>
    </row>
    <row r="803" spans="1:7">
      <c r="A803" s="274" t="s">
        <v>258</v>
      </c>
      <c r="B803" s="140" t="s">
        <v>898</v>
      </c>
      <c r="C803" s="54" t="s">
        <v>446</v>
      </c>
      <c r="D803" s="54" t="s">
        <v>499</v>
      </c>
      <c r="E803" s="322">
        <v>312615.13</v>
      </c>
      <c r="F803" s="225">
        <v>197202.23</v>
      </c>
      <c r="G803" s="225">
        <f t="shared" si="12"/>
        <v>63.081473375904743</v>
      </c>
    </row>
    <row r="804" spans="1:7" ht="51">
      <c r="A804" s="274" t="s">
        <v>1620</v>
      </c>
      <c r="B804" s="140" t="s">
        <v>1621</v>
      </c>
      <c r="C804" s="54"/>
      <c r="D804" s="54"/>
      <c r="E804" s="322">
        <v>254935</v>
      </c>
      <c r="F804" s="225">
        <v>254935</v>
      </c>
      <c r="G804" s="225">
        <f t="shared" si="12"/>
        <v>100</v>
      </c>
    </row>
    <row r="805" spans="1:7" ht="25.5">
      <c r="A805" s="274" t="s">
        <v>445</v>
      </c>
      <c r="B805" s="140" t="s">
        <v>1621</v>
      </c>
      <c r="C805" s="54" t="s">
        <v>446</v>
      </c>
      <c r="D805" s="54"/>
      <c r="E805" s="322">
        <v>254935</v>
      </c>
      <c r="F805" s="225">
        <v>254935</v>
      </c>
      <c r="G805" s="225">
        <f t="shared" si="12"/>
        <v>100</v>
      </c>
    </row>
    <row r="806" spans="1:7">
      <c r="A806" s="274" t="s">
        <v>258</v>
      </c>
      <c r="B806" s="140" t="s">
        <v>1621</v>
      </c>
      <c r="C806" s="54" t="s">
        <v>446</v>
      </c>
      <c r="D806" s="54" t="s">
        <v>499</v>
      </c>
      <c r="E806" s="322">
        <v>254935</v>
      </c>
      <c r="F806" s="225">
        <v>254935</v>
      </c>
      <c r="G806" s="225">
        <f t="shared" si="12"/>
        <v>100</v>
      </c>
    </row>
    <row r="807" spans="1:7" ht="25.5">
      <c r="A807" s="274" t="s">
        <v>604</v>
      </c>
      <c r="B807" s="140" t="s">
        <v>1222</v>
      </c>
      <c r="C807" s="54"/>
      <c r="D807" s="54"/>
      <c r="E807" s="322">
        <v>200000</v>
      </c>
      <c r="F807" s="225">
        <v>179898.2</v>
      </c>
      <c r="G807" s="225">
        <f t="shared" si="12"/>
        <v>89.949100000000001</v>
      </c>
    </row>
    <row r="808" spans="1:7" ht="76.5">
      <c r="A808" s="274" t="s">
        <v>633</v>
      </c>
      <c r="B808" s="140" t="s">
        <v>899</v>
      </c>
      <c r="C808" s="54"/>
      <c r="D808" s="54"/>
      <c r="E808" s="322">
        <v>16900</v>
      </c>
      <c r="F808" s="225">
        <v>16900</v>
      </c>
      <c r="G808" s="225">
        <f t="shared" si="12"/>
        <v>100</v>
      </c>
    </row>
    <row r="809" spans="1:7">
      <c r="A809" s="274" t="s">
        <v>484</v>
      </c>
      <c r="B809" s="140" t="s">
        <v>899</v>
      </c>
      <c r="C809" s="54" t="s">
        <v>485</v>
      </c>
      <c r="D809" s="54"/>
      <c r="E809" s="322">
        <v>16900</v>
      </c>
      <c r="F809" s="225">
        <v>16900</v>
      </c>
      <c r="G809" s="225">
        <f t="shared" si="12"/>
        <v>100</v>
      </c>
    </row>
    <row r="810" spans="1:7">
      <c r="A810" s="54" t="s">
        <v>258</v>
      </c>
      <c r="B810" s="308" t="s">
        <v>899</v>
      </c>
      <c r="C810" s="6" t="s">
        <v>485</v>
      </c>
      <c r="D810" s="6" t="s">
        <v>499</v>
      </c>
      <c r="E810" s="323">
        <v>16900</v>
      </c>
      <c r="F810" s="225">
        <v>16900</v>
      </c>
      <c r="G810" s="225">
        <f t="shared" si="12"/>
        <v>100</v>
      </c>
    </row>
    <row r="811" spans="1:7" ht="63.75">
      <c r="A811" s="54" t="s">
        <v>502</v>
      </c>
      <c r="B811" s="308" t="s">
        <v>900</v>
      </c>
      <c r="C811" s="6"/>
      <c r="D811" s="6"/>
      <c r="E811" s="323">
        <v>176400</v>
      </c>
      <c r="F811" s="225">
        <v>162998.20000000001</v>
      </c>
      <c r="G811" s="225">
        <f t="shared" si="12"/>
        <v>92.402607709750569</v>
      </c>
    </row>
    <row r="812" spans="1:7">
      <c r="A812" s="54" t="s">
        <v>484</v>
      </c>
      <c r="B812" s="308" t="s">
        <v>900</v>
      </c>
      <c r="C812" s="6" t="s">
        <v>485</v>
      </c>
      <c r="D812" s="6"/>
      <c r="E812" s="323">
        <v>176400</v>
      </c>
      <c r="F812" s="225">
        <v>162998.20000000001</v>
      </c>
      <c r="G812" s="225">
        <f t="shared" si="12"/>
        <v>92.402607709750569</v>
      </c>
    </row>
    <row r="813" spans="1:7">
      <c r="A813" s="54" t="s">
        <v>258</v>
      </c>
      <c r="B813" s="308" t="s">
        <v>900</v>
      </c>
      <c r="C813" s="6" t="s">
        <v>485</v>
      </c>
      <c r="D813" s="6" t="s">
        <v>499</v>
      </c>
      <c r="E813" s="323">
        <v>176400</v>
      </c>
      <c r="F813" s="225">
        <v>162998.20000000001</v>
      </c>
      <c r="G813" s="225">
        <f t="shared" si="12"/>
        <v>92.402607709750569</v>
      </c>
    </row>
    <row r="814" spans="1:7" ht="89.25">
      <c r="A814" s="160" t="s">
        <v>503</v>
      </c>
      <c r="B814" s="308" t="s">
        <v>901</v>
      </c>
      <c r="C814" s="6"/>
      <c r="D814" s="6"/>
      <c r="E814" s="323">
        <v>6700</v>
      </c>
      <c r="F814" s="225">
        <v>0</v>
      </c>
      <c r="G814" s="225">
        <f t="shared" si="12"/>
        <v>0</v>
      </c>
    </row>
    <row r="815" spans="1:7">
      <c r="A815" s="54" t="s">
        <v>484</v>
      </c>
      <c r="B815" s="308" t="s">
        <v>901</v>
      </c>
      <c r="C815" s="6" t="s">
        <v>485</v>
      </c>
      <c r="D815" s="6"/>
      <c r="E815" s="323">
        <v>6700</v>
      </c>
      <c r="F815" s="225">
        <v>0</v>
      </c>
      <c r="G815" s="225">
        <f t="shared" si="12"/>
        <v>0</v>
      </c>
    </row>
    <row r="816" spans="1:7">
      <c r="A816" s="54" t="s">
        <v>258</v>
      </c>
      <c r="B816" s="308" t="s">
        <v>901</v>
      </c>
      <c r="C816" s="6" t="s">
        <v>485</v>
      </c>
      <c r="D816" s="6" t="s">
        <v>499</v>
      </c>
      <c r="E816" s="323">
        <v>6700</v>
      </c>
      <c r="F816" s="225">
        <v>0</v>
      </c>
      <c r="G816" s="225">
        <f t="shared" si="12"/>
        <v>0</v>
      </c>
    </row>
    <row r="817" spans="1:7" ht="38.25">
      <c r="A817" s="54" t="s">
        <v>606</v>
      </c>
      <c r="B817" s="308" t="s">
        <v>1223</v>
      </c>
      <c r="C817" s="6"/>
      <c r="D817" s="6"/>
      <c r="E817" s="323">
        <v>2457000</v>
      </c>
      <c r="F817" s="225">
        <v>2457000</v>
      </c>
      <c r="G817" s="225">
        <f t="shared" si="12"/>
        <v>100</v>
      </c>
    </row>
    <row r="818" spans="1:7" ht="25.5">
      <c r="A818" s="54" t="s">
        <v>607</v>
      </c>
      <c r="B818" s="308" t="s">
        <v>1224</v>
      </c>
      <c r="C818" s="6"/>
      <c r="D818" s="6"/>
      <c r="E818" s="323">
        <v>2454000</v>
      </c>
      <c r="F818" s="225">
        <v>2454000</v>
      </c>
      <c r="G818" s="225">
        <f t="shared" si="12"/>
        <v>100</v>
      </c>
    </row>
    <row r="819" spans="1:7" ht="102">
      <c r="A819" s="160" t="s">
        <v>1120</v>
      </c>
      <c r="B819" s="308" t="s">
        <v>1119</v>
      </c>
      <c r="C819" s="6"/>
      <c r="D819" s="6"/>
      <c r="E819" s="323">
        <v>1500000</v>
      </c>
      <c r="F819" s="225">
        <v>1500000</v>
      </c>
      <c r="G819" s="225">
        <f t="shared" si="12"/>
        <v>100</v>
      </c>
    </row>
    <row r="820" spans="1:7" ht="51">
      <c r="A820" s="54" t="s">
        <v>1740</v>
      </c>
      <c r="B820" s="308" t="s">
        <v>1119</v>
      </c>
      <c r="C820" s="6" t="s">
        <v>1741</v>
      </c>
      <c r="D820" s="6"/>
      <c r="E820" s="323">
        <v>1500000</v>
      </c>
      <c r="F820" s="225">
        <v>1500000</v>
      </c>
      <c r="G820" s="225">
        <f t="shared" si="12"/>
        <v>100</v>
      </c>
    </row>
    <row r="821" spans="1:7">
      <c r="A821" s="54" t="s">
        <v>180</v>
      </c>
      <c r="B821" s="308" t="s">
        <v>1119</v>
      </c>
      <c r="C821" s="6" t="s">
        <v>1741</v>
      </c>
      <c r="D821" s="6" t="s">
        <v>478</v>
      </c>
      <c r="E821" s="323">
        <v>1500000</v>
      </c>
      <c r="F821" s="225">
        <v>1500000</v>
      </c>
      <c r="G821" s="225">
        <f t="shared" si="12"/>
        <v>100</v>
      </c>
    </row>
    <row r="822" spans="1:7" ht="102">
      <c r="A822" s="160" t="s">
        <v>1606</v>
      </c>
      <c r="B822" s="308" t="s">
        <v>883</v>
      </c>
      <c r="C822" s="6"/>
      <c r="D822" s="6"/>
      <c r="E822" s="323">
        <v>865052.63</v>
      </c>
      <c r="F822" s="225">
        <v>865052.63</v>
      </c>
      <c r="G822" s="225">
        <f t="shared" si="12"/>
        <v>100</v>
      </c>
    </row>
    <row r="823" spans="1:7" ht="51">
      <c r="A823" s="54" t="s">
        <v>1740</v>
      </c>
      <c r="B823" s="308" t="s">
        <v>883</v>
      </c>
      <c r="C823" s="6" t="s">
        <v>1741</v>
      </c>
      <c r="D823" s="6"/>
      <c r="E823" s="323">
        <v>865052.63</v>
      </c>
      <c r="F823" s="225">
        <v>865052.63</v>
      </c>
      <c r="G823" s="225">
        <f t="shared" si="12"/>
        <v>100</v>
      </c>
    </row>
    <row r="824" spans="1:7">
      <c r="A824" s="54" t="s">
        <v>180</v>
      </c>
      <c r="B824" s="308" t="s">
        <v>883</v>
      </c>
      <c r="C824" s="6" t="s">
        <v>1741</v>
      </c>
      <c r="D824" s="6" t="s">
        <v>478</v>
      </c>
      <c r="E824" s="323">
        <v>865052.63</v>
      </c>
      <c r="F824" s="225">
        <v>865052.63</v>
      </c>
      <c r="G824" s="225">
        <f t="shared" si="12"/>
        <v>100</v>
      </c>
    </row>
    <row r="825" spans="1:7" ht="89.25">
      <c r="A825" s="160" t="s">
        <v>479</v>
      </c>
      <c r="B825" s="308" t="s">
        <v>881</v>
      </c>
      <c r="C825" s="6"/>
      <c r="D825" s="6"/>
      <c r="E825" s="323">
        <v>10000</v>
      </c>
      <c r="F825" s="225">
        <v>10000</v>
      </c>
      <c r="G825" s="225">
        <f t="shared" si="12"/>
        <v>100</v>
      </c>
    </row>
    <row r="826" spans="1:7" ht="25.5">
      <c r="A826" s="54" t="s">
        <v>445</v>
      </c>
      <c r="B826" s="308" t="s">
        <v>881</v>
      </c>
      <c r="C826" s="6" t="s">
        <v>446</v>
      </c>
      <c r="D826" s="6"/>
      <c r="E826" s="323">
        <v>10000</v>
      </c>
      <c r="F826" s="225">
        <v>10000</v>
      </c>
      <c r="G826" s="225">
        <f t="shared" si="12"/>
        <v>100</v>
      </c>
    </row>
    <row r="827" spans="1:7">
      <c r="A827" s="54" t="s">
        <v>180</v>
      </c>
      <c r="B827" s="308" t="s">
        <v>881</v>
      </c>
      <c r="C827" s="6" t="s">
        <v>446</v>
      </c>
      <c r="D827" s="6" t="s">
        <v>478</v>
      </c>
      <c r="E827" s="323">
        <v>10000</v>
      </c>
      <c r="F827" s="225">
        <v>10000</v>
      </c>
      <c r="G827" s="225">
        <f t="shared" si="12"/>
        <v>100</v>
      </c>
    </row>
    <row r="828" spans="1:7" ht="114.75">
      <c r="A828" s="160" t="s">
        <v>1949</v>
      </c>
      <c r="B828" s="308" t="s">
        <v>1950</v>
      </c>
      <c r="C828" s="6"/>
      <c r="D828" s="6"/>
      <c r="E828" s="323">
        <v>78947.37</v>
      </c>
      <c r="F828" s="225">
        <v>78947.37</v>
      </c>
      <c r="G828" s="225">
        <f t="shared" si="12"/>
        <v>100</v>
      </c>
    </row>
    <row r="829" spans="1:7" ht="51">
      <c r="A829" s="54" t="s">
        <v>1740</v>
      </c>
      <c r="B829" s="308" t="s">
        <v>1950</v>
      </c>
      <c r="C829" s="6" t="s">
        <v>1741</v>
      </c>
      <c r="D829" s="6"/>
      <c r="E829" s="323">
        <v>78947.37</v>
      </c>
      <c r="F829" s="225">
        <v>78947.37</v>
      </c>
      <c r="G829" s="225">
        <f t="shared" si="12"/>
        <v>100</v>
      </c>
    </row>
    <row r="830" spans="1:7">
      <c r="A830" s="54" t="s">
        <v>180</v>
      </c>
      <c r="B830" s="308" t="s">
        <v>1950</v>
      </c>
      <c r="C830" s="6" t="s">
        <v>1741</v>
      </c>
      <c r="D830" s="6" t="s">
        <v>478</v>
      </c>
      <c r="E830" s="323">
        <v>78947.37</v>
      </c>
      <c r="F830" s="225">
        <v>78947.37</v>
      </c>
      <c r="G830" s="225">
        <f t="shared" si="12"/>
        <v>100</v>
      </c>
    </row>
    <row r="831" spans="1:7" ht="25.5">
      <c r="A831" s="54" t="s">
        <v>574</v>
      </c>
      <c r="B831" s="308" t="s">
        <v>1225</v>
      </c>
      <c r="C831" s="6"/>
      <c r="D831" s="6"/>
      <c r="E831" s="323">
        <v>3000</v>
      </c>
      <c r="F831" s="225">
        <v>3000</v>
      </c>
      <c r="G831" s="225">
        <f t="shared" si="12"/>
        <v>100</v>
      </c>
    </row>
    <row r="832" spans="1:7" ht="89.25">
      <c r="A832" s="160" t="s">
        <v>630</v>
      </c>
      <c r="B832" s="308" t="s">
        <v>884</v>
      </c>
      <c r="C832" s="6"/>
      <c r="D832" s="6"/>
      <c r="E832" s="323">
        <v>3000</v>
      </c>
      <c r="F832" s="225">
        <v>3000</v>
      </c>
      <c r="G832" s="225">
        <f t="shared" si="12"/>
        <v>100</v>
      </c>
    </row>
    <row r="833" spans="1:7" ht="25.5">
      <c r="A833" s="54" t="s">
        <v>445</v>
      </c>
      <c r="B833" s="308" t="s">
        <v>884</v>
      </c>
      <c r="C833" s="6" t="s">
        <v>446</v>
      </c>
      <c r="D833" s="6"/>
      <c r="E833" s="323">
        <v>3000</v>
      </c>
      <c r="F833" s="225">
        <v>3000</v>
      </c>
      <c r="G833" s="225">
        <f t="shared" si="12"/>
        <v>100</v>
      </c>
    </row>
    <row r="834" spans="1:7">
      <c r="A834" s="54" t="s">
        <v>180</v>
      </c>
      <c r="B834" s="308" t="s">
        <v>884</v>
      </c>
      <c r="C834" s="6" t="s">
        <v>446</v>
      </c>
      <c r="D834" s="6" t="s">
        <v>478</v>
      </c>
      <c r="E834" s="323">
        <v>3000</v>
      </c>
      <c r="F834" s="225">
        <v>3000</v>
      </c>
      <c r="G834" s="225">
        <f t="shared" si="12"/>
        <v>100</v>
      </c>
    </row>
    <row r="835" spans="1:7" ht="25.5">
      <c r="A835" s="54" t="s">
        <v>610</v>
      </c>
      <c r="B835" s="308" t="s">
        <v>1226</v>
      </c>
      <c r="C835" s="6"/>
      <c r="D835" s="6"/>
      <c r="E835" s="323">
        <v>70319280</v>
      </c>
      <c r="F835" s="225">
        <v>69744586.180000007</v>
      </c>
      <c r="G835" s="225">
        <f t="shared" si="12"/>
        <v>99.18273648421885</v>
      </c>
    </row>
    <row r="836" spans="1:7">
      <c r="A836" s="54" t="s">
        <v>611</v>
      </c>
      <c r="B836" s="308" t="s">
        <v>1227</v>
      </c>
      <c r="C836" s="6"/>
      <c r="D836" s="6"/>
      <c r="E836" s="323">
        <v>35013530</v>
      </c>
      <c r="F836" s="225">
        <v>34762366.649999999</v>
      </c>
      <c r="G836" s="225">
        <f t="shared" si="12"/>
        <v>99.282667728732292</v>
      </c>
    </row>
    <row r="837" spans="1:7" ht="76.5">
      <c r="A837" s="160" t="s">
        <v>1773</v>
      </c>
      <c r="B837" s="308" t="s">
        <v>1121</v>
      </c>
      <c r="C837" s="6"/>
      <c r="D837" s="6"/>
      <c r="E837" s="323">
        <v>5912130</v>
      </c>
      <c r="F837" s="225">
        <v>5912130</v>
      </c>
      <c r="G837" s="225">
        <f t="shared" si="12"/>
        <v>100</v>
      </c>
    </row>
    <row r="838" spans="1:7">
      <c r="A838" s="54" t="s">
        <v>93</v>
      </c>
      <c r="B838" s="308" t="s">
        <v>1121</v>
      </c>
      <c r="C838" s="6" t="s">
        <v>550</v>
      </c>
      <c r="D838" s="6"/>
      <c r="E838" s="320">
        <v>5912130</v>
      </c>
      <c r="F838" s="225">
        <v>5912130</v>
      </c>
      <c r="G838" s="225">
        <f t="shared" si="12"/>
        <v>100</v>
      </c>
    </row>
    <row r="839" spans="1:7">
      <c r="A839" s="54" t="s">
        <v>303</v>
      </c>
      <c r="B839" s="308" t="s">
        <v>1121</v>
      </c>
      <c r="C839" s="6" t="s">
        <v>550</v>
      </c>
      <c r="D839" s="6" t="s">
        <v>476</v>
      </c>
      <c r="E839" s="320">
        <v>5912130</v>
      </c>
      <c r="F839" s="225">
        <v>5912130</v>
      </c>
      <c r="G839" s="225">
        <f t="shared" si="12"/>
        <v>100</v>
      </c>
    </row>
    <row r="840" spans="1:7" ht="76.5">
      <c r="A840" s="160" t="s">
        <v>1774</v>
      </c>
      <c r="B840" s="308" t="s">
        <v>1775</v>
      </c>
      <c r="C840" s="6"/>
      <c r="D840" s="6"/>
      <c r="E840" s="320">
        <v>29068700</v>
      </c>
      <c r="F840" s="225">
        <v>28817536.649999999</v>
      </c>
      <c r="G840" s="225">
        <f t="shared" ref="G840:G903" si="13">F840/E840*100</f>
        <v>99.13596634868432</v>
      </c>
    </row>
    <row r="841" spans="1:7">
      <c r="A841" s="54" t="s">
        <v>93</v>
      </c>
      <c r="B841" s="308" t="s">
        <v>1775</v>
      </c>
      <c r="C841" s="6" t="s">
        <v>550</v>
      </c>
      <c r="D841" s="6"/>
      <c r="E841" s="320">
        <v>29068700</v>
      </c>
      <c r="F841" s="225">
        <v>28817536.649999999</v>
      </c>
      <c r="G841" s="225">
        <f t="shared" si="13"/>
        <v>99.13596634868432</v>
      </c>
    </row>
    <row r="842" spans="1:7">
      <c r="A842" s="54" t="s">
        <v>303</v>
      </c>
      <c r="B842" s="308" t="s">
        <v>1775</v>
      </c>
      <c r="C842" s="6" t="s">
        <v>550</v>
      </c>
      <c r="D842" s="6" t="s">
        <v>476</v>
      </c>
      <c r="E842" s="320">
        <v>29068700</v>
      </c>
      <c r="F842" s="225">
        <v>28817536.649999999</v>
      </c>
      <c r="G842" s="225">
        <f t="shared" si="13"/>
        <v>99.13596634868432</v>
      </c>
    </row>
    <row r="843" spans="1:7" ht="38.25">
      <c r="A843" s="54" t="s">
        <v>477</v>
      </c>
      <c r="B843" s="308" t="s">
        <v>880</v>
      </c>
      <c r="C843" s="6"/>
      <c r="D843" s="6"/>
      <c r="E843" s="320">
        <v>32700</v>
      </c>
      <c r="F843" s="225">
        <v>32700</v>
      </c>
      <c r="G843" s="225">
        <f t="shared" si="13"/>
        <v>100</v>
      </c>
    </row>
    <row r="844" spans="1:7" ht="25.5">
      <c r="A844" s="54" t="s">
        <v>445</v>
      </c>
      <c r="B844" s="308" t="s">
        <v>880</v>
      </c>
      <c r="C844" s="6" t="s">
        <v>446</v>
      </c>
      <c r="D844" s="6"/>
      <c r="E844" s="320">
        <v>32700</v>
      </c>
      <c r="F844" s="225">
        <v>32700</v>
      </c>
      <c r="G844" s="225">
        <f t="shared" si="13"/>
        <v>100</v>
      </c>
    </row>
    <row r="845" spans="1:7">
      <c r="A845" s="54" t="s">
        <v>303</v>
      </c>
      <c r="B845" s="308" t="s">
        <v>880</v>
      </c>
      <c r="C845" s="6" t="s">
        <v>446</v>
      </c>
      <c r="D845" s="6" t="s">
        <v>476</v>
      </c>
      <c r="E845" s="320">
        <v>32700</v>
      </c>
      <c r="F845" s="225">
        <v>32700</v>
      </c>
      <c r="G845" s="225">
        <f t="shared" si="13"/>
        <v>100</v>
      </c>
    </row>
    <row r="846" spans="1:7" ht="25.5">
      <c r="A846" s="54" t="s">
        <v>613</v>
      </c>
      <c r="B846" s="308" t="s">
        <v>1228</v>
      </c>
      <c r="C846" s="6"/>
      <c r="D846" s="6"/>
      <c r="E846" s="320">
        <v>34957000</v>
      </c>
      <c r="F846" s="225">
        <v>34635970.030000001</v>
      </c>
      <c r="G846" s="225">
        <f t="shared" si="13"/>
        <v>99.081643247418256</v>
      </c>
    </row>
    <row r="847" spans="1:7" ht="63.75">
      <c r="A847" s="54" t="s">
        <v>1036</v>
      </c>
      <c r="B847" s="308" t="s">
        <v>1162</v>
      </c>
      <c r="C847" s="6"/>
      <c r="D847" s="6"/>
      <c r="E847" s="320">
        <v>304800</v>
      </c>
      <c r="F847" s="225">
        <v>0</v>
      </c>
      <c r="G847" s="225">
        <f t="shared" si="13"/>
        <v>0</v>
      </c>
    </row>
    <row r="848" spans="1:7" ht="51">
      <c r="A848" s="54" t="s">
        <v>1740</v>
      </c>
      <c r="B848" s="308" t="s">
        <v>1162</v>
      </c>
      <c r="C848" s="6" t="s">
        <v>1741</v>
      </c>
      <c r="D848" s="6"/>
      <c r="E848" s="320">
        <v>304800</v>
      </c>
      <c r="F848" s="225">
        <v>0</v>
      </c>
      <c r="G848" s="225">
        <f t="shared" si="13"/>
        <v>0</v>
      </c>
    </row>
    <row r="849" spans="1:7">
      <c r="A849" s="54" t="s">
        <v>224</v>
      </c>
      <c r="B849" s="308" t="s">
        <v>1162</v>
      </c>
      <c r="C849" s="6" t="s">
        <v>1741</v>
      </c>
      <c r="D849" s="6" t="s">
        <v>474</v>
      </c>
      <c r="E849" s="320">
        <v>304800</v>
      </c>
      <c r="F849" s="225">
        <v>0</v>
      </c>
      <c r="G849" s="225">
        <f t="shared" si="13"/>
        <v>0</v>
      </c>
    </row>
    <row r="850" spans="1:7" ht="63.75">
      <c r="A850" s="54" t="s">
        <v>475</v>
      </c>
      <c r="B850" s="308" t="s">
        <v>879</v>
      </c>
      <c r="C850" s="6"/>
      <c r="D850" s="6"/>
      <c r="E850" s="320">
        <v>24252200</v>
      </c>
      <c r="F850" s="225">
        <v>24235970.030000001</v>
      </c>
      <c r="G850" s="225">
        <f t="shared" si="13"/>
        <v>99.933078359901373</v>
      </c>
    </row>
    <row r="851" spans="1:7" ht="51">
      <c r="A851" s="54" t="s">
        <v>1740</v>
      </c>
      <c r="B851" s="308" t="s">
        <v>879</v>
      </c>
      <c r="C851" s="6" t="s">
        <v>1741</v>
      </c>
      <c r="D851" s="6"/>
      <c r="E851" s="320">
        <v>24252200</v>
      </c>
      <c r="F851" s="225">
        <v>24235970.030000001</v>
      </c>
      <c r="G851" s="225">
        <f t="shared" si="13"/>
        <v>99.933078359901373</v>
      </c>
    </row>
    <row r="852" spans="1:7">
      <c r="A852" s="54" t="s">
        <v>224</v>
      </c>
      <c r="B852" s="308" t="s">
        <v>879</v>
      </c>
      <c r="C852" s="6" t="s">
        <v>1741</v>
      </c>
      <c r="D852" s="6" t="s">
        <v>474</v>
      </c>
      <c r="E852" s="320">
        <v>24252200</v>
      </c>
      <c r="F852" s="225">
        <v>24235970.030000001</v>
      </c>
      <c r="G852" s="225">
        <f t="shared" si="13"/>
        <v>99.933078359901373</v>
      </c>
    </row>
    <row r="853" spans="1:7" ht="63.75">
      <c r="A853" s="54" t="s">
        <v>1006</v>
      </c>
      <c r="B853" s="308" t="s">
        <v>1007</v>
      </c>
      <c r="C853" s="6"/>
      <c r="D853" s="6"/>
      <c r="E853" s="320">
        <v>10400000</v>
      </c>
      <c r="F853" s="225">
        <v>10400000</v>
      </c>
      <c r="G853" s="225">
        <f t="shared" si="13"/>
        <v>100</v>
      </c>
    </row>
    <row r="854" spans="1:7">
      <c r="A854" s="54" t="s">
        <v>93</v>
      </c>
      <c r="B854" s="308" t="s">
        <v>1007</v>
      </c>
      <c r="C854" s="6" t="s">
        <v>550</v>
      </c>
      <c r="D854" s="6"/>
      <c r="E854" s="320">
        <v>10400000</v>
      </c>
      <c r="F854" s="225">
        <v>10400000</v>
      </c>
      <c r="G854" s="225">
        <f t="shared" si="13"/>
        <v>100</v>
      </c>
    </row>
    <row r="855" spans="1:7">
      <c r="A855" s="54" t="s">
        <v>224</v>
      </c>
      <c r="B855" s="308" t="s">
        <v>1007</v>
      </c>
      <c r="C855" s="6" t="s">
        <v>550</v>
      </c>
      <c r="D855" s="6" t="s">
        <v>474</v>
      </c>
      <c r="E855" s="320">
        <v>10400000</v>
      </c>
      <c r="F855" s="225">
        <v>10400000</v>
      </c>
      <c r="G855" s="225">
        <f t="shared" si="13"/>
        <v>100</v>
      </c>
    </row>
    <row r="856" spans="1:7" ht="25.5">
      <c r="A856" s="54" t="s">
        <v>615</v>
      </c>
      <c r="B856" s="308" t="s">
        <v>1229</v>
      </c>
      <c r="C856" s="6"/>
      <c r="D856" s="6"/>
      <c r="E856" s="320">
        <v>348750</v>
      </c>
      <c r="F856" s="225">
        <v>346249.5</v>
      </c>
      <c r="G856" s="225">
        <f t="shared" si="13"/>
        <v>99.28301075268817</v>
      </c>
    </row>
    <row r="857" spans="1:7" ht="76.5">
      <c r="A857" s="160" t="s">
        <v>1820</v>
      </c>
      <c r="B857" s="308" t="s">
        <v>1821</v>
      </c>
      <c r="C857" s="6"/>
      <c r="D857" s="6"/>
      <c r="E857" s="320">
        <v>11940</v>
      </c>
      <c r="F857" s="225">
        <v>10203.700000000001</v>
      </c>
      <c r="G857" s="225">
        <f t="shared" si="13"/>
        <v>85.458123953098834</v>
      </c>
    </row>
    <row r="858" spans="1:7" ht="25.5">
      <c r="A858" s="54" t="s">
        <v>445</v>
      </c>
      <c r="B858" s="308" t="s">
        <v>1821</v>
      </c>
      <c r="C858" s="6" t="s">
        <v>446</v>
      </c>
      <c r="D858" s="6"/>
      <c r="E858" s="320">
        <v>11940</v>
      </c>
      <c r="F858" s="225">
        <v>10203.700000000001</v>
      </c>
      <c r="G858" s="225">
        <f t="shared" si="13"/>
        <v>85.458123953098834</v>
      </c>
    </row>
    <row r="859" spans="1:7">
      <c r="A859" s="54" t="s">
        <v>188</v>
      </c>
      <c r="B859" s="308" t="s">
        <v>1821</v>
      </c>
      <c r="C859" s="6" t="s">
        <v>446</v>
      </c>
      <c r="D859" s="6" t="s">
        <v>515</v>
      </c>
      <c r="E859" s="320">
        <v>11940</v>
      </c>
      <c r="F859" s="225">
        <v>10203.700000000001</v>
      </c>
      <c r="G859" s="225">
        <f t="shared" si="13"/>
        <v>85.458123953098834</v>
      </c>
    </row>
    <row r="860" spans="1:7" ht="89.25">
      <c r="A860" s="160" t="s">
        <v>1776</v>
      </c>
      <c r="B860" s="308" t="s">
        <v>1777</v>
      </c>
      <c r="C860" s="6"/>
      <c r="D860" s="6"/>
      <c r="E860" s="320">
        <v>278800</v>
      </c>
      <c r="F860" s="225">
        <v>278800</v>
      </c>
      <c r="G860" s="225">
        <f t="shared" si="13"/>
        <v>100</v>
      </c>
    </row>
    <row r="861" spans="1:7">
      <c r="A861" s="54" t="s">
        <v>93</v>
      </c>
      <c r="B861" s="308" t="s">
        <v>1777</v>
      </c>
      <c r="C861" s="6" t="s">
        <v>550</v>
      </c>
      <c r="D861" s="6"/>
      <c r="E861" s="320">
        <v>278800</v>
      </c>
      <c r="F861" s="225">
        <v>278800</v>
      </c>
      <c r="G861" s="225">
        <f t="shared" si="13"/>
        <v>100</v>
      </c>
    </row>
    <row r="862" spans="1:7">
      <c r="A862" s="54" t="s">
        <v>303</v>
      </c>
      <c r="B862" s="308" t="s">
        <v>1777</v>
      </c>
      <c r="C862" s="6" t="s">
        <v>550</v>
      </c>
      <c r="D862" s="6" t="s">
        <v>476</v>
      </c>
      <c r="E862" s="354">
        <v>278800</v>
      </c>
      <c r="F862" s="225">
        <v>278800</v>
      </c>
      <c r="G862" s="225">
        <f t="shared" si="13"/>
        <v>100</v>
      </c>
    </row>
    <row r="863" spans="1:7" ht="51">
      <c r="A863" s="54" t="s">
        <v>527</v>
      </c>
      <c r="B863" s="308" t="s">
        <v>975</v>
      </c>
      <c r="C863" s="6"/>
      <c r="D863" s="6"/>
      <c r="E863" s="320">
        <v>53010</v>
      </c>
      <c r="F863" s="225">
        <v>52965.8</v>
      </c>
      <c r="G863" s="225">
        <f t="shared" si="13"/>
        <v>99.91661950575363</v>
      </c>
    </row>
    <row r="864" spans="1:7" ht="25.5">
      <c r="A864" s="54" t="s">
        <v>1617</v>
      </c>
      <c r="B864" s="308" t="s">
        <v>975</v>
      </c>
      <c r="C864" s="6" t="s">
        <v>509</v>
      </c>
      <c r="D864" s="6"/>
      <c r="E864" s="320">
        <v>6019.8</v>
      </c>
      <c r="F864" s="225">
        <v>6019.8</v>
      </c>
      <c r="G864" s="225">
        <f t="shared" si="13"/>
        <v>100</v>
      </c>
    </row>
    <row r="865" spans="1:7">
      <c r="A865" s="54" t="s">
        <v>188</v>
      </c>
      <c r="B865" s="308" t="s">
        <v>975</v>
      </c>
      <c r="C865" s="6" t="s">
        <v>509</v>
      </c>
      <c r="D865" s="6" t="s">
        <v>515</v>
      </c>
      <c r="E865" s="320">
        <v>6019.8</v>
      </c>
      <c r="F865" s="225">
        <v>6019.8</v>
      </c>
      <c r="G865" s="225">
        <f t="shared" si="13"/>
        <v>100</v>
      </c>
    </row>
    <row r="866" spans="1:7" ht="38.25">
      <c r="A866" s="54" t="s">
        <v>1619</v>
      </c>
      <c r="B866" s="308" t="s">
        <v>975</v>
      </c>
      <c r="C866" s="6" t="s">
        <v>1295</v>
      </c>
      <c r="D866" s="6"/>
      <c r="E866" s="320">
        <v>5980.2</v>
      </c>
      <c r="F866" s="225">
        <v>5936</v>
      </c>
      <c r="G866" s="225">
        <f t="shared" si="13"/>
        <v>99.260894284472087</v>
      </c>
    </row>
    <row r="867" spans="1:7">
      <c r="A867" s="54" t="s">
        <v>188</v>
      </c>
      <c r="B867" s="308" t="s">
        <v>975</v>
      </c>
      <c r="C867" s="6" t="s">
        <v>1295</v>
      </c>
      <c r="D867" s="6" t="s">
        <v>515</v>
      </c>
      <c r="E867" s="320">
        <v>5980.2</v>
      </c>
      <c r="F867" s="225">
        <v>5936</v>
      </c>
      <c r="G867" s="225">
        <f t="shared" si="13"/>
        <v>99.260894284472087</v>
      </c>
    </row>
    <row r="868" spans="1:7" ht="25.5">
      <c r="A868" s="54" t="s">
        <v>445</v>
      </c>
      <c r="B868" s="308" t="s">
        <v>975</v>
      </c>
      <c r="C868" s="6" t="s">
        <v>446</v>
      </c>
      <c r="D868" s="6"/>
      <c r="E868" s="320">
        <v>41010</v>
      </c>
      <c r="F868" s="225">
        <v>41010</v>
      </c>
      <c r="G868" s="225">
        <f t="shared" si="13"/>
        <v>100</v>
      </c>
    </row>
    <row r="869" spans="1:7">
      <c r="A869" s="54" t="s">
        <v>188</v>
      </c>
      <c r="B869" s="308" t="s">
        <v>975</v>
      </c>
      <c r="C869" s="6" t="s">
        <v>446</v>
      </c>
      <c r="D869" s="6" t="s">
        <v>515</v>
      </c>
      <c r="E869" s="320">
        <v>41010</v>
      </c>
      <c r="F869" s="225">
        <v>41010</v>
      </c>
      <c r="G869" s="225">
        <f t="shared" si="13"/>
        <v>100</v>
      </c>
    </row>
    <row r="870" spans="1:7" ht="89.25">
      <c r="A870" s="160" t="s">
        <v>1822</v>
      </c>
      <c r="B870" s="308" t="s">
        <v>1823</v>
      </c>
      <c r="C870" s="6"/>
      <c r="D870" s="6"/>
      <c r="E870" s="320">
        <v>5000</v>
      </c>
      <c r="F870" s="225">
        <v>4280</v>
      </c>
      <c r="G870" s="225">
        <f t="shared" si="13"/>
        <v>85.6</v>
      </c>
    </row>
    <row r="871" spans="1:7" ht="25.5">
      <c r="A871" s="54" t="s">
        <v>445</v>
      </c>
      <c r="B871" s="308" t="s">
        <v>1823</v>
      </c>
      <c r="C871" s="6" t="s">
        <v>446</v>
      </c>
      <c r="D871" s="6"/>
      <c r="E871" s="320">
        <v>5000</v>
      </c>
      <c r="F871" s="225">
        <v>4280</v>
      </c>
      <c r="G871" s="225">
        <f t="shared" si="13"/>
        <v>85.6</v>
      </c>
    </row>
    <row r="872" spans="1:7">
      <c r="A872" s="54" t="s">
        <v>188</v>
      </c>
      <c r="B872" s="308" t="s">
        <v>1823</v>
      </c>
      <c r="C872" s="6" t="s">
        <v>446</v>
      </c>
      <c r="D872" s="6" t="s">
        <v>515</v>
      </c>
      <c r="E872" s="320">
        <v>5000</v>
      </c>
      <c r="F872" s="225">
        <v>4280</v>
      </c>
      <c r="G872" s="225">
        <f t="shared" si="13"/>
        <v>85.6</v>
      </c>
    </row>
    <row r="873" spans="1:7" ht="25.5">
      <c r="A873" s="54" t="s">
        <v>761</v>
      </c>
      <c r="B873" s="308" t="s">
        <v>1230</v>
      </c>
      <c r="C873" s="6"/>
      <c r="D873" s="6"/>
      <c r="E873" s="320">
        <v>10923310.82</v>
      </c>
      <c r="F873" s="225">
        <v>8118212.1200000001</v>
      </c>
      <c r="G873" s="225">
        <f t="shared" si="13"/>
        <v>74.320068830559933</v>
      </c>
    </row>
    <row r="874" spans="1:7" ht="38.25">
      <c r="A874" s="54" t="s">
        <v>1126</v>
      </c>
      <c r="B874" s="308" t="s">
        <v>1784</v>
      </c>
      <c r="C874" s="6"/>
      <c r="D874" s="6"/>
      <c r="E874" s="320">
        <v>2069412.12</v>
      </c>
      <c r="F874" s="225">
        <v>2069412.12</v>
      </c>
      <c r="G874" s="225">
        <f t="shared" si="13"/>
        <v>100</v>
      </c>
    </row>
    <row r="875" spans="1:7" ht="153">
      <c r="A875" s="160" t="s">
        <v>1778</v>
      </c>
      <c r="B875" s="308" t="s">
        <v>1779</v>
      </c>
      <c r="C875" s="6"/>
      <c r="D875" s="6"/>
      <c r="E875" s="320">
        <v>1935165.09</v>
      </c>
      <c r="F875" s="225">
        <v>1935165.09</v>
      </c>
      <c r="G875" s="225">
        <f t="shared" si="13"/>
        <v>100</v>
      </c>
    </row>
    <row r="876" spans="1:7">
      <c r="A876" s="54" t="s">
        <v>93</v>
      </c>
      <c r="B876" s="308" t="s">
        <v>1779</v>
      </c>
      <c r="C876" s="6" t="s">
        <v>550</v>
      </c>
      <c r="D876" s="6"/>
      <c r="E876" s="320">
        <v>1935165.09</v>
      </c>
      <c r="F876" s="225">
        <v>1935165.09</v>
      </c>
      <c r="G876" s="225">
        <f t="shared" si="13"/>
        <v>100</v>
      </c>
    </row>
    <row r="877" spans="1:7">
      <c r="A877" s="54" t="s">
        <v>3</v>
      </c>
      <c r="B877" s="308" t="s">
        <v>1779</v>
      </c>
      <c r="C877" s="6" t="s">
        <v>550</v>
      </c>
      <c r="D877" s="6" t="s">
        <v>504</v>
      </c>
      <c r="E877" s="320">
        <v>1935165.09</v>
      </c>
      <c r="F877" s="225">
        <v>1935165.09</v>
      </c>
      <c r="G877" s="225">
        <f t="shared" si="13"/>
        <v>100</v>
      </c>
    </row>
    <row r="878" spans="1:7" ht="140.25">
      <c r="A878" s="160" t="s">
        <v>1780</v>
      </c>
      <c r="B878" s="308" t="s">
        <v>1781</v>
      </c>
      <c r="C878" s="6"/>
      <c r="D878" s="6"/>
      <c r="E878" s="320">
        <v>134247.03</v>
      </c>
      <c r="F878" s="225">
        <v>134247.03</v>
      </c>
      <c r="G878" s="225">
        <f t="shared" si="13"/>
        <v>100</v>
      </c>
    </row>
    <row r="879" spans="1:7">
      <c r="A879" s="54" t="s">
        <v>93</v>
      </c>
      <c r="B879" s="308" t="s">
        <v>1781</v>
      </c>
      <c r="C879" s="6" t="s">
        <v>550</v>
      </c>
      <c r="D879" s="6"/>
      <c r="E879" s="320">
        <v>134247.03</v>
      </c>
      <c r="F879" s="225">
        <v>134247.03</v>
      </c>
      <c r="G879" s="225">
        <f t="shared" si="13"/>
        <v>100</v>
      </c>
    </row>
    <row r="880" spans="1:7">
      <c r="A880" s="54" t="s">
        <v>3</v>
      </c>
      <c r="B880" s="308" t="s">
        <v>1781</v>
      </c>
      <c r="C880" s="6" t="s">
        <v>550</v>
      </c>
      <c r="D880" s="6" t="s">
        <v>504</v>
      </c>
      <c r="E880" s="320">
        <v>134247.03</v>
      </c>
      <c r="F880" s="225">
        <v>134247.03</v>
      </c>
      <c r="G880" s="225">
        <f t="shared" si="13"/>
        <v>100</v>
      </c>
    </row>
    <row r="881" spans="1:7" ht="25.5">
      <c r="A881" s="54" t="s">
        <v>1959</v>
      </c>
      <c r="B881" s="308" t="s">
        <v>1960</v>
      </c>
      <c r="C881" s="6"/>
      <c r="D881" s="6"/>
      <c r="E881" s="320">
        <v>2853898.7</v>
      </c>
      <c r="F881" s="225">
        <v>48800</v>
      </c>
      <c r="G881" s="225">
        <f t="shared" si="13"/>
        <v>1.7099415616959355</v>
      </c>
    </row>
    <row r="882" spans="1:7" ht="89.25">
      <c r="A882" s="160" t="s">
        <v>1953</v>
      </c>
      <c r="B882" s="308" t="s">
        <v>1958</v>
      </c>
      <c r="C882" s="6"/>
      <c r="D882" s="6"/>
      <c r="E882" s="320">
        <v>2761000</v>
      </c>
      <c r="F882" s="225">
        <v>0</v>
      </c>
      <c r="G882" s="225">
        <f t="shared" si="13"/>
        <v>0</v>
      </c>
    </row>
    <row r="883" spans="1:7" ht="25.5">
      <c r="A883" s="54" t="s">
        <v>445</v>
      </c>
      <c r="B883" s="308" t="s">
        <v>1958</v>
      </c>
      <c r="C883" s="6" t="s">
        <v>446</v>
      </c>
      <c r="D883" s="6"/>
      <c r="E883" s="320">
        <v>2761000</v>
      </c>
      <c r="F883" s="225">
        <v>0</v>
      </c>
      <c r="G883" s="225">
        <f t="shared" si="13"/>
        <v>0</v>
      </c>
    </row>
    <row r="884" spans="1:7">
      <c r="A884" s="54" t="s">
        <v>180</v>
      </c>
      <c r="B884" s="308" t="s">
        <v>1958</v>
      </c>
      <c r="C884" s="6" t="s">
        <v>446</v>
      </c>
      <c r="D884" s="6" t="s">
        <v>478</v>
      </c>
      <c r="E884" s="320">
        <v>2761000</v>
      </c>
      <c r="F884" s="225">
        <v>0</v>
      </c>
      <c r="G884" s="225">
        <f t="shared" si="13"/>
        <v>0</v>
      </c>
    </row>
    <row r="885" spans="1:7" ht="102">
      <c r="A885" s="160" t="s">
        <v>1954</v>
      </c>
      <c r="B885" s="308" t="s">
        <v>1955</v>
      </c>
      <c r="C885" s="6"/>
      <c r="D885" s="6"/>
      <c r="E885" s="320">
        <v>92898.7</v>
      </c>
      <c r="F885" s="225">
        <v>48800</v>
      </c>
      <c r="G885" s="225">
        <f t="shared" si="13"/>
        <v>52.530336807727132</v>
      </c>
    </row>
    <row r="886" spans="1:7" ht="25.5">
      <c r="A886" s="54" t="s">
        <v>445</v>
      </c>
      <c r="B886" s="308" t="s">
        <v>1955</v>
      </c>
      <c r="C886" s="6" t="s">
        <v>446</v>
      </c>
      <c r="D886" s="6"/>
      <c r="E886" s="320">
        <v>92898.7</v>
      </c>
      <c r="F886" s="225">
        <v>48800</v>
      </c>
      <c r="G886" s="225">
        <f t="shared" si="13"/>
        <v>52.530336807727132</v>
      </c>
    </row>
    <row r="887" spans="1:7">
      <c r="A887" s="54" t="s">
        <v>180</v>
      </c>
      <c r="B887" s="308" t="s">
        <v>1955</v>
      </c>
      <c r="C887" s="6" t="s">
        <v>446</v>
      </c>
      <c r="D887" s="6" t="s">
        <v>478</v>
      </c>
      <c r="E887" s="320">
        <v>92898.7</v>
      </c>
      <c r="F887" s="225">
        <v>48800</v>
      </c>
      <c r="G887" s="225">
        <f t="shared" si="13"/>
        <v>52.530336807727132</v>
      </c>
    </row>
    <row r="888" spans="1:7" ht="25.5">
      <c r="A888" s="54" t="s">
        <v>762</v>
      </c>
      <c r="B888" s="308" t="s">
        <v>1231</v>
      </c>
      <c r="C888" s="6"/>
      <c r="D888" s="6"/>
      <c r="E888" s="320">
        <v>6000000</v>
      </c>
      <c r="F888" s="225">
        <v>6000000</v>
      </c>
      <c r="G888" s="225">
        <f t="shared" si="13"/>
        <v>100</v>
      </c>
    </row>
    <row r="889" spans="1:7" ht="63.75">
      <c r="A889" s="54" t="s">
        <v>657</v>
      </c>
      <c r="B889" s="308" t="s">
        <v>945</v>
      </c>
      <c r="C889" s="6"/>
      <c r="D889" s="6"/>
      <c r="E889" s="320">
        <v>6000000</v>
      </c>
      <c r="F889" s="225">
        <v>6000000</v>
      </c>
      <c r="G889" s="225">
        <f t="shared" si="13"/>
        <v>100</v>
      </c>
    </row>
    <row r="890" spans="1:7" ht="38.25">
      <c r="A890" s="54" t="s">
        <v>524</v>
      </c>
      <c r="B890" s="308" t="s">
        <v>945</v>
      </c>
      <c r="C890" s="6" t="s">
        <v>525</v>
      </c>
      <c r="D890" s="6"/>
      <c r="E890" s="320">
        <v>6000000</v>
      </c>
      <c r="F890" s="225">
        <v>6000000</v>
      </c>
      <c r="G890" s="225">
        <f t="shared" si="13"/>
        <v>100</v>
      </c>
    </row>
    <row r="891" spans="1:7">
      <c r="A891" s="54" t="s">
        <v>3</v>
      </c>
      <c r="B891" s="308" t="s">
        <v>945</v>
      </c>
      <c r="C891" s="6" t="s">
        <v>525</v>
      </c>
      <c r="D891" s="6" t="s">
        <v>504</v>
      </c>
      <c r="E891" s="320">
        <v>6000000</v>
      </c>
      <c r="F891" s="225">
        <v>6000000</v>
      </c>
      <c r="G891" s="225">
        <f t="shared" si="13"/>
        <v>100</v>
      </c>
    </row>
    <row r="892" spans="1:7" ht="25.5">
      <c r="A892" s="54" t="s">
        <v>618</v>
      </c>
      <c r="B892" s="308" t="s">
        <v>1232</v>
      </c>
      <c r="C892" s="6"/>
      <c r="D892" s="6"/>
      <c r="E892" s="320">
        <v>125854911.55</v>
      </c>
      <c r="F892" s="225">
        <v>122630583.28</v>
      </c>
      <c r="G892" s="225">
        <f t="shared" si="13"/>
        <v>97.438059245928571</v>
      </c>
    </row>
    <row r="893" spans="1:7" ht="51">
      <c r="A893" s="54" t="s">
        <v>763</v>
      </c>
      <c r="B893" s="308" t="s">
        <v>1233</v>
      </c>
      <c r="C893" s="6"/>
      <c r="D893" s="6"/>
      <c r="E893" s="320">
        <v>113163883</v>
      </c>
      <c r="F893" s="225">
        <v>109939554.73</v>
      </c>
      <c r="G893" s="225">
        <f t="shared" si="13"/>
        <v>97.150744403141417</v>
      </c>
    </row>
    <row r="894" spans="1:7" ht="127.5">
      <c r="A894" s="160" t="s">
        <v>1138</v>
      </c>
      <c r="B894" s="308" t="s">
        <v>1137</v>
      </c>
      <c r="C894" s="6"/>
      <c r="D894" s="6"/>
      <c r="E894" s="320">
        <v>499000</v>
      </c>
      <c r="F894" s="225">
        <v>499000</v>
      </c>
      <c r="G894" s="225">
        <f t="shared" si="13"/>
        <v>100</v>
      </c>
    </row>
    <row r="895" spans="1:7">
      <c r="A895" s="54" t="s">
        <v>93</v>
      </c>
      <c r="B895" s="308" t="s">
        <v>1137</v>
      </c>
      <c r="C895" s="6" t="s">
        <v>550</v>
      </c>
      <c r="D895" s="6"/>
      <c r="E895" s="320">
        <v>499000</v>
      </c>
      <c r="F895" s="225">
        <v>499000</v>
      </c>
      <c r="G895" s="225">
        <f t="shared" si="13"/>
        <v>100</v>
      </c>
    </row>
    <row r="896" spans="1:7">
      <c r="A896" s="54" t="s">
        <v>254</v>
      </c>
      <c r="B896" s="308" t="s">
        <v>1137</v>
      </c>
      <c r="C896" s="6" t="s">
        <v>550</v>
      </c>
      <c r="D896" s="6" t="s">
        <v>510</v>
      </c>
      <c r="E896" s="320">
        <v>389000</v>
      </c>
      <c r="F896" s="225">
        <v>389000</v>
      </c>
      <c r="G896" s="225">
        <f t="shared" si="13"/>
        <v>100</v>
      </c>
    </row>
    <row r="897" spans="1:7">
      <c r="A897" s="54" t="s">
        <v>301</v>
      </c>
      <c r="B897" s="308" t="s">
        <v>1137</v>
      </c>
      <c r="C897" s="6" t="s">
        <v>550</v>
      </c>
      <c r="D897" s="6" t="s">
        <v>562</v>
      </c>
      <c r="E897" s="320">
        <v>110000</v>
      </c>
      <c r="F897" s="225">
        <v>110000</v>
      </c>
      <c r="G897" s="225">
        <f t="shared" si="13"/>
        <v>100</v>
      </c>
    </row>
    <row r="898" spans="1:7" ht="102">
      <c r="A898" s="160" t="s">
        <v>667</v>
      </c>
      <c r="B898" s="308" t="s">
        <v>1005</v>
      </c>
      <c r="C898" s="6"/>
      <c r="D898" s="6"/>
      <c r="E898" s="320">
        <v>4131005</v>
      </c>
      <c r="F898" s="225">
        <v>4076645.37</v>
      </c>
      <c r="G898" s="225">
        <f t="shared" si="13"/>
        <v>98.684106409941407</v>
      </c>
    </row>
    <row r="899" spans="1:7">
      <c r="A899" s="54" t="s">
        <v>554</v>
      </c>
      <c r="B899" s="308" t="s">
        <v>1005</v>
      </c>
      <c r="C899" s="6" t="s">
        <v>555</v>
      </c>
      <c r="D899" s="6"/>
      <c r="E899" s="320">
        <v>4131005</v>
      </c>
      <c r="F899" s="225">
        <v>4076645.37</v>
      </c>
      <c r="G899" s="225">
        <f t="shared" si="13"/>
        <v>98.684106409941407</v>
      </c>
    </row>
    <row r="900" spans="1:7">
      <c r="A900" s="54" t="s">
        <v>233</v>
      </c>
      <c r="B900" s="308" t="s">
        <v>1005</v>
      </c>
      <c r="C900" s="6" t="s">
        <v>555</v>
      </c>
      <c r="D900" s="6" t="s">
        <v>553</v>
      </c>
      <c r="E900" s="320">
        <v>4131005</v>
      </c>
      <c r="F900" s="225">
        <v>4076645.37</v>
      </c>
      <c r="G900" s="225">
        <f t="shared" si="13"/>
        <v>98.684106409941407</v>
      </c>
    </row>
    <row r="901" spans="1:7" ht="102">
      <c r="A901" s="160" t="s">
        <v>666</v>
      </c>
      <c r="B901" s="308" t="s">
        <v>1003</v>
      </c>
      <c r="C901" s="6"/>
      <c r="D901" s="6"/>
      <c r="E901" s="320">
        <v>178100</v>
      </c>
      <c r="F901" s="225">
        <v>178100</v>
      </c>
      <c r="G901" s="225">
        <f t="shared" si="13"/>
        <v>100</v>
      </c>
    </row>
    <row r="902" spans="1:7">
      <c r="A902" s="54" t="s">
        <v>554</v>
      </c>
      <c r="B902" s="308" t="s">
        <v>1003</v>
      </c>
      <c r="C902" s="6" t="s">
        <v>555</v>
      </c>
      <c r="D902" s="6"/>
      <c r="E902" s="320">
        <v>178100</v>
      </c>
      <c r="F902" s="225">
        <v>178100</v>
      </c>
      <c r="G902" s="225">
        <f t="shared" si="13"/>
        <v>100</v>
      </c>
    </row>
    <row r="903" spans="1:7">
      <c r="A903" s="54" t="s">
        <v>265</v>
      </c>
      <c r="B903" s="308" t="s">
        <v>1003</v>
      </c>
      <c r="C903" s="6" t="s">
        <v>555</v>
      </c>
      <c r="D903" s="6" t="s">
        <v>454</v>
      </c>
      <c r="E903" s="320">
        <v>178100</v>
      </c>
      <c r="F903" s="225">
        <v>178100</v>
      </c>
      <c r="G903" s="225">
        <f t="shared" si="13"/>
        <v>100</v>
      </c>
    </row>
    <row r="904" spans="1:7" ht="140.25">
      <c r="A904" s="160" t="s">
        <v>1314</v>
      </c>
      <c r="B904" s="308" t="s">
        <v>1010</v>
      </c>
      <c r="C904" s="6"/>
      <c r="D904" s="6"/>
      <c r="E904" s="320">
        <v>26666200</v>
      </c>
      <c r="F904" s="225">
        <v>26666200</v>
      </c>
      <c r="G904" s="225">
        <f t="shared" ref="G904:G967" si="14">F904/E904*100</f>
        <v>100</v>
      </c>
    </row>
    <row r="905" spans="1:7">
      <c r="A905" s="54" t="s">
        <v>680</v>
      </c>
      <c r="B905" s="308" t="s">
        <v>1010</v>
      </c>
      <c r="C905" s="6" t="s">
        <v>561</v>
      </c>
      <c r="D905" s="6"/>
      <c r="E905" s="320">
        <v>26666200</v>
      </c>
      <c r="F905" s="225">
        <v>26666200</v>
      </c>
      <c r="G905" s="225">
        <f t="shared" si="14"/>
        <v>100</v>
      </c>
    </row>
    <row r="906" spans="1:7" ht="38.25">
      <c r="A906" s="54" t="s">
        <v>259</v>
      </c>
      <c r="B906" s="308" t="s">
        <v>1010</v>
      </c>
      <c r="C906" s="6" t="s">
        <v>561</v>
      </c>
      <c r="D906" s="6" t="s">
        <v>560</v>
      </c>
      <c r="E906" s="320">
        <v>26666200</v>
      </c>
      <c r="F906" s="225">
        <v>26666200</v>
      </c>
      <c r="G906" s="225">
        <f t="shared" si="14"/>
        <v>100</v>
      </c>
    </row>
    <row r="907" spans="1:7" ht="89.25">
      <c r="A907" s="160" t="s">
        <v>1142</v>
      </c>
      <c r="B907" s="308" t="s">
        <v>1141</v>
      </c>
      <c r="C907" s="6"/>
      <c r="D907" s="6"/>
      <c r="E907" s="320">
        <v>3780740</v>
      </c>
      <c r="F907" s="225">
        <v>3431421.54</v>
      </c>
      <c r="G907" s="225">
        <f t="shared" si="14"/>
        <v>90.760579674878457</v>
      </c>
    </row>
    <row r="908" spans="1:7">
      <c r="A908" s="54" t="s">
        <v>93</v>
      </c>
      <c r="B908" s="308" t="s">
        <v>1141</v>
      </c>
      <c r="C908" s="6" t="s">
        <v>550</v>
      </c>
      <c r="D908" s="6"/>
      <c r="E908" s="320">
        <v>3780740</v>
      </c>
      <c r="F908" s="225">
        <v>3431421.54</v>
      </c>
      <c r="G908" s="225">
        <f t="shared" si="14"/>
        <v>90.760579674878457</v>
      </c>
    </row>
    <row r="909" spans="1:7">
      <c r="A909" s="54" t="s">
        <v>45</v>
      </c>
      <c r="B909" s="308" t="s">
        <v>1141</v>
      </c>
      <c r="C909" s="6" t="s">
        <v>550</v>
      </c>
      <c r="D909" s="6" t="s">
        <v>506</v>
      </c>
      <c r="E909" s="320">
        <v>3780740</v>
      </c>
      <c r="F909" s="225">
        <v>3431421.54</v>
      </c>
      <c r="G909" s="225">
        <f t="shared" si="14"/>
        <v>90.760579674878457</v>
      </c>
    </row>
    <row r="910" spans="1:7" ht="89.25">
      <c r="A910" s="160" t="s">
        <v>1859</v>
      </c>
      <c r="B910" s="308" t="s">
        <v>1860</v>
      </c>
      <c r="C910" s="6"/>
      <c r="D910" s="6"/>
      <c r="E910" s="320">
        <v>350000</v>
      </c>
      <c r="F910" s="225">
        <v>350000</v>
      </c>
      <c r="G910" s="225">
        <f t="shared" si="14"/>
        <v>100</v>
      </c>
    </row>
    <row r="911" spans="1:7">
      <c r="A911" s="54" t="s">
        <v>93</v>
      </c>
      <c r="B911" s="308" t="s">
        <v>1860</v>
      </c>
      <c r="C911" s="6" t="s">
        <v>550</v>
      </c>
      <c r="D911" s="6"/>
      <c r="E911" s="320">
        <v>350000</v>
      </c>
      <c r="F911" s="225">
        <v>350000</v>
      </c>
      <c r="G911" s="225">
        <f t="shared" si="14"/>
        <v>100</v>
      </c>
    </row>
    <row r="912" spans="1:7">
      <c r="A912" s="54" t="s">
        <v>45</v>
      </c>
      <c r="B912" s="308" t="s">
        <v>1860</v>
      </c>
      <c r="C912" s="6" t="s">
        <v>550</v>
      </c>
      <c r="D912" s="6" t="s">
        <v>506</v>
      </c>
      <c r="E912" s="320">
        <v>350000</v>
      </c>
      <c r="F912" s="225">
        <v>350000</v>
      </c>
      <c r="G912" s="225">
        <f t="shared" si="14"/>
        <v>100</v>
      </c>
    </row>
    <row r="913" spans="1:7" ht="114.75">
      <c r="A913" s="160" t="s">
        <v>1861</v>
      </c>
      <c r="B913" s="308" t="s">
        <v>1862</v>
      </c>
      <c r="C913" s="6"/>
      <c r="D913" s="6"/>
      <c r="E913" s="320">
        <v>3100000</v>
      </c>
      <c r="F913" s="225">
        <v>2283749.8199999998</v>
      </c>
      <c r="G913" s="225">
        <f t="shared" si="14"/>
        <v>73.669349032258054</v>
      </c>
    </row>
    <row r="914" spans="1:7">
      <c r="A914" s="54" t="s">
        <v>93</v>
      </c>
      <c r="B914" s="308" t="s">
        <v>1862</v>
      </c>
      <c r="C914" s="6" t="s">
        <v>550</v>
      </c>
      <c r="D914" s="6"/>
      <c r="E914" s="320">
        <v>3100000</v>
      </c>
      <c r="F914" s="225">
        <v>2283749.8199999998</v>
      </c>
      <c r="G914" s="225">
        <f t="shared" si="14"/>
        <v>73.669349032258054</v>
      </c>
    </row>
    <row r="915" spans="1:7">
      <c r="A915" s="54" t="s">
        <v>301</v>
      </c>
      <c r="B915" s="308" t="s">
        <v>1862</v>
      </c>
      <c r="C915" s="6" t="s">
        <v>550</v>
      </c>
      <c r="D915" s="6" t="s">
        <v>562</v>
      </c>
      <c r="E915" s="320">
        <v>3100000</v>
      </c>
      <c r="F915" s="225">
        <v>2283749.8199999998</v>
      </c>
      <c r="G915" s="225">
        <f t="shared" si="14"/>
        <v>73.669349032258054</v>
      </c>
    </row>
    <row r="916" spans="1:7" ht="89.25">
      <c r="A916" s="160" t="s">
        <v>670</v>
      </c>
      <c r="B916" s="308" t="s">
        <v>1012</v>
      </c>
      <c r="C916" s="6"/>
      <c r="D916" s="6"/>
      <c r="E916" s="320">
        <v>36937338</v>
      </c>
      <c r="F916" s="225">
        <v>34932938</v>
      </c>
      <c r="G916" s="225">
        <f t="shared" si="14"/>
        <v>94.573512579601697</v>
      </c>
    </row>
    <row r="917" spans="1:7">
      <c r="A917" s="54" t="s">
        <v>93</v>
      </c>
      <c r="B917" s="308" t="s">
        <v>1012</v>
      </c>
      <c r="C917" s="6" t="s">
        <v>550</v>
      </c>
      <c r="D917" s="6"/>
      <c r="E917" s="320">
        <v>36937338</v>
      </c>
      <c r="F917" s="225">
        <v>34932938</v>
      </c>
      <c r="G917" s="225">
        <f t="shared" si="14"/>
        <v>94.573512579601697</v>
      </c>
    </row>
    <row r="918" spans="1:7">
      <c r="A918" s="54" t="s">
        <v>301</v>
      </c>
      <c r="B918" s="308" t="s">
        <v>1012</v>
      </c>
      <c r="C918" s="6" t="s">
        <v>550</v>
      </c>
      <c r="D918" s="6" t="s">
        <v>562</v>
      </c>
      <c r="E918" s="320">
        <v>36937338</v>
      </c>
      <c r="F918" s="225">
        <v>34932938</v>
      </c>
      <c r="G918" s="225">
        <f t="shared" si="14"/>
        <v>94.573512579601697</v>
      </c>
    </row>
    <row r="919" spans="1:7" ht="89.25">
      <c r="A919" s="160" t="s">
        <v>669</v>
      </c>
      <c r="B919" s="308" t="s">
        <v>1011</v>
      </c>
      <c r="C919" s="6"/>
      <c r="D919" s="6"/>
      <c r="E919" s="320">
        <v>37521500</v>
      </c>
      <c r="F919" s="225">
        <v>37521500</v>
      </c>
      <c r="G919" s="225">
        <f t="shared" si="14"/>
        <v>100</v>
      </c>
    </row>
    <row r="920" spans="1:7">
      <c r="A920" s="54" t="s">
        <v>680</v>
      </c>
      <c r="B920" s="308" t="s">
        <v>1011</v>
      </c>
      <c r="C920" s="6" t="s">
        <v>561</v>
      </c>
      <c r="D920" s="6"/>
      <c r="E920" s="320">
        <v>37521500</v>
      </c>
      <c r="F920" s="225">
        <v>37521500</v>
      </c>
      <c r="G920" s="225">
        <f t="shared" si="14"/>
        <v>100</v>
      </c>
    </row>
    <row r="921" spans="1:7" ht="38.25">
      <c r="A921" s="54" t="s">
        <v>259</v>
      </c>
      <c r="B921" s="308" t="s">
        <v>1011</v>
      </c>
      <c r="C921" s="6" t="s">
        <v>561</v>
      </c>
      <c r="D921" s="6" t="s">
        <v>560</v>
      </c>
      <c r="E921" s="320">
        <v>37521500</v>
      </c>
      <c r="F921" s="225">
        <v>37521500</v>
      </c>
      <c r="G921" s="225">
        <f t="shared" si="14"/>
        <v>100</v>
      </c>
    </row>
    <row r="922" spans="1:7" ht="25.5">
      <c r="A922" s="54" t="s">
        <v>619</v>
      </c>
      <c r="B922" s="308" t="s">
        <v>1234</v>
      </c>
      <c r="C922" s="6"/>
      <c r="D922" s="6"/>
      <c r="E922" s="320">
        <v>12691028.550000001</v>
      </c>
      <c r="F922" s="225">
        <v>12691028.550000001</v>
      </c>
      <c r="G922" s="225">
        <f t="shared" si="14"/>
        <v>100</v>
      </c>
    </row>
    <row r="923" spans="1:7" ht="63.75">
      <c r="A923" s="54" t="s">
        <v>545</v>
      </c>
      <c r="B923" s="308" t="s">
        <v>997</v>
      </c>
      <c r="C923" s="6"/>
      <c r="D923" s="6"/>
      <c r="E923" s="320">
        <v>9555823.7400000002</v>
      </c>
      <c r="F923" s="225">
        <v>9555823.7400000002</v>
      </c>
      <c r="G923" s="225">
        <f t="shared" si="14"/>
        <v>100</v>
      </c>
    </row>
    <row r="924" spans="1:7" ht="25.5">
      <c r="A924" s="54" t="s">
        <v>1165</v>
      </c>
      <c r="B924" s="308" t="s">
        <v>997</v>
      </c>
      <c r="C924" s="6" t="s">
        <v>440</v>
      </c>
      <c r="D924" s="6"/>
      <c r="E924" s="320">
        <v>6034386.9000000004</v>
      </c>
      <c r="F924" s="225">
        <v>6034386.9000000004</v>
      </c>
      <c r="G924" s="225">
        <f t="shared" si="14"/>
        <v>100</v>
      </c>
    </row>
    <row r="925" spans="1:7" ht="38.25">
      <c r="A925" s="54" t="s">
        <v>264</v>
      </c>
      <c r="B925" s="308" t="s">
        <v>997</v>
      </c>
      <c r="C925" s="6" t="s">
        <v>440</v>
      </c>
      <c r="D925" s="6" t="s">
        <v>448</v>
      </c>
      <c r="E925" s="320">
        <v>6034386.9000000004</v>
      </c>
      <c r="F925" s="225">
        <v>6034386.9000000004</v>
      </c>
      <c r="G925" s="225">
        <f t="shared" si="14"/>
        <v>100</v>
      </c>
    </row>
    <row r="926" spans="1:7" ht="38.25">
      <c r="A926" s="54" t="s">
        <v>441</v>
      </c>
      <c r="B926" s="308" t="s">
        <v>997</v>
      </c>
      <c r="C926" s="6" t="s">
        <v>442</v>
      </c>
      <c r="D926" s="6"/>
      <c r="E926" s="320">
        <v>57113.06</v>
      </c>
      <c r="F926" s="225">
        <v>57113.06</v>
      </c>
      <c r="G926" s="225">
        <f t="shared" si="14"/>
        <v>100</v>
      </c>
    </row>
    <row r="927" spans="1:7" ht="38.25">
      <c r="A927" s="54" t="s">
        <v>264</v>
      </c>
      <c r="B927" s="308" t="s">
        <v>997</v>
      </c>
      <c r="C927" s="6" t="s">
        <v>442</v>
      </c>
      <c r="D927" s="6" t="s">
        <v>448</v>
      </c>
      <c r="E927" s="320">
        <v>57113.06</v>
      </c>
      <c r="F927" s="225">
        <v>57113.06</v>
      </c>
      <c r="G927" s="225">
        <f t="shared" si="14"/>
        <v>100</v>
      </c>
    </row>
    <row r="928" spans="1:7" ht="38.25">
      <c r="A928" s="54" t="s">
        <v>1288</v>
      </c>
      <c r="B928" s="308" t="s">
        <v>997</v>
      </c>
      <c r="C928" s="6" t="s">
        <v>1289</v>
      </c>
      <c r="D928" s="6"/>
      <c r="E928" s="320">
        <v>1832394.21</v>
      </c>
      <c r="F928" s="225">
        <v>1832394.21</v>
      </c>
      <c r="G928" s="225">
        <f t="shared" si="14"/>
        <v>100</v>
      </c>
    </row>
    <row r="929" spans="1:7" ht="38.25">
      <c r="A929" s="54" t="s">
        <v>264</v>
      </c>
      <c r="B929" s="308" t="s">
        <v>997</v>
      </c>
      <c r="C929" s="6" t="s">
        <v>1289</v>
      </c>
      <c r="D929" s="6" t="s">
        <v>448</v>
      </c>
      <c r="E929" s="320">
        <v>1832394.21</v>
      </c>
      <c r="F929" s="225">
        <v>1832394.21</v>
      </c>
      <c r="G929" s="225">
        <f t="shared" si="14"/>
        <v>100</v>
      </c>
    </row>
    <row r="930" spans="1:7" ht="25.5">
      <c r="A930" s="54" t="s">
        <v>445</v>
      </c>
      <c r="B930" s="308" t="s">
        <v>997</v>
      </c>
      <c r="C930" s="6" t="s">
        <v>446</v>
      </c>
      <c r="D930" s="6"/>
      <c r="E930" s="320">
        <v>1623921.85</v>
      </c>
      <c r="F930" s="225">
        <v>1623921.85</v>
      </c>
      <c r="G930" s="225">
        <f t="shared" si="14"/>
        <v>100</v>
      </c>
    </row>
    <row r="931" spans="1:7" ht="38.25">
      <c r="A931" s="54" t="s">
        <v>264</v>
      </c>
      <c r="B931" s="308" t="s">
        <v>997</v>
      </c>
      <c r="C931" s="6" t="s">
        <v>446</v>
      </c>
      <c r="D931" s="6" t="s">
        <v>448</v>
      </c>
      <c r="E931" s="320">
        <v>1623921.85</v>
      </c>
      <c r="F931" s="225">
        <v>1623921.85</v>
      </c>
      <c r="G931" s="225">
        <f t="shared" si="14"/>
        <v>100</v>
      </c>
    </row>
    <row r="932" spans="1:7">
      <c r="A932" s="54" t="s">
        <v>1168</v>
      </c>
      <c r="B932" s="308" t="s">
        <v>997</v>
      </c>
      <c r="C932" s="6" t="s">
        <v>626</v>
      </c>
      <c r="D932" s="6"/>
      <c r="E932" s="320">
        <v>8007.72</v>
      </c>
      <c r="F932" s="225">
        <v>8007.72</v>
      </c>
      <c r="G932" s="225">
        <f t="shared" si="14"/>
        <v>100</v>
      </c>
    </row>
    <row r="933" spans="1:7" ht="38.25">
      <c r="A933" s="54" t="s">
        <v>264</v>
      </c>
      <c r="B933" s="308" t="s">
        <v>997</v>
      </c>
      <c r="C933" s="6" t="s">
        <v>626</v>
      </c>
      <c r="D933" s="6" t="s">
        <v>448</v>
      </c>
      <c r="E933" s="320">
        <v>8007.72</v>
      </c>
      <c r="F933" s="225">
        <v>8007.72</v>
      </c>
      <c r="G933" s="225">
        <f t="shared" si="14"/>
        <v>100</v>
      </c>
    </row>
    <row r="934" spans="1:7" ht="89.25">
      <c r="A934" s="160" t="s">
        <v>664</v>
      </c>
      <c r="B934" s="308" t="s">
        <v>998</v>
      </c>
      <c r="C934" s="6"/>
      <c r="D934" s="6"/>
      <c r="E934" s="320">
        <v>474210.54</v>
      </c>
      <c r="F934" s="225">
        <v>474210.54</v>
      </c>
      <c r="G934" s="225">
        <f t="shared" si="14"/>
        <v>100</v>
      </c>
    </row>
    <row r="935" spans="1:7" ht="25.5">
      <c r="A935" s="54" t="s">
        <v>1165</v>
      </c>
      <c r="B935" s="308" t="s">
        <v>998</v>
      </c>
      <c r="C935" s="6" t="s">
        <v>440</v>
      </c>
      <c r="D935" s="6"/>
      <c r="E935" s="320">
        <v>365144.12</v>
      </c>
      <c r="F935" s="225">
        <v>365144.12</v>
      </c>
      <c r="G935" s="225">
        <f t="shared" si="14"/>
        <v>100</v>
      </c>
    </row>
    <row r="936" spans="1:7" ht="38.25">
      <c r="A936" s="54" t="s">
        <v>264</v>
      </c>
      <c r="B936" s="308" t="s">
        <v>998</v>
      </c>
      <c r="C936" s="6" t="s">
        <v>440</v>
      </c>
      <c r="D936" s="6" t="s">
        <v>448</v>
      </c>
      <c r="E936" s="320">
        <v>365144.12</v>
      </c>
      <c r="F936" s="225">
        <v>365144.12</v>
      </c>
      <c r="G936" s="225">
        <f t="shared" si="14"/>
        <v>100</v>
      </c>
    </row>
    <row r="937" spans="1:7" ht="38.25">
      <c r="A937" s="54" t="s">
        <v>1288</v>
      </c>
      <c r="B937" s="308" t="s">
        <v>998</v>
      </c>
      <c r="C937" s="6" t="s">
        <v>1289</v>
      </c>
      <c r="D937" s="6"/>
      <c r="E937" s="320">
        <v>109066.42</v>
      </c>
      <c r="F937" s="225">
        <v>109066.42</v>
      </c>
      <c r="G937" s="225">
        <f t="shared" si="14"/>
        <v>100</v>
      </c>
    </row>
    <row r="938" spans="1:7" ht="38.25">
      <c r="A938" s="54" t="s">
        <v>264</v>
      </c>
      <c r="B938" s="308" t="s">
        <v>998</v>
      </c>
      <c r="C938" s="6" t="s">
        <v>1289</v>
      </c>
      <c r="D938" s="6" t="s">
        <v>448</v>
      </c>
      <c r="E938" s="320">
        <v>109066.42</v>
      </c>
      <c r="F938" s="225">
        <v>109066.42</v>
      </c>
      <c r="G938" s="225">
        <f t="shared" si="14"/>
        <v>100</v>
      </c>
    </row>
    <row r="939" spans="1:7" ht="76.5">
      <c r="A939" s="160" t="s">
        <v>750</v>
      </c>
      <c r="B939" s="308" t="s">
        <v>999</v>
      </c>
      <c r="C939" s="6"/>
      <c r="D939" s="6"/>
      <c r="E939" s="320">
        <v>191034.12</v>
      </c>
      <c r="F939" s="225">
        <v>191034.12</v>
      </c>
      <c r="G939" s="225">
        <f t="shared" si="14"/>
        <v>100</v>
      </c>
    </row>
    <row r="940" spans="1:7" ht="38.25">
      <c r="A940" s="54" t="s">
        <v>441</v>
      </c>
      <c r="B940" s="308" t="s">
        <v>999</v>
      </c>
      <c r="C940" s="6" t="s">
        <v>442</v>
      </c>
      <c r="D940" s="6"/>
      <c r="E940" s="320">
        <v>191034.12</v>
      </c>
      <c r="F940" s="225">
        <v>191034.12</v>
      </c>
      <c r="G940" s="225">
        <f t="shared" si="14"/>
        <v>100</v>
      </c>
    </row>
    <row r="941" spans="1:7" ht="38.25">
      <c r="A941" s="54" t="s">
        <v>264</v>
      </c>
      <c r="B941" s="308" t="s">
        <v>999</v>
      </c>
      <c r="C941" s="6" t="s">
        <v>442</v>
      </c>
      <c r="D941" s="6" t="s">
        <v>448</v>
      </c>
      <c r="E941" s="320">
        <v>191034.12</v>
      </c>
      <c r="F941" s="225">
        <v>191034.12</v>
      </c>
      <c r="G941" s="225">
        <f t="shared" si="14"/>
        <v>100</v>
      </c>
    </row>
    <row r="942" spans="1:7" ht="76.5">
      <c r="A942" s="160" t="s">
        <v>1144</v>
      </c>
      <c r="B942" s="308" t="s">
        <v>1143</v>
      </c>
      <c r="C942" s="6"/>
      <c r="D942" s="6"/>
      <c r="E942" s="320">
        <v>1393060.12</v>
      </c>
      <c r="F942" s="225">
        <v>1393060.12</v>
      </c>
      <c r="G942" s="225">
        <f t="shared" si="14"/>
        <v>100</v>
      </c>
    </row>
    <row r="943" spans="1:7" ht="25.5">
      <c r="A943" s="54" t="s">
        <v>1165</v>
      </c>
      <c r="B943" s="308" t="s">
        <v>1143</v>
      </c>
      <c r="C943" s="6" t="s">
        <v>440</v>
      </c>
      <c r="D943" s="6"/>
      <c r="E943" s="320">
        <v>1069011.53</v>
      </c>
      <c r="F943" s="225">
        <v>1069011.53</v>
      </c>
      <c r="G943" s="225">
        <f t="shared" si="14"/>
        <v>100</v>
      </c>
    </row>
    <row r="944" spans="1:7" ht="38.25">
      <c r="A944" s="54" t="s">
        <v>264</v>
      </c>
      <c r="B944" s="308" t="s">
        <v>1143</v>
      </c>
      <c r="C944" s="6" t="s">
        <v>440</v>
      </c>
      <c r="D944" s="6" t="s">
        <v>448</v>
      </c>
      <c r="E944" s="320">
        <v>1069011.53</v>
      </c>
      <c r="F944" s="225">
        <v>1069011.53</v>
      </c>
      <c r="G944" s="225">
        <f t="shared" si="14"/>
        <v>100</v>
      </c>
    </row>
    <row r="945" spans="1:7" ht="38.25">
      <c r="A945" s="54" t="s">
        <v>1288</v>
      </c>
      <c r="B945" s="308" t="s">
        <v>1143</v>
      </c>
      <c r="C945" s="6" t="s">
        <v>1289</v>
      </c>
      <c r="D945" s="6"/>
      <c r="E945" s="320">
        <v>324048.59000000003</v>
      </c>
      <c r="F945" s="225">
        <v>324048.59000000003</v>
      </c>
      <c r="G945" s="225">
        <f t="shared" si="14"/>
        <v>100</v>
      </c>
    </row>
    <row r="946" spans="1:7" ht="38.25">
      <c r="A946" s="54" t="s">
        <v>264</v>
      </c>
      <c r="B946" s="308" t="s">
        <v>1143</v>
      </c>
      <c r="C946" s="6" t="s">
        <v>1289</v>
      </c>
      <c r="D946" s="6" t="s">
        <v>448</v>
      </c>
      <c r="E946" s="320">
        <v>324048.59000000003</v>
      </c>
      <c r="F946" s="225">
        <v>324048.59000000003</v>
      </c>
      <c r="G946" s="225">
        <f t="shared" si="14"/>
        <v>100</v>
      </c>
    </row>
    <row r="947" spans="1:7" ht="51">
      <c r="A947" s="54" t="s">
        <v>751</v>
      </c>
      <c r="B947" s="308" t="s">
        <v>1000</v>
      </c>
      <c r="C947" s="6"/>
      <c r="D947" s="6"/>
      <c r="E947" s="320">
        <v>369477.32</v>
      </c>
      <c r="F947" s="225">
        <v>369477.32</v>
      </c>
      <c r="G947" s="225">
        <f t="shared" si="14"/>
        <v>100</v>
      </c>
    </row>
    <row r="948" spans="1:7" ht="25.5">
      <c r="A948" s="54" t="s">
        <v>445</v>
      </c>
      <c r="B948" s="308" t="s">
        <v>1000</v>
      </c>
      <c r="C948" s="6" t="s">
        <v>446</v>
      </c>
      <c r="D948" s="6"/>
      <c r="E948" s="320">
        <v>369477.32</v>
      </c>
      <c r="F948" s="225">
        <v>369477.32</v>
      </c>
      <c r="G948" s="225">
        <f t="shared" si="14"/>
        <v>100</v>
      </c>
    </row>
    <row r="949" spans="1:7" ht="38.25">
      <c r="A949" s="54" t="s">
        <v>264</v>
      </c>
      <c r="B949" s="308" t="s">
        <v>1000</v>
      </c>
      <c r="C949" s="6" t="s">
        <v>446</v>
      </c>
      <c r="D949" s="6" t="s">
        <v>448</v>
      </c>
      <c r="E949" s="320">
        <v>369477.32</v>
      </c>
      <c r="F949" s="225">
        <v>369477.32</v>
      </c>
      <c r="G949" s="225">
        <f t="shared" si="14"/>
        <v>100</v>
      </c>
    </row>
    <row r="950" spans="1:7" ht="51">
      <c r="A950" s="54" t="s">
        <v>1771</v>
      </c>
      <c r="B950" s="308" t="s">
        <v>1772</v>
      </c>
      <c r="C950" s="6"/>
      <c r="D950" s="6"/>
      <c r="E950" s="320">
        <v>136750</v>
      </c>
      <c r="F950" s="225">
        <v>136750</v>
      </c>
      <c r="G950" s="225">
        <f t="shared" si="14"/>
        <v>100</v>
      </c>
    </row>
    <row r="951" spans="1:7" ht="25.5">
      <c r="A951" s="54" t="s">
        <v>445</v>
      </c>
      <c r="B951" s="308" t="s">
        <v>1772</v>
      </c>
      <c r="C951" s="6" t="s">
        <v>446</v>
      </c>
      <c r="D951" s="6"/>
      <c r="E951" s="320">
        <v>136750</v>
      </c>
      <c r="F951" s="225">
        <v>136750</v>
      </c>
      <c r="G951" s="225">
        <f t="shared" si="14"/>
        <v>100</v>
      </c>
    </row>
    <row r="952" spans="1:7" ht="38.25">
      <c r="A952" s="54" t="s">
        <v>264</v>
      </c>
      <c r="B952" s="308" t="s">
        <v>1772</v>
      </c>
      <c r="C952" s="6" t="s">
        <v>446</v>
      </c>
      <c r="D952" s="6" t="s">
        <v>448</v>
      </c>
      <c r="E952" s="320">
        <v>136750</v>
      </c>
      <c r="F952" s="225">
        <v>136750</v>
      </c>
      <c r="G952" s="225">
        <f t="shared" si="14"/>
        <v>100</v>
      </c>
    </row>
    <row r="953" spans="1:7" ht="51">
      <c r="A953" s="54" t="s">
        <v>1195</v>
      </c>
      <c r="B953" s="308" t="s">
        <v>1196</v>
      </c>
      <c r="C953" s="6"/>
      <c r="D953" s="6"/>
      <c r="E953" s="335">
        <v>157211.71</v>
      </c>
      <c r="F953" s="225">
        <v>157211.71</v>
      </c>
      <c r="G953" s="225">
        <f t="shared" si="14"/>
        <v>100</v>
      </c>
    </row>
    <row r="954" spans="1:7" ht="25.5">
      <c r="A954" s="54" t="s">
        <v>445</v>
      </c>
      <c r="B954" s="308" t="s">
        <v>1196</v>
      </c>
      <c r="C954" s="6" t="s">
        <v>446</v>
      </c>
      <c r="D954" s="6"/>
      <c r="E954" s="335">
        <v>157211.71</v>
      </c>
      <c r="F954" s="225">
        <v>157211.71</v>
      </c>
      <c r="G954" s="225">
        <f t="shared" si="14"/>
        <v>100</v>
      </c>
    </row>
    <row r="955" spans="1:7" ht="38.25">
      <c r="A955" s="54" t="s">
        <v>264</v>
      </c>
      <c r="B955" s="308" t="s">
        <v>1196</v>
      </c>
      <c r="C955" s="6" t="s">
        <v>446</v>
      </c>
      <c r="D955" s="6" t="s">
        <v>448</v>
      </c>
      <c r="E955" s="335">
        <v>157211.71</v>
      </c>
      <c r="F955" s="225">
        <v>157211.71</v>
      </c>
      <c r="G955" s="225">
        <f t="shared" si="14"/>
        <v>100</v>
      </c>
    </row>
    <row r="956" spans="1:7" ht="89.25">
      <c r="A956" s="160" t="s">
        <v>2012</v>
      </c>
      <c r="B956" s="308" t="s">
        <v>2013</v>
      </c>
      <c r="C956" s="6"/>
      <c r="D956" s="6"/>
      <c r="E956" s="335">
        <v>13020</v>
      </c>
      <c r="F956" s="225">
        <v>13020</v>
      </c>
      <c r="G956" s="225">
        <f t="shared" si="14"/>
        <v>100</v>
      </c>
    </row>
    <row r="957" spans="1:7" ht="25.5">
      <c r="A957" s="54" t="s">
        <v>1165</v>
      </c>
      <c r="B957" s="308" t="s">
        <v>2013</v>
      </c>
      <c r="C957" s="6" t="s">
        <v>440</v>
      </c>
      <c r="D957" s="6"/>
      <c r="E957" s="335">
        <v>10000</v>
      </c>
      <c r="F957" s="225">
        <v>10000</v>
      </c>
      <c r="G957" s="225">
        <f t="shared" si="14"/>
        <v>100</v>
      </c>
    </row>
    <row r="958" spans="1:7" ht="38.25">
      <c r="A958" s="54" t="s">
        <v>264</v>
      </c>
      <c r="B958" s="308" t="s">
        <v>2013</v>
      </c>
      <c r="C958" s="6" t="s">
        <v>440</v>
      </c>
      <c r="D958" s="6" t="s">
        <v>448</v>
      </c>
      <c r="E958" s="335">
        <v>10000</v>
      </c>
      <c r="F958" s="225">
        <v>10000</v>
      </c>
      <c r="G958" s="225">
        <f t="shared" si="14"/>
        <v>100</v>
      </c>
    </row>
    <row r="959" spans="1:7" ht="38.25">
      <c r="A959" s="54" t="s">
        <v>1288</v>
      </c>
      <c r="B959" s="308" t="s">
        <v>2013</v>
      </c>
      <c r="C959" s="6" t="s">
        <v>1289</v>
      </c>
      <c r="D959" s="6"/>
      <c r="E959" s="335">
        <v>3020</v>
      </c>
      <c r="F959" s="225">
        <v>3020</v>
      </c>
      <c r="G959" s="225">
        <f t="shared" si="14"/>
        <v>100</v>
      </c>
    </row>
    <row r="960" spans="1:7" ht="38.25">
      <c r="A960" s="54" t="s">
        <v>264</v>
      </c>
      <c r="B960" s="308" t="s">
        <v>2013</v>
      </c>
      <c r="C960" s="6" t="s">
        <v>1289</v>
      </c>
      <c r="D960" s="6" t="s">
        <v>448</v>
      </c>
      <c r="E960" s="335">
        <v>3020</v>
      </c>
      <c r="F960" s="225">
        <v>3020</v>
      </c>
      <c r="G960" s="225">
        <f t="shared" si="14"/>
        <v>100</v>
      </c>
    </row>
    <row r="961" spans="1:7" ht="63.75">
      <c r="A961" s="54" t="s">
        <v>665</v>
      </c>
      <c r="B961" s="308" t="s">
        <v>1001</v>
      </c>
      <c r="C961" s="6"/>
      <c r="D961" s="6"/>
      <c r="E961" s="335">
        <v>400441</v>
      </c>
      <c r="F961" s="225">
        <v>400441</v>
      </c>
      <c r="G961" s="225">
        <f t="shared" si="14"/>
        <v>100</v>
      </c>
    </row>
    <row r="962" spans="1:7" ht="25.5">
      <c r="A962" s="54" t="s">
        <v>1165</v>
      </c>
      <c r="B962" s="308" t="s">
        <v>1001</v>
      </c>
      <c r="C962" s="6" t="s">
        <v>440</v>
      </c>
      <c r="D962" s="6"/>
      <c r="E962" s="335">
        <v>295308</v>
      </c>
      <c r="F962" s="225">
        <v>295308</v>
      </c>
      <c r="G962" s="225">
        <f t="shared" si="14"/>
        <v>100</v>
      </c>
    </row>
    <row r="963" spans="1:7" ht="38.25">
      <c r="A963" s="54" t="s">
        <v>264</v>
      </c>
      <c r="B963" s="308" t="s">
        <v>1001</v>
      </c>
      <c r="C963" s="6" t="s">
        <v>440</v>
      </c>
      <c r="D963" s="6" t="s">
        <v>448</v>
      </c>
      <c r="E963" s="335">
        <v>295308</v>
      </c>
      <c r="F963" s="225">
        <v>295308</v>
      </c>
      <c r="G963" s="225">
        <f t="shared" si="14"/>
        <v>100</v>
      </c>
    </row>
    <row r="964" spans="1:7" ht="38.25">
      <c r="A964" s="54" t="s">
        <v>441</v>
      </c>
      <c r="B964" s="308" t="s">
        <v>1001</v>
      </c>
      <c r="C964" s="6" t="s">
        <v>442</v>
      </c>
      <c r="D964" s="6"/>
      <c r="E964" s="335">
        <v>7450</v>
      </c>
      <c r="F964" s="225">
        <v>7450</v>
      </c>
      <c r="G964" s="225">
        <f t="shared" si="14"/>
        <v>100</v>
      </c>
    </row>
    <row r="965" spans="1:7" ht="38.25">
      <c r="A965" s="54" t="s">
        <v>264</v>
      </c>
      <c r="B965" s="308" t="s">
        <v>1001</v>
      </c>
      <c r="C965" s="6" t="s">
        <v>442</v>
      </c>
      <c r="D965" s="6" t="s">
        <v>448</v>
      </c>
      <c r="E965" s="335">
        <v>7450</v>
      </c>
      <c r="F965" s="225">
        <v>7450</v>
      </c>
      <c r="G965" s="225">
        <f t="shared" si="14"/>
        <v>100</v>
      </c>
    </row>
    <row r="966" spans="1:7" ht="38.25">
      <c r="A966" s="54" t="s">
        <v>1288</v>
      </c>
      <c r="B966" s="308" t="s">
        <v>1001</v>
      </c>
      <c r="C966" s="6" t="s">
        <v>1289</v>
      </c>
      <c r="D966" s="6"/>
      <c r="E966" s="335">
        <v>89183</v>
      </c>
      <c r="F966" s="225">
        <v>89183</v>
      </c>
      <c r="G966" s="225">
        <f t="shared" si="14"/>
        <v>100</v>
      </c>
    </row>
    <row r="967" spans="1:7" ht="38.25">
      <c r="A967" s="54" t="s">
        <v>264</v>
      </c>
      <c r="B967" s="308" t="s">
        <v>1001</v>
      </c>
      <c r="C967" s="6" t="s">
        <v>1289</v>
      </c>
      <c r="D967" s="6" t="s">
        <v>448</v>
      </c>
      <c r="E967" s="335">
        <v>89183</v>
      </c>
      <c r="F967" s="225">
        <v>89183</v>
      </c>
      <c r="G967" s="225">
        <f t="shared" si="14"/>
        <v>100</v>
      </c>
    </row>
    <row r="968" spans="1:7" ht="25.5">
      <c r="A968" s="54" t="s">
        <v>445</v>
      </c>
      <c r="B968" s="308" t="s">
        <v>1001</v>
      </c>
      <c r="C968" s="6" t="s">
        <v>446</v>
      </c>
      <c r="D968" s="6"/>
      <c r="E968" s="335">
        <v>8500</v>
      </c>
      <c r="F968" s="225">
        <v>8500</v>
      </c>
      <c r="G968" s="225">
        <f t="shared" ref="G968:G1031" si="15">F968/E968*100</f>
        <v>100</v>
      </c>
    </row>
    <row r="969" spans="1:7" ht="38.25">
      <c r="A969" s="54" t="s">
        <v>264</v>
      </c>
      <c r="B969" s="308" t="s">
        <v>1001</v>
      </c>
      <c r="C969" s="6" t="s">
        <v>446</v>
      </c>
      <c r="D969" s="6" t="s">
        <v>448</v>
      </c>
      <c r="E969" s="335">
        <v>8500</v>
      </c>
      <c r="F969" s="225">
        <v>8500</v>
      </c>
      <c r="G969" s="225">
        <f t="shared" si="15"/>
        <v>100</v>
      </c>
    </row>
    <row r="970" spans="1:7" ht="25.5">
      <c r="A970" s="54" t="s">
        <v>620</v>
      </c>
      <c r="B970" s="308" t="s">
        <v>1235</v>
      </c>
      <c r="C970" s="6"/>
      <c r="D970" s="6"/>
      <c r="E970" s="335">
        <v>1800612.98</v>
      </c>
      <c r="F970" s="225">
        <v>1750820.27</v>
      </c>
      <c r="G970" s="225">
        <f t="shared" si="15"/>
        <v>97.234680047680214</v>
      </c>
    </row>
    <row r="971" spans="1:7">
      <c r="A971" s="54" t="s">
        <v>621</v>
      </c>
      <c r="B971" s="308" t="s">
        <v>1236</v>
      </c>
      <c r="C971" s="6"/>
      <c r="D971" s="6"/>
      <c r="E971" s="335">
        <v>22012.98</v>
      </c>
      <c r="F971" s="225">
        <v>21856.21</v>
      </c>
      <c r="G971" s="225">
        <f t="shared" si="15"/>
        <v>99.287829271638813</v>
      </c>
    </row>
    <row r="972" spans="1:7" ht="76.5">
      <c r="A972" s="160" t="s">
        <v>1291</v>
      </c>
      <c r="B972" s="308" t="s">
        <v>1739</v>
      </c>
      <c r="C972" s="6"/>
      <c r="D972" s="6"/>
      <c r="E972" s="335">
        <v>22012.98</v>
      </c>
      <c r="F972" s="225">
        <v>21856.21</v>
      </c>
      <c r="G972" s="225">
        <f t="shared" si="15"/>
        <v>99.287829271638813</v>
      </c>
    </row>
    <row r="973" spans="1:7" ht="51">
      <c r="A973" s="54" t="s">
        <v>1740</v>
      </c>
      <c r="B973" s="308" t="s">
        <v>1739</v>
      </c>
      <c r="C973" s="6" t="s">
        <v>1741</v>
      </c>
      <c r="D973" s="6"/>
      <c r="E973" s="335">
        <v>22012.98</v>
      </c>
      <c r="F973" s="225">
        <v>21856.21</v>
      </c>
      <c r="G973" s="225">
        <f t="shared" si="15"/>
        <v>99.287829271638813</v>
      </c>
    </row>
    <row r="974" spans="1:7">
      <c r="A974" s="54" t="s">
        <v>223</v>
      </c>
      <c r="B974" s="308" t="s">
        <v>1739</v>
      </c>
      <c r="C974" s="6" t="s">
        <v>1741</v>
      </c>
      <c r="D974" s="6" t="s">
        <v>470</v>
      </c>
      <c r="E974" s="335">
        <v>22012.98</v>
      </c>
      <c r="F974" s="225">
        <v>21856.21</v>
      </c>
      <c r="G974" s="225">
        <f t="shared" si="15"/>
        <v>99.287829271638813</v>
      </c>
    </row>
    <row r="975" spans="1:7" ht="25.5">
      <c r="A975" s="54" t="s">
        <v>622</v>
      </c>
      <c r="B975" s="308" t="s">
        <v>1237</v>
      </c>
      <c r="C975" s="6"/>
      <c r="D975" s="6"/>
      <c r="E975" s="335">
        <v>617800</v>
      </c>
      <c r="F975" s="225">
        <v>617800</v>
      </c>
      <c r="G975" s="225">
        <f t="shared" si="15"/>
        <v>100</v>
      </c>
    </row>
    <row r="976" spans="1:7" ht="89.25">
      <c r="A976" s="160" t="s">
        <v>480</v>
      </c>
      <c r="B976" s="308" t="s">
        <v>885</v>
      </c>
      <c r="C976" s="6"/>
      <c r="D976" s="6"/>
      <c r="E976" s="335">
        <v>617800</v>
      </c>
      <c r="F976" s="225">
        <v>617800</v>
      </c>
      <c r="G976" s="225">
        <f t="shared" si="15"/>
        <v>100</v>
      </c>
    </row>
    <row r="977" spans="1:7" ht="25.5">
      <c r="A977" s="54" t="s">
        <v>445</v>
      </c>
      <c r="B977" s="308" t="s">
        <v>885</v>
      </c>
      <c r="C977" s="6" t="s">
        <v>446</v>
      </c>
      <c r="D977" s="6"/>
      <c r="E977" s="335">
        <v>617800</v>
      </c>
      <c r="F977" s="225">
        <v>617800</v>
      </c>
      <c r="G977" s="225">
        <f t="shared" si="15"/>
        <v>100</v>
      </c>
    </row>
    <row r="978" spans="1:7">
      <c r="A978" s="54" t="s">
        <v>180</v>
      </c>
      <c r="B978" s="308" t="s">
        <v>885</v>
      </c>
      <c r="C978" s="6" t="s">
        <v>446</v>
      </c>
      <c r="D978" s="6" t="s">
        <v>478</v>
      </c>
      <c r="E978" s="335">
        <v>617800</v>
      </c>
      <c r="F978" s="225">
        <v>617800</v>
      </c>
      <c r="G978" s="225">
        <f t="shared" si="15"/>
        <v>100</v>
      </c>
    </row>
    <row r="979" spans="1:7" ht="25.5">
      <c r="A979" s="54" t="s">
        <v>574</v>
      </c>
      <c r="B979" s="308" t="s">
        <v>1238</v>
      </c>
      <c r="C979" s="6"/>
      <c r="D979" s="6"/>
      <c r="E979" s="335">
        <v>1160800</v>
      </c>
      <c r="F979" s="225">
        <v>1111164.06</v>
      </c>
      <c r="G979" s="225">
        <f t="shared" si="15"/>
        <v>95.723988628532055</v>
      </c>
    </row>
    <row r="980" spans="1:7" ht="76.5">
      <c r="A980" s="160" t="s">
        <v>473</v>
      </c>
      <c r="B980" s="308" t="s">
        <v>878</v>
      </c>
      <c r="C980" s="6"/>
      <c r="D980" s="6"/>
      <c r="E980" s="335">
        <v>1160800</v>
      </c>
      <c r="F980" s="225">
        <v>1111164.06</v>
      </c>
      <c r="G980" s="225">
        <f t="shared" si="15"/>
        <v>95.723988628532055</v>
      </c>
    </row>
    <row r="981" spans="1:7" ht="25.5">
      <c r="A981" s="54" t="s">
        <v>1165</v>
      </c>
      <c r="B981" s="308" t="s">
        <v>878</v>
      </c>
      <c r="C981" s="6" t="s">
        <v>440</v>
      </c>
      <c r="D981" s="6"/>
      <c r="E981" s="335">
        <v>741928</v>
      </c>
      <c r="F981" s="225">
        <v>731697.7</v>
      </c>
      <c r="G981" s="225">
        <f t="shared" si="15"/>
        <v>98.621119569553912</v>
      </c>
    </row>
    <row r="982" spans="1:7">
      <c r="A982" s="54" t="s">
        <v>223</v>
      </c>
      <c r="B982" s="308" t="s">
        <v>878</v>
      </c>
      <c r="C982" s="6" t="s">
        <v>440</v>
      </c>
      <c r="D982" s="6" t="s">
        <v>470</v>
      </c>
      <c r="E982" s="335">
        <v>741928</v>
      </c>
      <c r="F982" s="225">
        <v>731697.7</v>
      </c>
      <c r="G982" s="225">
        <f t="shared" si="15"/>
        <v>98.621119569553912</v>
      </c>
    </row>
    <row r="983" spans="1:7" ht="38.25">
      <c r="A983" s="54" t="s">
        <v>441</v>
      </c>
      <c r="B983" s="308" t="s">
        <v>878</v>
      </c>
      <c r="C983" s="6" t="s">
        <v>442</v>
      </c>
      <c r="D983" s="6"/>
      <c r="E983" s="335">
        <v>14710</v>
      </c>
      <c r="F983" s="225">
        <v>7500</v>
      </c>
      <c r="G983" s="225">
        <f t="shared" si="15"/>
        <v>50.985723997280765</v>
      </c>
    </row>
    <row r="984" spans="1:7">
      <c r="A984" s="54" t="s">
        <v>223</v>
      </c>
      <c r="B984" s="308" t="s">
        <v>878</v>
      </c>
      <c r="C984" s="6" t="s">
        <v>442</v>
      </c>
      <c r="D984" s="6" t="s">
        <v>470</v>
      </c>
      <c r="E984" s="335">
        <v>14710</v>
      </c>
      <c r="F984" s="225">
        <v>7500</v>
      </c>
      <c r="G984" s="225">
        <f t="shared" si="15"/>
        <v>50.985723997280765</v>
      </c>
    </row>
    <row r="985" spans="1:7" ht="38.25">
      <c r="A985" s="54" t="s">
        <v>1288</v>
      </c>
      <c r="B985" s="308" t="s">
        <v>878</v>
      </c>
      <c r="C985" s="6" t="s">
        <v>1289</v>
      </c>
      <c r="D985" s="6"/>
      <c r="E985" s="335">
        <v>224062</v>
      </c>
      <c r="F985" s="225">
        <v>219493.36</v>
      </c>
      <c r="G985" s="225">
        <f t="shared" si="15"/>
        <v>97.960992939454243</v>
      </c>
    </row>
    <row r="986" spans="1:7">
      <c r="A986" s="54" t="s">
        <v>223</v>
      </c>
      <c r="B986" s="308" t="s">
        <v>878</v>
      </c>
      <c r="C986" s="6" t="s">
        <v>1289</v>
      </c>
      <c r="D986" s="6" t="s">
        <v>470</v>
      </c>
      <c r="E986" s="335">
        <v>224062</v>
      </c>
      <c r="F986" s="225">
        <v>219493.36</v>
      </c>
      <c r="G986" s="225">
        <f t="shared" si="15"/>
        <v>97.960992939454243</v>
      </c>
    </row>
    <row r="987" spans="1:7" ht="25.5">
      <c r="A987" s="54" t="s">
        <v>445</v>
      </c>
      <c r="B987" s="308" t="s">
        <v>878</v>
      </c>
      <c r="C987" s="6" t="s">
        <v>446</v>
      </c>
      <c r="D987" s="6"/>
      <c r="E987" s="335">
        <v>180100</v>
      </c>
      <c r="F987" s="225">
        <v>152473</v>
      </c>
      <c r="G987" s="225">
        <f t="shared" si="15"/>
        <v>84.660188784008881</v>
      </c>
    </row>
    <row r="988" spans="1:7">
      <c r="A988" s="54" t="s">
        <v>223</v>
      </c>
      <c r="B988" s="308" t="s">
        <v>878</v>
      </c>
      <c r="C988" s="6" t="s">
        <v>446</v>
      </c>
      <c r="D988" s="6" t="s">
        <v>470</v>
      </c>
      <c r="E988" s="335">
        <v>180100</v>
      </c>
      <c r="F988" s="225">
        <v>152473</v>
      </c>
      <c r="G988" s="225">
        <f t="shared" si="15"/>
        <v>84.660188784008881</v>
      </c>
    </row>
    <row r="989" spans="1:7" ht="25.5">
      <c r="A989" s="54" t="s">
        <v>764</v>
      </c>
      <c r="B989" s="308" t="s">
        <v>1239</v>
      </c>
      <c r="C989" s="6"/>
      <c r="D989" s="6"/>
      <c r="E989" s="335">
        <v>51695277.340000004</v>
      </c>
      <c r="F989" s="225">
        <v>49488122.579999998</v>
      </c>
      <c r="G989" s="225">
        <f t="shared" si="15"/>
        <v>95.730451844791276</v>
      </c>
    </row>
    <row r="990" spans="1:7" ht="38.25">
      <c r="A990" s="54" t="s">
        <v>439</v>
      </c>
      <c r="B990" s="308" t="s">
        <v>1240</v>
      </c>
      <c r="C990" s="6"/>
      <c r="D990" s="6"/>
      <c r="E990" s="335">
        <v>1314246</v>
      </c>
      <c r="F990" s="225">
        <v>1257174.3899999999</v>
      </c>
      <c r="G990" s="225">
        <f t="shared" si="15"/>
        <v>95.657463671184843</v>
      </c>
    </row>
    <row r="991" spans="1:7" ht="38.25">
      <c r="A991" s="54" t="s">
        <v>439</v>
      </c>
      <c r="B991" s="308" t="s">
        <v>853</v>
      </c>
      <c r="C991" s="6"/>
      <c r="D991" s="6"/>
      <c r="E991" s="335">
        <v>1314246</v>
      </c>
      <c r="F991" s="225">
        <v>1257174.3899999999</v>
      </c>
      <c r="G991" s="225">
        <f t="shared" si="15"/>
        <v>95.657463671184843</v>
      </c>
    </row>
    <row r="992" spans="1:7" ht="25.5">
      <c r="A992" s="54" t="s">
        <v>1165</v>
      </c>
      <c r="B992" s="308" t="s">
        <v>853</v>
      </c>
      <c r="C992" s="6" t="s">
        <v>440</v>
      </c>
      <c r="D992" s="6"/>
      <c r="E992" s="335">
        <v>973860</v>
      </c>
      <c r="F992" s="225">
        <v>919660.39</v>
      </c>
      <c r="G992" s="225">
        <f t="shared" si="15"/>
        <v>94.434558355410431</v>
      </c>
    </row>
    <row r="993" spans="1:7" ht="25.5">
      <c r="A993" s="54" t="s">
        <v>1883</v>
      </c>
      <c r="B993" s="308" t="s">
        <v>853</v>
      </c>
      <c r="C993" s="6" t="s">
        <v>440</v>
      </c>
      <c r="D993" s="6" t="s">
        <v>438</v>
      </c>
      <c r="E993" s="335">
        <v>973860</v>
      </c>
      <c r="F993" s="225">
        <v>919660.39</v>
      </c>
      <c r="G993" s="225">
        <f t="shared" si="15"/>
        <v>94.434558355410431</v>
      </c>
    </row>
    <row r="994" spans="1:7" ht="38.25">
      <c r="A994" s="54" t="s">
        <v>441</v>
      </c>
      <c r="B994" s="308" t="s">
        <v>853</v>
      </c>
      <c r="C994" s="6" t="s">
        <v>442</v>
      </c>
      <c r="D994" s="6"/>
      <c r="E994" s="335">
        <v>81400</v>
      </c>
      <c r="F994" s="225">
        <v>78528</v>
      </c>
      <c r="G994" s="225">
        <f t="shared" si="15"/>
        <v>96.471744471744472</v>
      </c>
    </row>
    <row r="995" spans="1:7" ht="25.5">
      <c r="A995" s="54" t="s">
        <v>1883</v>
      </c>
      <c r="B995" s="308" t="s">
        <v>853</v>
      </c>
      <c r="C995" s="6" t="s">
        <v>442</v>
      </c>
      <c r="D995" s="6" t="s">
        <v>438</v>
      </c>
      <c r="E995" s="335">
        <v>81400</v>
      </c>
      <c r="F995" s="225">
        <v>78528</v>
      </c>
      <c r="G995" s="225">
        <f t="shared" si="15"/>
        <v>96.471744471744472</v>
      </c>
    </row>
    <row r="996" spans="1:7" ht="38.25">
      <c r="A996" s="54" t="s">
        <v>1288</v>
      </c>
      <c r="B996" s="308" t="s">
        <v>853</v>
      </c>
      <c r="C996" s="6" t="s">
        <v>1289</v>
      </c>
      <c r="D996" s="6"/>
      <c r="E996" s="335">
        <v>258986</v>
      </c>
      <c r="F996" s="225">
        <v>258986</v>
      </c>
      <c r="G996" s="225">
        <f t="shared" si="15"/>
        <v>100</v>
      </c>
    </row>
    <row r="997" spans="1:7" ht="25.5">
      <c r="A997" s="54" t="s">
        <v>1883</v>
      </c>
      <c r="B997" s="308" t="s">
        <v>853</v>
      </c>
      <c r="C997" s="6" t="s">
        <v>1289</v>
      </c>
      <c r="D997" s="6" t="s">
        <v>438</v>
      </c>
      <c r="E997" s="335">
        <v>258986</v>
      </c>
      <c r="F997" s="225">
        <v>258986</v>
      </c>
      <c r="G997" s="225">
        <f t="shared" si="15"/>
        <v>100</v>
      </c>
    </row>
    <row r="998" spans="1:7" ht="38.25">
      <c r="A998" s="54" t="s">
        <v>765</v>
      </c>
      <c r="B998" s="308" t="s">
        <v>1241</v>
      </c>
      <c r="C998" s="6"/>
      <c r="D998" s="6"/>
      <c r="E998" s="335">
        <v>47127087.890000001</v>
      </c>
      <c r="F998" s="225">
        <v>44996659.640000001</v>
      </c>
      <c r="G998" s="225">
        <f t="shared" si="15"/>
        <v>95.4793976343867</v>
      </c>
    </row>
    <row r="999" spans="1:7" ht="38.25">
      <c r="A999" s="54" t="s">
        <v>444</v>
      </c>
      <c r="B999" s="308" t="s">
        <v>847</v>
      </c>
      <c r="C999" s="6"/>
      <c r="D999" s="6"/>
      <c r="E999" s="335">
        <v>33340578.18</v>
      </c>
      <c r="F999" s="225">
        <v>32128329.84</v>
      </c>
      <c r="G999" s="225">
        <f t="shared" si="15"/>
        <v>96.364045238042124</v>
      </c>
    </row>
    <row r="1000" spans="1:7" ht="25.5">
      <c r="A1000" s="54" t="s">
        <v>1165</v>
      </c>
      <c r="B1000" s="308" t="s">
        <v>847</v>
      </c>
      <c r="C1000" s="6" t="s">
        <v>440</v>
      </c>
      <c r="D1000" s="6"/>
      <c r="E1000" s="335">
        <v>18862896.739999998</v>
      </c>
      <c r="F1000" s="225">
        <v>18708732</v>
      </c>
      <c r="G1000" s="225">
        <f t="shared" si="15"/>
        <v>99.182709092219739</v>
      </c>
    </row>
    <row r="1001" spans="1:7" ht="38.25">
      <c r="A1001" s="54" t="s">
        <v>92</v>
      </c>
      <c r="B1001" s="308" t="s">
        <v>847</v>
      </c>
      <c r="C1001" s="6" t="s">
        <v>440</v>
      </c>
      <c r="D1001" s="6" t="s">
        <v>443</v>
      </c>
      <c r="E1001" s="335">
        <v>932563.46</v>
      </c>
      <c r="F1001" s="225">
        <v>932563.35</v>
      </c>
      <c r="G1001" s="225">
        <f t="shared" si="15"/>
        <v>99.999988204556075</v>
      </c>
    </row>
    <row r="1002" spans="1:7" ht="51">
      <c r="A1002" s="54" t="s">
        <v>284</v>
      </c>
      <c r="B1002" s="308" t="s">
        <v>847</v>
      </c>
      <c r="C1002" s="6" t="s">
        <v>440</v>
      </c>
      <c r="D1002" s="6" t="s">
        <v>450</v>
      </c>
      <c r="E1002" s="335">
        <v>17516955.68</v>
      </c>
      <c r="F1002" s="225">
        <v>17362791.050000001</v>
      </c>
      <c r="G1002" s="225">
        <f t="shared" si="15"/>
        <v>99.11991197091389</v>
      </c>
    </row>
    <row r="1003" spans="1:7" ht="38.25">
      <c r="A1003" s="54" t="s">
        <v>264</v>
      </c>
      <c r="B1003" s="308" t="s">
        <v>847</v>
      </c>
      <c r="C1003" s="6" t="s">
        <v>440</v>
      </c>
      <c r="D1003" s="6" t="s">
        <v>448</v>
      </c>
      <c r="E1003" s="335">
        <v>413377.6</v>
      </c>
      <c r="F1003" s="225">
        <v>413377.6</v>
      </c>
      <c r="G1003" s="225">
        <f t="shared" si="15"/>
        <v>100</v>
      </c>
    </row>
    <row r="1004" spans="1:7" ht="38.25">
      <c r="A1004" s="54" t="s">
        <v>441</v>
      </c>
      <c r="B1004" s="308" t="s">
        <v>847</v>
      </c>
      <c r="C1004" s="6" t="s">
        <v>442</v>
      </c>
      <c r="D1004" s="6"/>
      <c r="E1004" s="335">
        <v>602169.41</v>
      </c>
      <c r="F1004" s="225">
        <v>564066.69999999995</v>
      </c>
      <c r="G1004" s="225">
        <f t="shared" si="15"/>
        <v>93.672426834169471</v>
      </c>
    </row>
    <row r="1005" spans="1:7" ht="38.25">
      <c r="A1005" s="54" t="s">
        <v>92</v>
      </c>
      <c r="B1005" s="308" t="s">
        <v>847</v>
      </c>
      <c r="C1005" s="6" t="s">
        <v>442</v>
      </c>
      <c r="D1005" s="6" t="s">
        <v>443</v>
      </c>
      <c r="E1005" s="335">
        <v>9980</v>
      </c>
      <c r="F1005" s="225">
        <v>9980</v>
      </c>
      <c r="G1005" s="225">
        <f t="shared" si="15"/>
        <v>100</v>
      </c>
    </row>
    <row r="1006" spans="1:7" ht="51">
      <c r="A1006" s="54" t="s">
        <v>284</v>
      </c>
      <c r="B1006" s="308" t="s">
        <v>847</v>
      </c>
      <c r="C1006" s="6" t="s">
        <v>442</v>
      </c>
      <c r="D1006" s="6" t="s">
        <v>450</v>
      </c>
      <c r="E1006" s="335">
        <v>578929.41</v>
      </c>
      <c r="F1006" s="225">
        <v>549736.69999999995</v>
      </c>
      <c r="G1006" s="225">
        <f t="shared" si="15"/>
        <v>94.957466403373758</v>
      </c>
    </row>
    <row r="1007" spans="1:7" ht="38.25">
      <c r="A1007" s="54" t="s">
        <v>264</v>
      </c>
      <c r="B1007" s="308" t="s">
        <v>847</v>
      </c>
      <c r="C1007" s="6" t="s">
        <v>442</v>
      </c>
      <c r="D1007" s="6" t="s">
        <v>448</v>
      </c>
      <c r="E1007" s="335">
        <v>13260</v>
      </c>
      <c r="F1007" s="225">
        <v>4350</v>
      </c>
      <c r="G1007" s="225">
        <f t="shared" si="15"/>
        <v>32.805429864253391</v>
      </c>
    </row>
    <row r="1008" spans="1:7" ht="38.25">
      <c r="A1008" s="54" t="s">
        <v>1288</v>
      </c>
      <c r="B1008" s="308" t="s">
        <v>847</v>
      </c>
      <c r="C1008" s="6" t="s">
        <v>1289</v>
      </c>
      <c r="D1008" s="6"/>
      <c r="E1008" s="335">
        <v>5731201.3899999997</v>
      </c>
      <c r="F1008" s="225">
        <v>5475651.9699999997</v>
      </c>
      <c r="G1008" s="225">
        <f t="shared" si="15"/>
        <v>95.541084624143707</v>
      </c>
    </row>
    <row r="1009" spans="1:7" ht="38.25">
      <c r="A1009" s="54" t="s">
        <v>92</v>
      </c>
      <c r="B1009" s="308" t="s">
        <v>847</v>
      </c>
      <c r="C1009" s="6" t="s">
        <v>1289</v>
      </c>
      <c r="D1009" s="6" t="s">
        <v>443</v>
      </c>
      <c r="E1009" s="335">
        <v>316200.49</v>
      </c>
      <c r="F1009" s="225">
        <v>316162.57</v>
      </c>
      <c r="G1009" s="225">
        <f t="shared" si="15"/>
        <v>99.98800760871687</v>
      </c>
    </row>
    <row r="1010" spans="1:7" ht="51">
      <c r="A1010" s="54" t="s">
        <v>284</v>
      </c>
      <c r="B1010" s="308" t="s">
        <v>847</v>
      </c>
      <c r="C1010" s="6" t="s">
        <v>1289</v>
      </c>
      <c r="D1010" s="6" t="s">
        <v>450</v>
      </c>
      <c r="E1010" s="335">
        <v>5290120.9000000004</v>
      </c>
      <c r="F1010" s="225">
        <v>5034609.4000000004</v>
      </c>
      <c r="G1010" s="225">
        <f t="shared" si="15"/>
        <v>95.170025320215274</v>
      </c>
    </row>
    <row r="1011" spans="1:7" ht="38.25">
      <c r="A1011" s="54" t="s">
        <v>264</v>
      </c>
      <c r="B1011" s="308" t="s">
        <v>847</v>
      </c>
      <c r="C1011" s="6" t="s">
        <v>1289</v>
      </c>
      <c r="D1011" s="6" t="s">
        <v>448</v>
      </c>
      <c r="E1011" s="335">
        <v>124880</v>
      </c>
      <c r="F1011" s="225">
        <v>124880</v>
      </c>
      <c r="G1011" s="225">
        <f t="shared" si="15"/>
        <v>100</v>
      </c>
    </row>
    <row r="1012" spans="1:7" ht="25.5">
      <c r="A1012" s="54" t="s">
        <v>445</v>
      </c>
      <c r="B1012" s="308" t="s">
        <v>847</v>
      </c>
      <c r="C1012" s="6" t="s">
        <v>446</v>
      </c>
      <c r="D1012" s="6"/>
      <c r="E1012" s="335">
        <v>7846561.9500000002</v>
      </c>
      <c r="F1012" s="225">
        <v>7097930.3200000003</v>
      </c>
      <c r="G1012" s="225">
        <f t="shared" si="15"/>
        <v>90.459112732806503</v>
      </c>
    </row>
    <row r="1013" spans="1:7" ht="38.25">
      <c r="A1013" s="54" t="s">
        <v>92</v>
      </c>
      <c r="B1013" s="308" t="s">
        <v>847</v>
      </c>
      <c r="C1013" s="6" t="s">
        <v>446</v>
      </c>
      <c r="D1013" s="6" t="s">
        <v>443</v>
      </c>
      <c r="E1013" s="335">
        <v>398620.28</v>
      </c>
      <c r="F1013" s="225">
        <v>392020</v>
      </c>
      <c r="G1013" s="225">
        <f t="shared" si="15"/>
        <v>98.344218713608839</v>
      </c>
    </row>
    <row r="1014" spans="1:7" ht="51">
      <c r="A1014" s="54" t="s">
        <v>284</v>
      </c>
      <c r="B1014" s="308" t="s">
        <v>847</v>
      </c>
      <c r="C1014" s="6" t="s">
        <v>446</v>
      </c>
      <c r="D1014" s="6" t="s">
        <v>450</v>
      </c>
      <c r="E1014" s="335">
        <v>7409148.6699999999</v>
      </c>
      <c r="F1014" s="225">
        <v>6676812.2400000002</v>
      </c>
      <c r="G1014" s="225">
        <f t="shared" si="15"/>
        <v>90.115781682647764</v>
      </c>
    </row>
    <row r="1015" spans="1:7" ht="38.25">
      <c r="A1015" s="54" t="s">
        <v>264</v>
      </c>
      <c r="B1015" s="308" t="s">
        <v>847</v>
      </c>
      <c r="C1015" s="6" t="s">
        <v>446</v>
      </c>
      <c r="D1015" s="6" t="s">
        <v>448</v>
      </c>
      <c r="E1015" s="335">
        <v>38793</v>
      </c>
      <c r="F1015" s="225">
        <v>29098.080000000002</v>
      </c>
      <c r="G1015" s="225">
        <f t="shared" si="15"/>
        <v>75.00858402289073</v>
      </c>
    </row>
    <row r="1016" spans="1:7">
      <c r="A1016" s="54" t="s">
        <v>1168</v>
      </c>
      <c r="B1016" s="308" t="s">
        <v>847</v>
      </c>
      <c r="C1016" s="6" t="s">
        <v>626</v>
      </c>
      <c r="D1016" s="6"/>
      <c r="E1016" s="335">
        <v>2000</v>
      </c>
      <c r="F1016" s="225">
        <v>2000</v>
      </c>
      <c r="G1016" s="225">
        <f t="shared" si="15"/>
        <v>100</v>
      </c>
    </row>
    <row r="1017" spans="1:7" ht="51">
      <c r="A1017" s="54" t="s">
        <v>284</v>
      </c>
      <c r="B1017" s="308" t="s">
        <v>847</v>
      </c>
      <c r="C1017" s="6" t="s">
        <v>626</v>
      </c>
      <c r="D1017" s="6" t="s">
        <v>450</v>
      </c>
      <c r="E1017" s="335">
        <v>2000</v>
      </c>
      <c r="F1017" s="225">
        <v>2000</v>
      </c>
      <c r="G1017" s="225">
        <f t="shared" si="15"/>
        <v>100</v>
      </c>
    </row>
    <row r="1018" spans="1:7">
      <c r="A1018" s="54" t="s">
        <v>1293</v>
      </c>
      <c r="B1018" s="308" t="s">
        <v>847</v>
      </c>
      <c r="C1018" s="6" t="s">
        <v>1294</v>
      </c>
      <c r="D1018" s="6"/>
      <c r="E1018" s="335">
        <v>295748.69</v>
      </c>
      <c r="F1018" s="225">
        <v>279948.84999999998</v>
      </c>
      <c r="G1018" s="225">
        <f t="shared" si="15"/>
        <v>94.657680478652324</v>
      </c>
    </row>
    <row r="1019" spans="1:7" ht="38.25">
      <c r="A1019" s="54" t="s">
        <v>92</v>
      </c>
      <c r="B1019" s="308" t="s">
        <v>847</v>
      </c>
      <c r="C1019" s="6" t="s">
        <v>1294</v>
      </c>
      <c r="D1019" s="6" t="s">
        <v>443</v>
      </c>
      <c r="E1019" s="335">
        <v>2425.6999999999998</v>
      </c>
      <c r="F1019" s="225">
        <v>2420.6999999999998</v>
      </c>
      <c r="G1019" s="225">
        <f t="shared" si="15"/>
        <v>99.793873933297604</v>
      </c>
    </row>
    <row r="1020" spans="1:7" ht="51">
      <c r="A1020" s="54" t="s">
        <v>284</v>
      </c>
      <c r="B1020" s="308" t="s">
        <v>847</v>
      </c>
      <c r="C1020" s="6" t="s">
        <v>1294</v>
      </c>
      <c r="D1020" s="6" t="s">
        <v>450</v>
      </c>
      <c r="E1020" s="335">
        <v>293068.65000000002</v>
      </c>
      <c r="F1020" s="225">
        <v>277273.81</v>
      </c>
      <c r="G1020" s="225">
        <f t="shared" si="15"/>
        <v>94.610532378676453</v>
      </c>
    </row>
    <row r="1021" spans="1:7" ht="38.25">
      <c r="A1021" s="54" t="s">
        <v>264</v>
      </c>
      <c r="B1021" s="308" t="s">
        <v>847</v>
      </c>
      <c r="C1021" s="6" t="s">
        <v>1294</v>
      </c>
      <c r="D1021" s="6" t="s">
        <v>448</v>
      </c>
      <c r="E1021" s="335">
        <v>254.34</v>
      </c>
      <c r="F1021" s="225">
        <v>254.34</v>
      </c>
      <c r="G1021" s="225">
        <f t="shared" si="15"/>
        <v>100</v>
      </c>
    </row>
    <row r="1022" spans="1:7" ht="76.5">
      <c r="A1022" s="54" t="s">
        <v>725</v>
      </c>
      <c r="B1022" s="308" t="s">
        <v>857</v>
      </c>
      <c r="C1022" s="6"/>
      <c r="D1022" s="6"/>
      <c r="E1022" s="335">
        <v>869781</v>
      </c>
      <c r="F1022" s="225">
        <v>869781</v>
      </c>
      <c r="G1022" s="225">
        <f t="shared" si="15"/>
        <v>100</v>
      </c>
    </row>
    <row r="1023" spans="1:7" ht="25.5">
      <c r="A1023" s="54" t="s">
        <v>1165</v>
      </c>
      <c r="B1023" s="308" t="s">
        <v>857</v>
      </c>
      <c r="C1023" s="6" t="s">
        <v>440</v>
      </c>
      <c r="D1023" s="6"/>
      <c r="E1023" s="335">
        <v>668035</v>
      </c>
      <c r="F1023" s="225">
        <v>668035</v>
      </c>
      <c r="G1023" s="225">
        <f t="shared" si="15"/>
        <v>100</v>
      </c>
    </row>
    <row r="1024" spans="1:7" ht="51">
      <c r="A1024" s="54" t="s">
        <v>284</v>
      </c>
      <c r="B1024" s="308" t="s">
        <v>857</v>
      </c>
      <c r="C1024" s="6" t="s">
        <v>440</v>
      </c>
      <c r="D1024" s="6" t="s">
        <v>450</v>
      </c>
      <c r="E1024" s="335">
        <v>668035</v>
      </c>
      <c r="F1024" s="225">
        <v>668035</v>
      </c>
      <c r="G1024" s="225">
        <f t="shared" si="15"/>
        <v>100</v>
      </c>
    </row>
    <row r="1025" spans="1:7" ht="38.25">
      <c r="A1025" s="54" t="s">
        <v>1288</v>
      </c>
      <c r="B1025" s="308" t="s">
        <v>857</v>
      </c>
      <c r="C1025" s="6" t="s">
        <v>1289</v>
      </c>
      <c r="D1025" s="6"/>
      <c r="E1025" s="335">
        <v>201746</v>
      </c>
      <c r="F1025" s="225">
        <v>201746</v>
      </c>
      <c r="G1025" s="225">
        <f t="shared" si="15"/>
        <v>100</v>
      </c>
    </row>
    <row r="1026" spans="1:7" ht="51">
      <c r="A1026" s="54" t="s">
        <v>284</v>
      </c>
      <c r="B1026" s="308" t="s">
        <v>857</v>
      </c>
      <c r="C1026" s="6" t="s">
        <v>1289</v>
      </c>
      <c r="D1026" s="6" t="s">
        <v>450</v>
      </c>
      <c r="E1026" s="335">
        <v>201746</v>
      </c>
      <c r="F1026" s="225">
        <v>201746</v>
      </c>
      <c r="G1026" s="225">
        <f t="shared" si="15"/>
        <v>100</v>
      </c>
    </row>
    <row r="1027" spans="1:7" ht="51">
      <c r="A1027" s="54" t="s">
        <v>723</v>
      </c>
      <c r="B1027" s="308" t="s">
        <v>848</v>
      </c>
      <c r="C1027" s="6"/>
      <c r="D1027" s="6"/>
      <c r="E1027" s="335">
        <v>1081565.07</v>
      </c>
      <c r="F1027" s="225">
        <v>1039928.53</v>
      </c>
      <c r="G1027" s="225">
        <f t="shared" si="15"/>
        <v>96.150343501755287</v>
      </c>
    </row>
    <row r="1028" spans="1:7" ht="38.25">
      <c r="A1028" s="54" t="s">
        <v>441</v>
      </c>
      <c r="B1028" s="308" t="s">
        <v>848</v>
      </c>
      <c r="C1028" s="6" t="s">
        <v>442</v>
      </c>
      <c r="D1028" s="6"/>
      <c r="E1028" s="335">
        <v>1081565.07</v>
      </c>
      <c r="F1028" s="225">
        <v>1039928.53</v>
      </c>
      <c r="G1028" s="225">
        <f t="shared" si="15"/>
        <v>96.150343501755287</v>
      </c>
    </row>
    <row r="1029" spans="1:7" ht="38.25">
      <c r="A1029" s="54" t="s">
        <v>92</v>
      </c>
      <c r="B1029" s="308" t="s">
        <v>848</v>
      </c>
      <c r="C1029" s="6" t="s">
        <v>442</v>
      </c>
      <c r="D1029" s="6" t="s">
        <v>443</v>
      </c>
      <c r="E1029" s="335">
        <v>135660.79999999999</v>
      </c>
      <c r="F1029" s="225">
        <v>135660.79999999999</v>
      </c>
      <c r="G1029" s="225">
        <f t="shared" si="15"/>
        <v>100</v>
      </c>
    </row>
    <row r="1030" spans="1:7" ht="51">
      <c r="A1030" s="54" t="s">
        <v>284</v>
      </c>
      <c r="B1030" s="308" t="s">
        <v>848</v>
      </c>
      <c r="C1030" s="6" t="s">
        <v>442</v>
      </c>
      <c r="D1030" s="6" t="s">
        <v>450</v>
      </c>
      <c r="E1030" s="335">
        <v>945904.27</v>
      </c>
      <c r="F1030" s="225">
        <v>904267.73</v>
      </c>
      <c r="G1030" s="225">
        <f t="shared" si="15"/>
        <v>95.598228983573563</v>
      </c>
    </row>
    <row r="1031" spans="1:7" ht="63.75">
      <c r="A1031" s="54" t="s">
        <v>726</v>
      </c>
      <c r="B1031" s="308" t="s">
        <v>858</v>
      </c>
      <c r="C1031" s="6"/>
      <c r="D1031" s="6"/>
      <c r="E1031" s="335">
        <v>5475168</v>
      </c>
      <c r="F1031" s="225">
        <v>4792644.3600000003</v>
      </c>
      <c r="G1031" s="225">
        <f t="shared" si="15"/>
        <v>87.534197306822364</v>
      </c>
    </row>
    <row r="1032" spans="1:7" ht="25.5">
      <c r="A1032" s="54" t="s">
        <v>1165</v>
      </c>
      <c r="B1032" s="308" t="s">
        <v>858</v>
      </c>
      <c r="C1032" s="6" t="s">
        <v>440</v>
      </c>
      <c r="D1032" s="6"/>
      <c r="E1032" s="335">
        <v>4205198</v>
      </c>
      <c r="F1032" s="225">
        <v>3647850.4</v>
      </c>
      <c r="G1032" s="225">
        <f t="shared" ref="G1032:G1095" si="16">F1032/E1032*100</f>
        <v>86.746222175507555</v>
      </c>
    </row>
    <row r="1033" spans="1:7" ht="51">
      <c r="A1033" s="54" t="s">
        <v>284</v>
      </c>
      <c r="B1033" s="308" t="s">
        <v>858</v>
      </c>
      <c r="C1033" s="6" t="s">
        <v>440</v>
      </c>
      <c r="D1033" s="6" t="s">
        <v>450</v>
      </c>
      <c r="E1033" s="335">
        <v>4205198</v>
      </c>
      <c r="F1033" s="225">
        <v>3647850.4</v>
      </c>
      <c r="G1033" s="225">
        <f t="shared" si="16"/>
        <v>86.746222175507555</v>
      </c>
    </row>
    <row r="1034" spans="1:7" ht="38.25">
      <c r="A1034" s="54" t="s">
        <v>1288</v>
      </c>
      <c r="B1034" s="308" t="s">
        <v>858</v>
      </c>
      <c r="C1034" s="6" t="s">
        <v>1289</v>
      </c>
      <c r="D1034" s="6"/>
      <c r="E1034" s="335">
        <v>1269970</v>
      </c>
      <c r="F1034" s="225">
        <v>1144793.96</v>
      </c>
      <c r="G1034" s="225">
        <f t="shared" si="16"/>
        <v>90.143386064237745</v>
      </c>
    </row>
    <row r="1035" spans="1:7" ht="51">
      <c r="A1035" s="54" t="s">
        <v>284</v>
      </c>
      <c r="B1035" s="308" t="s">
        <v>858</v>
      </c>
      <c r="C1035" s="6" t="s">
        <v>1289</v>
      </c>
      <c r="D1035" s="6" t="s">
        <v>450</v>
      </c>
      <c r="E1035" s="335">
        <v>1269970</v>
      </c>
      <c r="F1035" s="225">
        <v>1144793.96</v>
      </c>
      <c r="G1035" s="225">
        <f t="shared" si="16"/>
        <v>90.143386064237745</v>
      </c>
    </row>
    <row r="1036" spans="1:7" ht="38.25">
      <c r="A1036" s="54" t="s">
        <v>1169</v>
      </c>
      <c r="B1036" s="308" t="s">
        <v>1170</v>
      </c>
      <c r="C1036" s="6"/>
      <c r="D1036" s="6"/>
      <c r="E1036" s="335">
        <v>2417921</v>
      </c>
      <c r="F1036" s="225">
        <v>2321124.87</v>
      </c>
      <c r="G1036" s="225">
        <f t="shared" si="16"/>
        <v>95.996720736533575</v>
      </c>
    </row>
    <row r="1037" spans="1:7" ht="25.5">
      <c r="A1037" s="54" t="s">
        <v>445</v>
      </c>
      <c r="B1037" s="308" t="s">
        <v>1170</v>
      </c>
      <c r="C1037" s="6" t="s">
        <v>446</v>
      </c>
      <c r="D1037" s="6"/>
      <c r="E1037" s="335">
        <v>2417921</v>
      </c>
      <c r="F1037" s="225">
        <v>2321124.87</v>
      </c>
      <c r="G1037" s="225">
        <f t="shared" si="16"/>
        <v>95.996720736533575</v>
      </c>
    </row>
    <row r="1038" spans="1:7" ht="51">
      <c r="A1038" s="54" t="s">
        <v>284</v>
      </c>
      <c r="B1038" s="308" t="s">
        <v>1170</v>
      </c>
      <c r="C1038" s="6" t="s">
        <v>446</v>
      </c>
      <c r="D1038" s="6" t="s">
        <v>450</v>
      </c>
      <c r="E1038" s="335">
        <v>2417921</v>
      </c>
      <c r="F1038" s="225">
        <v>2321124.87</v>
      </c>
      <c r="G1038" s="225">
        <f t="shared" si="16"/>
        <v>95.996720736533575</v>
      </c>
    </row>
    <row r="1039" spans="1:7" ht="38.25">
      <c r="A1039" s="54" t="s">
        <v>1166</v>
      </c>
      <c r="B1039" s="308" t="s">
        <v>1167</v>
      </c>
      <c r="C1039" s="6"/>
      <c r="D1039" s="6"/>
      <c r="E1039" s="335">
        <v>730479.64</v>
      </c>
      <c r="F1039" s="225">
        <v>720054</v>
      </c>
      <c r="G1039" s="225">
        <f t="shared" si="16"/>
        <v>98.572767887137829</v>
      </c>
    </row>
    <row r="1040" spans="1:7" ht="25.5">
      <c r="A1040" s="54" t="s">
        <v>445</v>
      </c>
      <c r="B1040" s="308" t="s">
        <v>1167</v>
      </c>
      <c r="C1040" s="6" t="s">
        <v>446</v>
      </c>
      <c r="D1040" s="6"/>
      <c r="E1040" s="335">
        <v>730479.64</v>
      </c>
      <c r="F1040" s="225">
        <v>720054</v>
      </c>
      <c r="G1040" s="225">
        <f t="shared" si="16"/>
        <v>98.572767887137829</v>
      </c>
    </row>
    <row r="1041" spans="1:7" ht="38.25">
      <c r="A1041" s="54" t="s">
        <v>92</v>
      </c>
      <c r="B1041" s="308" t="s">
        <v>1167</v>
      </c>
      <c r="C1041" s="6" t="s">
        <v>446</v>
      </c>
      <c r="D1041" s="6" t="s">
        <v>443</v>
      </c>
      <c r="E1041" s="335">
        <v>85580.22</v>
      </c>
      <c r="F1041" s="225">
        <v>85540</v>
      </c>
      <c r="G1041" s="225">
        <f t="shared" si="16"/>
        <v>99.953003158907521</v>
      </c>
    </row>
    <row r="1042" spans="1:7" ht="51">
      <c r="A1042" s="54" t="s">
        <v>284</v>
      </c>
      <c r="B1042" s="308" t="s">
        <v>1167</v>
      </c>
      <c r="C1042" s="6" t="s">
        <v>446</v>
      </c>
      <c r="D1042" s="6" t="s">
        <v>450</v>
      </c>
      <c r="E1042" s="335">
        <v>637406.42000000004</v>
      </c>
      <c r="F1042" s="225">
        <v>627021</v>
      </c>
      <c r="G1042" s="225">
        <f t="shared" si="16"/>
        <v>98.370675337722517</v>
      </c>
    </row>
    <row r="1043" spans="1:7" ht="38.25">
      <c r="A1043" s="54" t="s">
        <v>264</v>
      </c>
      <c r="B1043" s="308" t="s">
        <v>1167</v>
      </c>
      <c r="C1043" s="6" t="s">
        <v>446</v>
      </c>
      <c r="D1043" s="6" t="s">
        <v>448</v>
      </c>
      <c r="E1043" s="335">
        <v>7493</v>
      </c>
      <c r="F1043" s="225">
        <v>7493</v>
      </c>
      <c r="G1043" s="225">
        <f t="shared" si="16"/>
        <v>100</v>
      </c>
    </row>
    <row r="1044" spans="1:7" ht="25.5">
      <c r="A1044" s="54" t="s">
        <v>1438</v>
      </c>
      <c r="B1044" s="308" t="s">
        <v>1439</v>
      </c>
      <c r="C1044" s="6"/>
      <c r="D1044" s="6"/>
      <c r="E1044" s="335">
        <v>750540</v>
      </c>
      <c r="F1044" s="225">
        <v>744403.99</v>
      </c>
      <c r="G1044" s="225">
        <f t="shared" si="16"/>
        <v>99.182453966477468</v>
      </c>
    </row>
    <row r="1045" spans="1:7" ht="25.5">
      <c r="A1045" s="54" t="s">
        <v>445</v>
      </c>
      <c r="B1045" s="308" t="s">
        <v>1439</v>
      </c>
      <c r="C1045" s="6" t="s">
        <v>446</v>
      </c>
      <c r="D1045" s="6"/>
      <c r="E1045" s="335">
        <v>750540</v>
      </c>
      <c r="F1045" s="225">
        <v>744403.99</v>
      </c>
      <c r="G1045" s="225">
        <f t="shared" si="16"/>
        <v>99.182453966477468</v>
      </c>
    </row>
    <row r="1046" spans="1:7" ht="51">
      <c r="A1046" s="54" t="s">
        <v>284</v>
      </c>
      <c r="B1046" s="308" t="s">
        <v>1439</v>
      </c>
      <c r="C1046" s="6" t="s">
        <v>446</v>
      </c>
      <c r="D1046" s="6" t="s">
        <v>450</v>
      </c>
      <c r="E1046" s="335">
        <v>750540</v>
      </c>
      <c r="F1046" s="225">
        <v>744403.99</v>
      </c>
      <c r="G1046" s="225">
        <f t="shared" si="16"/>
        <v>99.182453966477468</v>
      </c>
    </row>
    <row r="1047" spans="1:7" ht="63.75">
      <c r="A1047" s="54" t="s">
        <v>671</v>
      </c>
      <c r="B1047" s="308" t="s">
        <v>862</v>
      </c>
      <c r="C1047" s="6"/>
      <c r="D1047" s="6"/>
      <c r="E1047" s="335">
        <v>55000</v>
      </c>
      <c r="F1047" s="225">
        <v>55000</v>
      </c>
      <c r="G1047" s="225">
        <f t="shared" si="16"/>
        <v>100</v>
      </c>
    </row>
    <row r="1048" spans="1:7" ht="25.5">
      <c r="A1048" s="54" t="s">
        <v>1165</v>
      </c>
      <c r="B1048" s="308" t="s">
        <v>862</v>
      </c>
      <c r="C1048" s="6" t="s">
        <v>440</v>
      </c>
      <c r="D1048" s="6"/>
      <c r="E1048" s="335">
        <v>40169</v>
      </c>
      <c r="F1048" s="225">
        <v>40169</v>
      </c>
      <c r="G1048" s="225">
        <f t="shared" si="16"/>
        <v>100</v>
      </c>
    </row>
    <row r="1049" spans="1:7">
      <c r="A1049" s="54" t="s">
        <v>265</v>
      </c>
      <c r="B1049" s="308" t="s">
        <v>862</v>
      </c>
      <c r="C1049" s="6" t="s">
        <v>440</v>
      </c>
      <c r="D1049" s="6" t="s">
        <v>454</v>
      </c>
      <c r="E1049" s="335">
        <v>40169</v>
      </c>
      <c r="F1049" s="225">
        <v>40169</v>
      </c>
      <c r="G1049" s="225">
        <f t="shared" si="16"/>
        <v>100</v>
      </c>
    </row>
    <row r="1050" spans="1:7" ht="38.25">
      <c r="A1050" s="54" t="s">
        <v>1288</v>
      </c>
      <c r="B1050" s="308" t="s">
        <v>862</v>
      </c>
      <c r="C1050" s="6" t="s">
        <v>1289</v>
      </c>
      <c r="D1050" s="6"/>
      <c r="E1050" s="335">
        <v>12131</v>
      </c>
      <c r="F1050" s="225">
        <v>12131</v>
      </c>
      <c r="G1050" s="225">
        <f t="shared" si="16"/>
        <v>100</v>
      </c>
    </row>
    <row r="1051" spans="1:7">
      <c r="A1051" s="54" t="s">
        <v>265</v>
      </c>
      <c r="B1051" s="308" t="s">
        <v>862</v>
      </c>
      <c r="C1051" s="6" t="s">
        <v>1289</v>
      </c>
      <c r="D1051" s="6" t="s">
        <v>454</v>
      </c>
      <c r="E1051" s="335">
        <v>12131</v>
      </c>
      <c r="F1051" s="225">
        <v>12131</v>
      </c>
      <c r="G1051" s="225">
        <f t="shared" si="16"/>
        <v>100</v>
      </c>
    </row>
    <row r="1052" spans="1:7" ht="25.5">
      <c r="A1052" s="54" t="s">
        <v>445</v>
      </c>
      <c r="B1052" s="308" t="s">
        <v>862</v>
      </c>
      <c r="C1052" s="6" t="s">
        <v>446</v>
      </c>
      <c r="D1052" s="6"/>
      <c r="E1052" s="335">
        <v>2700</v>
      </c>
      <c r="F1052" s="225">
        <v>2700</v>
      </c>
      <c r="G1052" s="225">
        <f t="shared" si="16"/>
        <v>100</v>
      </c>
    </row>
    <row r="1053" spans="1:7">
      <c r="A1053" s="54" t="s">
        <v>265</v>
      </c>
      <c r="B1053" s="308" t="s">
        <v>862</v>
      </c>
      <c r="C1053" s="6" t="s">
        <v>446</v>
      </c>
      <c r="D1053" s="6" t="s">
        <v>454</v>
      </c>
      <c r="E1053" s="335">
        <v>2700</v>
      </c>
      <c r="F1053" s="225">
        <v>2700</v>
      </c>
      <c r="G1053" s="225">
        <f t="shared" si="16"/>
        <v>100</v>
      </c>
    </row>
    <row r="1054" spans="1:7" ht="76.5">
      <c r="A1054" s="54" t="s">
        <v>452</v>
      </c>
      <c r="B1054" s="308" t="s">
        <v>855</v>
      </c>
      <c r="C1054" s="6"/>
      <c r="D1054" s="6"/>
      <c r="E1054" s="335">
        <v>524300</v>
      </c>
      <c r="F1054" s="225">
        <v>522749.83</v>
      </c>
      <c r="G1054" s="225">
        <f t="shared" si="16"/>
        <v>99.704335304215149</v>
      </c>
    </row>
    <row r="1055" spans="1:7" ht="25.5">
      <c r="A1055" s="54" t="s">
        <v>1165</v>
      </c>
      <c r="B1055" s="308" t="s">
        <v>855</v>
      </c>
      <c r="C1055" s="6" t="s">
        <v>440</v>
      </c>
      <c r="D1055" s="6"/>
      <c r="E1055" s="335">
        <v>370964</v>
      </c>
      <c r="F1055" s="225">
        <v>370964</v>
      </c>
      <c r="G1055" s="225">
        <f t="shared" si="16"/>
        <v>100</v>
      </c>
    </row>
    <row r="1056" spans="1:7" ht="51">
      <c r="A1056" s="54" t="s">
        <v>284</v>
      </c>
      <c r="B1056" s="308" t="s">
        <v>855</v>
      </c>
      <c r="C1056" s="6" t="s">
        <v>440</v>
      </c>
      <c r="D1056" s="6" t="s">
        <v>450</v>
      </c>
      <c r="E1056" s="335">
        <v>370964</v>
      </c>
      <c r="F1056" s="225">
        <v>370964</v>
      </c>
      <c r="G1056" s="225">
        <f t="shared" si="16"/>
        <v>100</v>
      </c>
    </row>
    <row r="1057" spans="1:7" ht="38.25">
      <c r="A1057" s="54" t="s">
        <v>441</v>
      </c>
      <c r="B1057" s="308" t="s">
        <v>855</v>
      </c>
      <c r="C1057" s="6" t="s">
        <v>442</v>
      </c>
      <c r="D1057" s="6"/>
      <c r="E1057" s="335">
        <v>6100</v>
      </c>
      <c r="F1057" s="225">
        <v>4550</v>
      </c>
      <c r="G1057" s="225">
        <f t="shared" si="16"/>
        <v>74.590163934426229</v>
      </c>
    </row>
    <row r="1058" spans="1:7" ht="51">
      <c r="A1058" s="54" t="s">
        <v>284</v>
      </c>
      <c r="B1058" s="308" t="s">
        <v>855</v>
      </c>
      <c r="C1058" s="6" t="s">
        <v>442</v>
      </c>
      <c r="D1058" s="6" t="s">
        <v>450</v>
      </c>
      <c r="E1058" s="335">
        <v>6100</v>
      </c>
      <c r="F1058" s="225">
        <v>4550</v>
      </c>
      <c r="G1058" s="225">
        <f t="shared" si="16"/>
        <v>74.590163934426229</v>
      </c>
    </row>
    <row r="1059" spans="1:7" ht="38.25">
      <c r="A1059" s="54" t="s">
        <v>1288</v>
      </c>
      <c r="B1059" s="308" t="s">
        <v>855</v>
      </c>
      <c r="C1059" s="6" t="s">
        <v>1289</v>
      </c>
      <c r="D1059" s="6"/>
      <c r="E1059" s="335">
        <v>112031</v>
      </c>
      <c r="F1059" s="225">
        <v>112031</v>
      </c>
      <c r="G1059" s="225">
        <f t="shared" si="16"/>
        <v>100</v>
      </c>
    </row>
    <row r="1060" spans="1:7" ht="51">
      <c r="A1060" s="54" t="s">
        <v>284</v>
      </c>
      <c r="B1060" s="308" t="s">
        <v>855</v>
      </c>
      <c r="C1060" s="6" t="s">
        <v>1289</v>
      </c>
      <c r="D1060" s="6" t="s">
        <v>450</v>
      </c>
      <c r="E1060" s="335">
        <v>112031</v>
      </c>
      <c r="F1060" s="225">
        <v>112031</v>
      </c>
      <c r="G1060" s="225">
        <f t="shared" si="16"/>
        <v>100</v>
      </c>
    </row>
    <row r="1061" spans="1:7" ht="25.5">
      <c r="A1061" s="54" t="s">
        <v>445</v>
      </c>
      <c r="B1061" s="308" t="s">
        <v>855</v>
      </c>
      <c r="C1061" s="6" t="s">
        <v>446</v>
      </c>
      <c r="D1061" s="6"/>
      <c r="E1061" s="335">
        <v>35205</v>
      </c>
      <c r="F1061" s="225">
        <v>35204.83</v>
      </c>
      <c r="G1061" s="225">
        <f t="shared" si="16"/>
        <v>99.999517114046313</v>
      </c>
    </row>
    <row r="1062" spans="1:7" ht="51">
      <c r="A1062" s="54" t="s">
        <v>284</v>
      </c>
      <c r="B1062" s="308" t="s">
        <v>855</v>
      </c>
      <c r="C1062" s="6" t="s">
        <v>446</v>
      </c>
      <c r="D1062" s="6" t="s">
        <v>450</v>
      </c>
      <c r="E1062" s="335">
        <v>35205</v>
      </c>
      <c r="F1062" s="225">
        <v>35204.83</v>
      </c>
      <c r="G1062" s="225">
        <f t="shared" si="16"/>
        <v>99.999517114046313</v>
      </c>
    </row>
    <row r="1063" spans="1:7" ht="38.25">
      <c r="A1063" s="54" t="s">
        <v>455</v>
      </c>
      <c r="B1063" s="308" t="s">
        <v>863</v>
      </c>
      <c r="C1063" s="6"/>
      <c r="D1063" s="6"/>
      <c r="E1063" s="335">
        <v>69600</v>
      </c>
      <c r="F1063" s="225">
        <v>69600</v>
      </c>
      <c r="G1063" s="225">
        <f t="shared" si="16"/>
        <v>100</v>
      </c>
    </row>
    <row r="1064" spans="1:7" ht="25.5">
      <c r="A1064" s="54" t="s">
        <v>1165</v>
      </c>
      <c r="B1064" s="308" t="s">
        <v>863</v>
      </c>
      <c r="C1064" s="6" t="s">
        <v>440</v>
      </c>
      <c r="D1064" s="6"/>
      <c r="E1064" s="335">
        <v>44218</v>
      </c>
      <c r="F1064" s="225">
        <v>44218</v>
      </c>
      <c r="G1064" s="225">
        <f t="shared" si="16"/>
        <v>100</v>
      </c>
    </row>
    <row r="1065" spans="1:7">
      <c r="A1065" s="54" t="s">
        <v>265</v>
      </c>
      <c r="B1065" s="308" t="s">
        <v>863</v>
      </c>
      <c r="C1065" s="6" t="s">
        <v>440</v>
      </c>
      <c r="D1065" s="6" t="s">
        <v>454</v>
      </c>
      <c r="E1065" s="335">
        <v>44218</v>
      </c>
      <c r="F1065" s="225">
        <v>44218</v>
      </c>
      <c r="G1065" s="225">
        <f t="shared" si="16"/>
        <v>100</v>
      </c>
    </row>
    <row r="1066" spans="1:7" ht="38.25">
      <c r="A1066" s="54" t="s">
        <v>1288</v>
      </c>
      <c r="B1066" s="308" t="s">
        <v>863</v>
      </c>
      <c r="C1066" s="6" t="s">
        <v>1289</v>
      </c>
      <c r="D1066" s="6"/>
      <c r="E1066" s="335">
        <v>13354</v>
      </c>
      <c r="F1066" s="225">
        <v>13354</v>
      </c>
      <c r="G1066" s="225">
        <f t="shared" si="16"/>
        <v>100</v>
      </c>
    </row>
    <row r="1067" spans="1:7">
      <c r="A1067" s="54" t="s">
        <v>265</v>
      </c>
      <c r="B1067" s="308" t="s">
        <v>863</v>
      </c>
      <c r="C1067" s="6" t="s">
        <v>1289</v>
      </c>
      <c r="D1067" s="6" t="s">
        <v>454</v>
      </c>
      <c r="E1067" s="335">
        <v>13354</v>
      </c>
      <c r="F1067" s="225">
        <v>13354</v>
      </c>
      <c r="G1067" s="225">
        <f t="shared" si="16"/>
        <v>100</v>
      </c>
    </row>
    <row r="1068" spans="1:7" ht="25.5">
      <c r="A1068" s="54" t="s">
        <v>445</v>
      </c>
      <c r="B1068" s="308" t="s">
        <v>863</v>
      </c>
      <c r="C1068" s="6" t="s">
        <v>446</v>
      </c>
      <c r="D1068" s="6"/>
      <c r="E1068" s="335">
        <v>12028</v>
      </c>
      <c r="F1068" s="225">
        <v>12028</v>
      </c>
      <c r="G1068" s="225">
        <f t="shared" si="16"/>
        <v>100</v>
      </c>
    </row>
    <row r="1069" spans="1:7">
      <c r="A1069" s="54" t="s">
        <v>265</v>
      </c>
      <c r="B1069" s="308" t="s">
        <v>863</v>
      </c>
      <c r="C1069" s="6" t="s">
        <v>446</v>
      </c>
      <c r="D1069" s="6" t="s">
        <v>454</v>
      </c>
      <c r="E1069" s="335">
        <v>12028</v>
      </c>
      <c r="F1069" s="225">
        <v>12028</v>
      </c>
      <c r="G1069" s="225">
        <f t="shared" si="16"/>
        <v>100</v>
      </c>
    </row>
    <row r="1070" spans="1:7" ht="63.75">
      <c r="A1070" s="54" t="s">
        <v>453</v>
      </c>
      <c r="B1070" s="308" t="s">
        <v>856</v>
      </c>
      <c r="C1070" s="6"/>
      <c r="D1070" s="6"/>
      <c r="E1070" s="335">
        <v>1024000</v>
      </c>
      <c r="F1070" s="225">
        <v>944888.22</v>
      </c>
      <c r="G1070" s="225">
        <f t="shared" si="16"/>
        <v>92.274240234375</v>
      </c>
    </row>
    <row r="1071" spans="1:7" ht="25.5">
      <c r="A1071" s="54" t="s">
        <v>1165</v>
      </c>
      <c r="B1071" s="308" t="s">
        <v>856</v>
      </c>
      <c r="C1071" s="6" t="s">
        <v>440</v>
      </c>
      <c r="D1071" s="6"/>
      <c r="E1071" s="335">
        <v>741928</v>
      </c>
      <c r="F1071" s="225">
        <v>664193.82999999996</v>
      </c>
      <c r="G1071" s="225">
        <f t="shared" si="16"/>
        <v>89.522680098338384</v>
      </c>
    </row>
    <row r="1072" spans="1:7" ht="51">
      <c r="A1072" s="54" t="s">
        <v>284</v>
      </c>
      <c r="B1072" s="308" t="s">
        <v>856</v>
      </c>
      <c r="C1072" s="6" t="s">
        <v>440</v>
      </c>
      <c r="D1072" s="6" t="s">
        <v>450</v>
      </c>
      <c r="E1072" s="335">
        <v>741928</v>
      </c>
      <c r="F1072" s="225">
        <v>664193.82999999996</v>
      </c>
      <c r="G1072" s="225">
        <f t="shared" si="16"/>
        <v>89.522680098338384</v>
      </c>
    </row>
    <row r="1073" spans="1:7" ht="38.25">
      <c r="A1073" s="54" t="s">
        <v>441</v>
      </c>
      <c r="B1073" s="308" t="s">
        <v>856</v>
      </c>
      <c r="C1073" s="6" t="s">
        <v>442</v>
      </c>
      <c r="D1073" s="6"/>
      <c r="E1073" s="335">
        <v>6600</v>
      </c>
      <c r="F1073" s="225">
        <v>6600</v>
      </c>
      <c r="G1073" s="225">
        <f t="shared" si="16"/>
        <v>100</v>
      </c>
    </row>
    <row r="1074" spans="1:7" ht="51">
      <c r="A1074" s="54" t="s">
        <v>284</v>
      </c>
      <c r="B1074" s="308" t="s">
        <v>856</v>
      </c>
      <c r="C1074" s="6" t="s">
        <v>442</v>
      </c>
      <c r="D1074" s="6" t="s">
        <v>450</v>
      </c>
      <c r="E1074" s="335">
        <v>6600</v>
      </c>
      <c r="F1074" s="225">
        <v>6600</v>
      </c>
      <c r="G1074" s="225">
        <f t="shared" si="16"/>
        <v>100</v>
      </c>
    </row>
    <row r="1075" spans="1:7" ht="38.25">
      <c r="A1075" s="54" t="s">
        <v>1288</v>
      </c>
      <c r="B1075" s="308" t="s">
        <v>856</v>
      </c>
      <c r="C1075" s="6" t="s">
        <v>1289</v>
      </c>
      <c r="D1075" s="6"/>
      <c r="E1075" s="335">
        <v>224062</v>
      </c>
      <c r="F1075" s="225">
        <v>222719.21</v>
      </c>
      <c r="G1075" s="225">
        <f t="shared" si="16"/>
        <v>99.400706054574172</v>
      </c>
    </row>
    <row r="1076" spans="1:7" ht="51">
      <c r="A1076" s="54" t="s">
        <v>284</v>
      </c>
      <c r="B1076" s="308" t="s">
        <v>856</v>
      </c>
      <c r="C1076" s="6" t="s">
        <v>1289</v>
      </c>
      <c r="D1076" s="6" t="s">
        <v>450</v>
      </c>
      <c r="E1076" s="335">
        <v>224062</v>
      </c>
      <c r="F1076" s="225">
        <v>222719.21</v>
      </c>
      <c r="G1076" s="225">
        <f t="shared" si="16"/>
        <v>99.400706054574172</v>
      </c>
    </row>
    <row r="1077" spans="1:7" ht="25.5">
      <c r="A1077" s="54" t="s">
        <v>445</v>
      </c>
      <c r="B1077" s="308" t="s">
        <v>856</v>
      </c>
      <c r="C1077" s="6" t="s">
        <v>446</v>
      </c>
      <c r="D1077" s="6"/>
      <c r="E1077" s="335">
        <v>51410</v>
      </c>
      <c r="F1077" s="225">
        <v>51375.18</v>
      </c>
      <c r="G1077" s="225">
        <f t="shared" si="16"/>
        <v>99.932269986383972</v>
      </c>
    </row>
    <row r="1078" spans="1:7" ht="51">
      <c r="A1078" s="54" t="s">
        <v>284</v>
      </c>
      <c r="B1078" s="308" t="s">
        <v>856</v>
      </c>
      <c r="C1078" s="6" t="s">
        <v>446</v>
      </c>
      <c r="D1078" s="6" t="s">
        <v>450</v>
      </c>
      <c r="E1078" s="335">
        <v>51410</v>
      </c>
      <c r="F1078" s="225">
        <v>51375.18</v>
      </c>
      <c r="G1078" s="225">
        <f t="shared" si="16"/>
        <v>99.932269986383972</v>
      </c>
    </row>
    <row r="1079" spans="1:7" ht="76.5">
      <c r="A1079" s="54" t="s">
        <v>2004</v>
      </c>
      <c r="B1079" s="308" t="s">
        <v>2005</v>
      </c>
      <c r="C1079" s="6"/>
      <c r="D1079" s="6"/>
      <c r="E1079" s="335">
        <v>305160</v>
      </c>
      <c r="F1079" s="225">
        <v>305160</v>
      </c>
      <c r="G1079" s="225">
        <f t="shared" si="16"/>
        <v>100</v>
      </c>
    </row>
    <row r="1080" spans="1:7" ht="25.5">
      <c r="A1080" s="54" t="s">
        <v>1165</v>
      </c>
      <c r="B1080" s="308" t="s">
        <v>2005</v>
      </c>
      <c r="C1080" s="6" t="s">
        <v>440</v>
      </c>
      <c r="D1080" s="6"/>
      <c r="E1080" s="335">
        <v>234380</v>
      </c>
      <c r="F1080" s="225">
        <v>234380</v>
      </c>
      <c r="G1080" s="225">
        <f t="shared" si="16"/>
        <v>100</v>
      </c>
    </row>
    <row r="1081" spans="1:7" ht="51">
      <c r="A1081" s="54" t="s">
        <v>284</v>
      </c>
      <c r="B1081" s="308" t="s">
        <v>2005</v>
      </c>
      <c r="C1081" s="6" t="s">
        <v>440</v>
      </c>
      <c r="D1081" s="6" t="s">
        <v>450</v>
      </c>
      <c r="E1081" s="335">
        <v>234380</v>
      </c>
      <c r="F1081" s="225">
        <v>234380</v>
      </c>
      <c r="G1081" s="225">
        <f t="shared" si="16"/>
        <v>100</v>
      </c>
    </row>
    <row r="1082" spans="1:7" ht="38.25">
      <c r="A1082" s="54" t="s">
        <v>1288</v>
      </c>
      <c r="B1082" s="308" t="s">
        <v>2005</v>
      </c>
      <c r="C1082" s="6" t="s">
        <v>1289</v>
      </c>
      <c r="D1082" s="6"/>
      <c r="E1082" s="335">
        <v>70780</v>
      </c>
      <c r="F1082" s="225">
        <v>70780</v>
      </c>
      <c r="G1082" s="225">
        <f t="shared" si="16"/>
        <v>100</v>
      </c>
    </row>
    <row r="1083" spans="1:7" ht="51">
      <c r="A1083" s="54" t="s">
        <v>284</v>
      </c>
      <c r="B1083" s="308" t="s">
        <v>2005</v>
      </c>
      <c r="C1083" s="6" t="s">
        <v>1289</v>
      </c>
      <c r="D1083" s="6" t="s">
        <v>450</v>
      </c>
      <c r="E1083" s="335">
        <v>70780</v>
      </c>
      <c r="F1083" s="225">
        <v>70780</v>
      </c>
      <c r="G1083" s="225">
        <f t="shared" si="16"/>
        <v>100</v>
      </c>
    </row>
    <row r="1084" spans="1:7" ht="191.25">
      <c r="A1084" s="160" t="s">
        <v>627</v>
      </c>
      <c r="B1084" s="308" t="s">
        <v>859</v>
      </c>
      <c r="C1084" s="6"/>
      <c r="D1084" s="6"/>
      <c r="E1084" s="335">
        <v>482995</v>
      </c>
      <c r="F1084" s="225">
        <v>482995</v>
      </c>
      <c r="G1084" s="225">
        <f t="shared" si="16"/>
        <v>100</v>
      </c>
    </row>
    <row r="1085" spans="1:7" ht="25.5">
      <c r="A1085" s="54" t="s">
        <v>1165</v>
      </c>
      <c r="B1085" s="308" t="s">
        <v>859</v>
      </c>
      <c r="C1085" s="6" t="s">
        <v>440</v>
      </c>
      <c r="D1085" s="6"/>
      <c r="E1085" s="335">
        <v>370965</v>
      </c>
      <c r="F1085" s="225">
        <v>370965</v>
      </c>
      <c r="G1085" s="225">
        <f t="shared" si="16"/>
        <v>100</v>
      </c>
    </row>
    <row r="1086" spans="1:7" ht="51">
      <c r="A1086" s="54" t="s">
        <v>284</v>
      </c>
      <c r="B1086" s="308" t="s">
        <v>859</v>
      </c>
      <c r="C1086" s="6" t="s">
        <v>440</v>
      </c>
      <c r="D1086" s="6" t="s">
        <v>450</v>
      </c>
      <c r="E1086" s="335">
        <v>370965</v>
      </c>
      <c r="F1086" s="225">
        <v>370965</v>
      </c>
      <c r="G1086" s="225">
        <f t="shared" si="16"/>
        <v>100</v>
      </c>
    </row>
    <row r="1087" spans="1:7" ht="38.25">
      <c r="A1087" s="54" t="s">
        <v>1288</v>
      </c>
      <c r="B1087" s="308" t="s">
        <v>859</v>
      </c>
      <c r="C1087" s="6" t="s">
        <v>1289</v>
      </c>
      <c r="D1087" s="6"/>
      <c r="E1087" s="335">
        <v>112030</v>
      </c>
      <c r="F1087" s="225">
        <v>112030</v>
      </c>
      <c r="G1087" s="225">
        <f t="shared" si="16"/>
        <v>100</v>
      </c>
    </row>
    <row r="1088" spans="1:7" ht="51">
      <c r="A1088" s="54" t="s">
        <v>284</v>
      </c>
      <c r="B1088" s="308" t="s">
        <v>859</v>
      </c>
      <c r="C1088" s="6" t="s">
        <v>1289</v>
      </c>
      <c r="D1088" s="6" t="s">
        <v>450</v>
      </c>
      <c r="E1088" s="335">
        <v>112030</v>
      </c>
      <c r="F1088" s="225">
        <v>112030</v>
      </c>
      <c r="G1088" s="225">
        <f t="shared" si="16"/>
        <v>100</v>
      </c>
    </row>
    <row r="1089" spans="1:7" ht="51">
      <c r="A1089" s="54" t="s">
        <v>447</v>
      </c>
      <c r="B1089" s="308" t="s">
        <v>1242</v>
      </c>
      <c r="C1089" s="6"/>
      <c r="D1089" s="6"/>
      <c r="E1089" s="335">
        <v>2505679.0499999998</v>
      </c>
      <c r="F1089" s="225">
        <v>2496199.9300000002</v>
      </c>
      <c r="G1089" s="225">
        <f t="shared" si="16"/>
        <v>99.621694566189561</v>
      </c>
    </row>
    <row r="1090" spans="1:7" ht="51">
      <c r="A1090" s="54" t="s">
        <v>447</v>
      </c>
      <c r="B1090" s="308" t="s">
        <v>849</v>
      </c>
      <c r="C1090" s="6"/>
      <c r="D1090" s="6"/>
      <c r="E1090" s="335">
        <v>2475365.0499999998</v>
      </c>
      <c r="F1090" s="225">
        <v>2465885.9300000002</v>
      </c>
      <c r="G1090" s="225">
        <f t="shared" si="16"/>
        <v>99.617061733985466</v>
      </c>
    </row>
    <row r="1091" spans="1:7" ht="25.5">
      <c r="A1091" s="54" t="s">
        <v>1165</v>
      </c>
      <c r="B1091" s="308" t="s">
        <v>849</v>
      </c>
      <c r="C1091" s="6" t="s">
        <v>440</v>
      </c>
      <c r="D1091" s="6"/>
      <c r="E1091" s="335">
        <v>1672868.36</v>
      </c>
      <c r="F1091" s="225">
        <v>1672868.36</v>
      </c>
      <c r="G1091" s="225">
        <f t="shared" si="16"/>
        <v>100</v>
      </c>
    </row>
    <row r="1092" spans="1:7" ht="38.25">
      <c r="A1092" s="54" t="s">
        <v>92</v>
      </c>
      <c r="B1092" s="308" t="s">
        <v>849</v>
      </c>
      <c r="C1092" s="6" t="s">
        <v>440</v>
      </c>
      <c r="D1092" s="6" t="s">
        <v>443</v>
      </c>
      <c r="E1092" s="335">
        <v>1672868.36</v>
      </c>
      <c r="F1092" s="225">
        <v>1672868.36</v>
      </c>
      <c r="G1092" s="225">
        <f t="shared" si="16"/>
        <v>100</v>
      </c>
    </row>
    <row r="1093" spans="1:7" ht="38.25">
      <c r="A1093" s="54" t="s">
        <v>441</v>
      </c>
      <c r="B1093" s="308" t="s">
        <v>849</v>
      </c>
      <c r="C1093" s="6" t="s">
        <v>442</v>
      </c>
      <c r="D1093" s="6"/>
      <c r="E1093" s="335">
        <v>119636.42</v>
      </c>
      <c r="F1093" s="225">
        <v>119561.4</v>
      </c>
      <c r="G1093" s="225">
        <f t="shared" si="16"/>
        <v>99.937293342612548</v>
      </c>
    </row>
    <row r="1094" spans="1:7" ht="38.25">
      <c r="A1094" s="54" t="s">
        <v>92</v>
      </c>
      <c r="B1094" s="308" t="s">
        <v>849</v>
      </c>
      <c r="C1094" s="6" t="s">
        <v>442</v>
      </c>
      <c r="D1094" s="6" t="s">
        <v>443</v>
      </c>
      <c r="E1094" s="335">
        <v>119636.42</v>
      </c>
      <c r="F1094" s="225">
        <v>119561.4</v>
      </c>
      <c r="G1094" s="225">
        <f t="shared" si="16"/>
        <v>99.937293342612548</v>
      </c>
    </row>
    <row r="1095" spans="1:7" ht="51">
      <c r="A1095" s="54" t="s">
        <v>1599</v>
      </c>
      <c r="B1095" s="308" t="s">
        <v>849</v>
      </c>
      <c r="C1095" s="6" t="s">
        <v>623</v>
      </c>
      <c r="D1095" s="6"/>
      <c r="E1095" s="335">
        <v>216000</v>
      </c>
      <c r="F1095" s="225">
        <v>216000</v>
      </c>
      <c r="G1095" s="225">
        <f t="shared" si="16"/>
        <v>100</v>
      </c>
    </row>
    <row r="1096" spans="1:7" ht="38.25">
      <c r="A1096" s="54" t="s">
        <v>92</v>
      </c>
      <c r="B1096" s="308" t="s">
        <v>849</v>
      </c>
      <c r="C1096" s="6" t="s">
        <v>623</v>
      </c>
      <c r="D1096" s="6" t="s">
        <v>443</v>
      </c>
      <c r="E1096" s="335">
        <v>216000</v>
      </c>
      <c r="F1096" s="225">
        <v>216000</v>
      </c>
      <c r="G1096" s="225">
        <f t="shared" ref="G1096:G1159" si="17">F1096/E1096*100</f>
        <v>100</v>
      </c>
    </row>
    <row r="1097" spans="1:7" ht="38.25">
      <c r="A1097" s="54" t="s">
        <v>1288</v>
      </c>
      <c r="B1097" s="308" t="s">
        <v>849</v>
      </c>
      <c r="C1097" s="6" t="s">
        <v>1289</v>
      </c>
      <c r="D1097" s="6"/>
      <c r="E1097" s="335">
        <v>466860.27</v>
      </c>
      <c r="F1097" s="225">
        <v>457456.17</v>
      </c>
      <c r="G1097" s="225">
        <f t="shared" si="17"/>
        <v>97.985671387286814</v>
      </c>
    </row>
    <row r="1098" spans="1:7" ht="38.25">
      <c r="A1098" s="54" t="s">
        <v>92</v>
      </c>
      <c r="B1098" s="308" t="s">
        <v>849</v>
      </c>
      <c r="C1098" s="6" t="s">
        <v>1289</v>
      </c>
      <c r="D1098" s="6" t="s">
        <v>443</v>
      </c>
      <c r="E1098" s="353">
        <v>466860.27</v>
      </c>
      <c r="F1098" s="225">
        <v>457456.17</v>
      </c>
      <c r="G1098" s="225">
        <f t="shared" si="17"/>
        <v>97.985671387286814</v>
      </c>
    </row>
    <row r="1099" spans="1:7" ht="51">
      <c r="A1099" s="54" t="s">
        <v>1600</v>
      </c>
      <c r="B1099" s="308" t="s">
        <v>850</v>
      </c>
      <c r="C1099" s="6"/>
      <c r="D1099" s="6"/>
      <c r="E1099" s="353">
        <v>30314</v>
      </c>
      <c r="F1099" s="225">
        <v>30314</v>
      </c>
      <c r="G1099" s="225">
        <f t="shared" si="17"/>
        <v>100</v>
      </c>
    </row>
    <row r="1100" spans="1:7" ht="38.25">
      <c r="A1100" s="54" t="s">
        <v>441</v>
      </c>
      <c r="B1100" s="308" t="s">
        <v>850</v>
      </c>
      <c r="C1100" s="6" t="s">
        <v>442</v>
      </c>
      <c r="D1100" s="6"/>
      <c r="E1100" s="353">
        <v>30314</v>
      </c>
      <c r="F1100" s="225">
        <v>30314</v>
      </c>
      <c r="G1100" s="225">
        <f t="shared" si="17"/>
        <v>100</v>
      </c>
    </row>
    <row r="1101" spans="1:7" ht="38.25">
      <c r="A1101" s="54" t="s">
        <v>92</v>
      </c>
      <c r="B1101" s="308" t="s">
        <v>850</v>
      </c>
      <c r="C1101" s="6" t="s">
        <v>442</v>
      </c>
      <c r="D1101" s="6" t="s">
        <v>443</v>
      </c>
      <c r="E1101" s="353">
        <v>30314</v>
      </c>
      <c r="F1101" s="225">
        <v>30314</v>
      </c>
      <c r="G1101" s="225">
        <f t="shared" si="17"/>
        <v>100</v>
      </c>
    </row>
    <row r="1102" spans="1:7" ht="51">
      <c r="A1102" s="54" t="s">
        <v>449</v>
      </c>
      <c r="B1102" s="308" t="s">
        <v>1243</v>
      </c>
      <c r="C1102" s="6"/>
      <c r="D1102" s="6"/>
      <c r="E1102" s="353">
        <v>748264.4</v>
      </c>
      <c r="F1102" s="225">
        <v>738088.62</v>
      </c>
      <c r="G1102" s="225">
        <f t="shared" si="17"/>
        <v>98.640082302458865</v>
      </c>
    </row>
    <row r="1103" spans="1:7" ht="51">
      <c r="A1103" s="54" t="s">
        <v>449</v>
      </c>
      <c r="B1103" s="308" t="s">
        <v>851</v>
      </c>
      <c r="C1103" s="6"/>
      <c r="D1103" s="6"/>
      <c r="E1103" s="353">
        <v>748264.4</v>
      </c>
      <c r="F1103" s="225">
        <v>738088.62</v>
      </c>
      <c r="G1103" s="225">
        <f t="shared" si="17"/>
        <v>98.640082302458865</v>
      </c>
    </row>
    <row r="1104" spans="1:7" ht="25.5">
      <c r="A1104" s="54" t="s">
        <v>1165</v>
      </c>
      <c r="B1104" s="308" t="s">
        <v>851</v>
      </c>
      <c r="C1104" s="6" t="s">
        <v>440</v>
      </c>
      <c r="D1104" s="6"/>
      <c r="E1104" s="353">
        <v>558190.4</v>
      </c>
      <c r="F1104" s="225">
        <v>558127.44999999995</v>
      </c>
      <c r="G1104" s="225">
        <f t="shared" si="17"/>
        <v>99.988722486090751</v>
      </c>
    </row>
    <row r="1105" spans="1:7" ht="38.25">
      <c r="A1105" s="54" t="s">
        <v>264</v>
      </c>
      <c r="B1105" s="308" t="s">
        <v>851</v>
      </c>
      <c r="C1105" s="6" t="s">
        <v>440</v>
      </c>
      <c r="D1105" s="6" t="s">
        <v>448</v>
      </c>
      <c r="E1105" s="335">
        <v>558190.4</v>
      </c>
      <c r="F1105" s="225">
        <v>558127.44999999995</v>
      </c>
      <c r="G1105" s="225">
        <f t="shared" si="17"/>
        <v>99.988722486090751</v>
      </c>
    </row>
    <row r="1106" spans="1:7" ht="38.25">
      <c r="A1106" s="54" t="s">
        <v>441</v>
      </c>
      <c r="B1106" s="308" t="s">
        <v>851</v>
      </c>
      <c r="C1106" s="6" t="s">
        <v>442</v>
      </c>
      <c r="D1106" s="6"/>
      <c r="E1106" s="335">
        <v>17400</v>
      </c>
      <c r="F1106" s="225">
        <v>12212.2</v>
      </c>
      <c r="G1106" s="225">
        <f t="shared" si="17"/>
        <v>70.185057471264372</v>
      </c>
    </row>
    <row r="1107" spans="1:7" ht="38.25">
      <c r="A1107" s="54" t="s">
        <v>264</v>
      </c>
      <c r="B1107" s="308" t="s">
        <v>851</v>
      </c>
      <c r="C1107" s="6" t="s">
        <v>442</v>
      </c>
      <c r="D1107" s="6" t="s">
        <v>448</v>
      </c>
      <c r="E1107" s="335">
        <v>17400</v>
      </c>
      <c r="F1107" s="225">
        <v>12212.2</v>
      </c>
      <c r="G1107" s="225">
        <f t="shared" si="17"/>
        <v>70.185057471264372</v>
      </c>
    </row>
    <row r="1108" spans="1:7" ht="38.25">
      <c r="A1108" s="54" t="s">
        <v>1288</v>
      </c>
      <c r="B1108" s="308" t="s">
        <v>851</v>
      </c>
      <c r="C1108" s="6" t="s">
        <v>1289</v>
      </c>
      <c r="D1108" s="6"/>
      <c r="E1108" s="335">
        <v>172674</v>
      </c>
      <c r="F1108" s="225">
        <v>167748.97</v>
      </c>
      <c r="G1108" s="225">
        <f t="shared" si="17"/>
        <v>97.147787159618701</v>
      </c>
    </row>
    <row r="1109" spans="1:7" ht="38.25">
      <c r="A1109" s="54" t="s">
        <v>264</v>
      </c>
      <c r="B1109" s="308" t="s">
        <v>851</v>
      </c>
      <c r="C1109" s="6" t="s">
        <v>1289</v>
      </c>
      <c r="D1109" s="6" t="s">
        <v>448</v>
      </c>
      <c r="E1109" s="335">
        <v>172674</v>
      </c>
      <c r="F1109" s="225">
        <v>167748.97</v>
      </c>
      <c r="G1109" s="225">
        <f t="shared" si="17"/>
        <v>97.147787159618701</v>
      </c>
    </row>
    <row r="1110" spans="1:7" ht="25.5">
      <c r="A1110" s="54" t="s">
        <v>766</v>
      </c>
      <c r="B1110" s="308" t="s">
        <v>1244</v>
      </c>
      <c r="C1110" s="6"/>
      <c r="D1110" s="6"/>
      <c r="E1110" s="335">
        <v>11964135.960000001</v>
      </c>
      <c r="F1110" s="225">
        <v>10046993.49</v>
      </c>
      <c r="G1110" s="225">
        <f t="shared" si="17"/>
        <v>83.975922069009982</v>
      </c>
    </row>
    <row r="1111" spans="1:7" ht="38.25">
      <c r="A1111" s="54" t="s">
        <v>547</v>
      </c>
      <c r="B1111" s="308" t="s">
        <v>1245</v>
      </c>
      <c r="C1111" s="6"/>
      <c r="D1111" s="6"/>
      <c r="E1111" s="335">
        <v>700000</v>
      </c>
      <c r="F1111" s="225">
        <v>20354</v>
      </c>
      <c r="G1111" s="225">
        <f t="shared" si="17"/>
        <v>2.9077142857142855</v>
      </c>
    </row>
    <row r="1112" spans="1:7" ht="38.25">
      <c r="A1112" s="54" t="s">
        <v>547</v>
      </c>
      <c r="B1112" s="308" t="s">
        <v>1002</v>
      </c>
      <c r="C1112" s="6"/>
      <c r="D1112" s="6"/>
      <c r="E1112" s="335">
        <v>700000</v>
      </c>
      <c r="F1112" s="225">
        <v>20354</v>
      </c>
      <c r="G1112" s="225">
        <f t="shared" si="17"/>
        <v>2.9077142857142855</v>
      </c>
    </row>
    <row r="1113" spans="1:7" ht="25.5">
      <c r="A1113" s="54" t="s">
        <v>445</v>
      </c>
      <c r="B1113" s="308" t="s">
        <v>1002</v>
      </c>
      <c r="C1113" s="6" t="s">
        <v>446</v>
      </c>
      <c r="D1113" s="6"/>
      <c r="E1113" s="335">
        <v>354</v>
      </c>
      <c r="F1113" s="225">
        <v>354</v>
      </c>
      <c r="G1113" s="225">
        <f t="shared" si="17"/>
        <v>100</v>
      </c>
    </row>
    <row r="1114" spans="1:7">
      <c r="A1114" s="54" t="s">
        <v>127</v>
      </c>
      <c r="B1114" s="308" t="s">
        <v>1002</v>
      </c>
      <c r="C1114" s="6" t="s">
        <v>446</v>
      </c>
      <c r="D1114" s="6" t="s">
        <v>496</v>
      </c>
      <c r="E1114" s="335">
        <v>354</v>
      </c>
      <c r="F1114" s="225">
        <v>354</v>
      </c>
      <c r="G1114" s="225">
        <f t="shared" si="17"/>
        <v>100</v>
      </c>
    </row>
    <row r="1115" spans="1:7" ht="25.5">
      <c r="A1115" s="54" t="s">
        <v>497</v>
      </c>
      <c r="B1115" s="308" t="s">
        <v>1002</v>
      </c>
      <c r="C1115" s="6" t="s">
        <v>498</v>
      </c>
      <c r="D1115" s="6"/>
      <c r="E1115" s="335">
        <v>20000</v>
      </c>
      <c r="F1115" s="225">
        <v>20000</v>
      </c>
      <c r="G1115" s="225">
        <f t="shared" si="17"/>
        <v>100</v>
      </c>
    </row>
    <row r="1116" spans="1:7">
      <c r="A1116" s="54" t="s">
        <v>127</v>
      </c>
      <c r="B1116" s="308" t="s">
        <v>1002</v>
      </c>
      <c r="C1116" s="6" t="s">
        <v>498</v>
      </c>
      <c r="D1116" s="6" t="s">
        <v>496</v>
      </c>
      <c r="E1116" s="335">
        <v>20000</v>
      </c>
      <c r="F1116" s="225">
        <v>20000</v>
      </c>
      <c r="G1116" s="225">
        <f t="shared" si="17"/>
        <v>100</v>
      </c>
    </row>
    <row r="1117" spans="1:7">
      <c r="A1117" s="54" t="s">
        <v>548</v>
      </c>
      <c r="B1117" s="308" t="s">
        <v>1002</v>
      </c>
      <c r="C1117" s="6" t="s">
        <v>549</v>
      </c>
      <c r="D1117" s="6"/>
      <c r="E1117" s="335">
        <v>679646</v>
      </c>
      <c r="F1117" s="225">
        <v>0</v>
      </c>
      <c r="G1117" s="225">
        <f t="shared" si="17"/>
        <v>0</v>
      </c>
    </row>
    <row r="1118" spans="1:7">
      <c r="A1118" s="54" t="s">
        <v>69</v>
      </c>
      <c r="B1118" s="308" t="s">
        <v>1002</v>
      </c>
      <c r="C1118" s="6" t="s">
        <v>549</v>
      </c>
      <c r="D1118" s="6" t="s">
        <v>546</v>
      </c>
      <c r="E1118" s="335">
        <v>679646</v>
      </c>
      <c r="F1118" s="225">
        <v>0</v>
      </c>
      <c r="G1118" s="225">
        <f t="shared" si="17"/>
        <v>0</v>
      </c>
    </row>
    <row r="1119" spans="1:7" ht="38.25">
      <c r="A1119" s="54" t="s">
        <v>508</v>
      </c>
      <c r="B1119" s="308" t="s">
        <v>1246</v>
      </c>
      <c r="C1119" s="6"/>
      <c r="D1119" s="6"/>
      <c r="E1119" s="335">
        <v>3646087.2</v>
      </c>
      <c r="F1119" s="225">
        <v>3636617.2</v>
      </c>
      <c r="G1119" s="225">
        <f t="shared" si="17"/>
        <v>99.74026951412462</v>
      </c>
    </row>
    <row r="1120" spans="1:7" ht="38.25">
      <c r="A1120" s="54" t="s">
        <v>508</v>
      </c>
      <c r="B1120" s="308" t="s">
        <v>903</v>
      </c>
      <c r="C1120" s="6"/>
      <c r="D1120" s="6"/>
      <c r="E1120" s="335">
        <v>3449350</v>
      </c>
      <c r="F1120" s="225">
        <v>3439880</v>
      </c>
      <c r="G1120" s="225">
        <f t="shared" si="17"/>
        <v>99.725455520605337</v>
      </c>
    </row>
    <row r="1121" spans="1:7">
      <c r="A1121" s="54" t="s">
        <v>1603</v>
      </c>
      <c r="B1121" s="308" t="s">
        <v>903</v>
      </c>
      <c r="C1121" s="6" t="s">
        <v>460</v>
      </c>
      <c r="D1121" s="6"/>
      <c r="E1121" s="335">
        <v>2496697</v>
      </c>
      <c r="F1121" s="225">
        <v>2490352.08</v>
      </c>
      <c r="G1121" s="225">
        <f t="shared" si="17"/>
        <v>99.745867440061815</v>
      </c>
    </row>
    <row r="1122" spans="1:7" ht="25.5">
      <c r="A1122" s="54" t="s">
        <v>186</v>
      </c>
      <c r="B1122" s="308" t="s">
        <v>903</v>
      </c>
      <c r="C1122" s="6" t="s">
        <v>460</v>
      </c>
      <c r="D1122" s="6" t="s">
        <v>507</v>
      </c>
      <c r="E1122" s="335">
        <v>2496697</v>
      </c>
      <c r="F1122" s="225">
        <v>2490352.08</v>
      </c>
      <c r="G1122" s="225">
        <f t="shared" si="17"/>
        <v>99.745867440061815</v>
      </c>
    </row>
    <row r="1123" spans="1:7" ht="25.5">
      <c r="A1123" s="54" t="s">
        <v>1617</v>
      </c>
      <c r="B1123" s="308" t="s">
        <v>903</v>
      </c>
      <c r="C1123" s="6" t="s">
        <v>509</v>
      </c>
      <c r="D1123" s="6"/>
      <c r="E1123" s="335">
        <v>109739.9</v>
      </c>
      <c r="F1123" s="225">
        <v>109016.54</v>
      </c>
      <c r="G1123" s="225">
        <f t="shared" si="17"/>
        <v>99.340841389503737</v>
      </c>
    </row>
    <row r="1124" spans="1:7" ht="25.5">
      <c r="A1124" s="54" t="s">
        <v>186</v>
      </c>
      <c r="B1124" s="308" t="s">
        <v>903</v>
      </c>
      <c r="C1124" s="6" t="s">
        <v>509</v>
      </c>
      <c r="D1124" s="6" t="s">
        <v>507</v>
      </c>
      <c r="E1124" s="335">
        <v>109739.9</v>
      </c>
      <c r="F1124" s="225">
        <v>109016.54</v>
      </c>
      <c r="G1124" s="225">
        <f t="shared" si="17"/>
        <v>99.340841389503737</v>
      </c>
    </row>
    <row r="1125" spans="1:7" ht="38.25">
      <c r="A1125" s="54" t="s">
        <v>1604</v>
      </c>
      <c r="B1125" s="308" t="s">
        <v>903</v>
      </c>
      <c r="C1125" s="6" t="s">
        <v>1290</v>
      </c>
      <c r="D1125" s="6"/>
      <c r="E1125" s="335">
        <v>754003</v>
      </c>
      <c r="F1125" s="225">
        <v>751601.28</v>
      </c>
      <c r="G1125" s="225">
        <f t="shared" si="17"/>
        <v>99.681470763378925</v>
      </c>
    </row>
    <row r="1126" spans="1:7" ht="25.5">
      <c r="A1126" s="54" t="s">
        <v>186</v>
      </c>
      <c r="B1126" s="308" t="s">
        <v>903</v>
      </c>
      <c r="C1126" s="6" t="s">
        <v>1290</v>
      </c>
      <c r="D1126" s="6" t="s">
        <v>507</v>
      </c>
      <c r="E1126" s="335">
        <v>754003</v>
      </c>
      <c r="F1126" s="225">
        <v>751601.28</v>
      </c>
      <c r="G1126" s="225">
        <f t="shared" si="17"/>
        <v>99.681470763378925</v>
      </c>
    </row>
    <row r="1127" spans="1:7" ht="25.5">
      <c r="A1127" s="54" t="s">
        <v>445</v>
      </c>
      <c r="B1127" s="308" t="s">
        <v>903</v>
      </c>
      <c r="C1127" s="6" t="s">
        <v>446</v>
      </c>
      <c r="D1127" s="6"/>
      <c r="E1127" s="335">
        <v>87900</v>
      </c>
      <c r="F1127" s="225">
        <v>87900</v>
      </c>
      <c r="G1127" s="225">
        <f t="shared" si="17"/>
        <v>100</v>
      </c>
    </row>
    <row r="1128" spans="1:7" ht="25.5">
      <c r="A1128" s="54" t="s">
        <v>186</v>
      </c>
      <c r="B1128" s="308" t="s">
        <v>903</v>
      </c>
      <c r="C1128" s="6" t="s">
        <v>446</v>
      </c>
      <c r="D1128" s="6" t="s">
        <v>507</v>
      </c>
      <c r="E1128" s="335">
        <v>87900</v>
      </c>
      <c r="F1128" s="225">
        <v>87900</v>
      </c>
      <c r="G1128" s="225">
        <f t="shared" si="17"/>
        <v>100</v>
      </c>
    </row>
    <row r="1129" spans="1:7">
      <c r="A1129" s="54" t="s">
        <v>1293</v>
      </c>
      <c r="B1129" s="308" t="s">
        <v>903</v>
      </c>
      <c r="C1129" s="6" t="s">
        <v>1294</v>
      </c>
      <c r="D1129" s="6"/>
      <c r="E1129" s="335">
        <v>1010.1</v>
      </c>
      <c r="F1129" s="225">
        <v>1010.1</v>
      </c>
      <c r="G1129" s="225">
        <f t="shared" si="17"/>
        <v>100</v>
      </c>
    </row>
    <row r="1130" spans="1:7" ht="25.5">
      <c r="A1130" s="54" t="s">
        <v>186</v>
      </c>
      <c r="B1130" s="308" t="s">
        <v>903</v>
      </c>
      <c r="C1130" s="6" t="s">
        <v>1294</v>
      </c>
      <c r="D1130" s="6" t="s">
        <v>507</v>
      </c>
      <c r="E1130" s="335">
        <v>1010.1</v>
      </c>
      <c r="F1130" s="225">
        <v>1010.1</v>
      </c>
      <c r="G1130" s="225">
        <f t="shared" si="17"/>
        <v>100</v>
      </c>
    </row>
    <row r="1131" spans="1:7" ht="51">
      <c r="A1131" s="54" t="s">
        <v>728</v>
      </c>
      <c r="B1131" s="308" t="s">
        <v>904</v>
      </c>
      <c r="C1131" s="6"/>
      <c r="D1131" s="6"/>
      <c r="E1131" s="335">
        <v>196737.2</v>
      </c>
      <c r="F1131" s="225">
        <v>196737.2</v>
      </c>
      <c r="G1131" s="225">
        <f t="shared" si="17"/>
        <v>100</v>
      </c>
    </row>
    <row r="1132" spans="1:7" ht="25.5">
      <c r="A1132" s="54" t="s">
        <v>1617</v>
      </c>
      <c r="B1132" s="308" t="s">
        <v>904</v>
      </c>
      <c r="C1132" s="6" t="s">
        <v>509</v>
      </c>
      <c r="D1132" s="6"/>
      <c r="E1132" s="335">
        <v>196737.2</v>
      </c>
      <c r="F1132" s="225">
        <v>196737.2</v>
      </c>
      <c r="G1132" s="225">
        <f t="shared" si="17"/>
        <v>100</v>
      </c>
    </row>
    <row r="1133" spans="1:7" ht="25.5">
      <c r="A1133" s="54" t="s">
        <v>186</v>
      </c>
      <c r="B1133" s="308" t="s">
        <v>904</v>
      </c>
      <c r="C1133" s="6" t="s">
        <v>509</v>
      </c>
      <c r="D1133" s="6" t="s">
        <v>507</v>
      </c>
      <c r="E1133" s="335">
        <v>196737.2</v>
      </c>
      <c r="F1133" s="225">
        <v>196737.2</v>
      </c>
      <c r="G1133" s="225">
        <f t="shared" si="17"/>
        <v>100</v>
      </c>
    </row>
    <row r="1134" spans="1:7" ht="51">
      <c r="A1134" s="54" t="s">
        <v>629</v>
      </c>
      <c r="B1134" s="308" t="s">
        <v>1247</v>
      </c>
      <c r="C1134" s="6"/>
      <c r="D1134" s="6"/>
      <c r="E1134" s="335">
        <v>120000</v>
      </c>
      <c r="F1134" s="225">
        <v>120000</v>
      </c>
      <c r="G1134" s="225">
        <f t="shared" si="17"/>
        <v>100</v>
      </c>
    </row>
    <row r="1135" spans="1:7" ht="51">
      <c r="A1135" s="54" t="s">
        <v>629</v>
      </c>
      <c r="B1135" s="308" t="s">
        <v>864</v>
      </c>
      <c r="C1135" s="6"/>
      <c r="D1135" s="6"/>
      <c r="E1135" s="335">
        <v>120000</v>
      </c>
      <c r="F1135" s="225">
        <v>120000</v>
      </c>
      <c r="G1135" s="225">
        <f t="shared" si="17"/>
        <v>100</v>
      </c>
    </row>
    <row r="1136" spans="1:7" ht="25.5">
      <c r="A1136" s="54" t="s">
        <v>456</v>
      </c>
      <c r="B1136" s="308" t="s">
        <v>864</v>
      </c>
      <c r="C1136" s="6" t="s">
        <v>457</v>
      </c>
      <c r="D1136" s="6"/>
      <c r="E1136" s="335">
        <v>120000</v>
      </c>
      <c r="F1136" s="225">
        <v>120000</v>
      </c>
      <c r="G1136" s="225">
        <f t="shared" si="17"/>
        <v>100</v>
      </c>
    </row>
    <row r="1137" spans="1:7">
      <c r="A1137" s="54" t="s">
        <v>265</v>
      </c>
      <c r="B1137" s="308" t="s">
        <v>864</v>
      </c>
      <c r="C1137" s="6" t="s">
        <v>457</v>
      </c>
      <c r="D1137" s="6" t="s">
        <v>454</v>
      </c>
      <c r="E1137" s="335">
        <v>120000</v>
      </c>
      <c r="F1137" s="225">
        <v>120000</v>
      </c>
      <c r="G1137" s="225">
        <f t="shared" si="17"/>
        <v>100</v>
      </c>
    </row>
    <row r="1138" spans="1:7" ht="25.5">
      <c r="A1138" s="54" t="s">
        <v>1316</v>
      </c>
      <c r="B1138" s="308" t="s">
        <v>1317</v>
      </c>
      <c r="C1138" s="6"/>
      <c r="D1138" s="6"/>
      <c r="E1138" s="335">
        <v>4087024</v>
      </c>
      <c r="F1138" s="225">
        <v>4002815.16</v>
      </c>
      <c r="G1138" s="225">
        <f t="shared" si="17"/>
        <v>97.93960495460756</v>
      </c>
    </row>
    <row r="1139" spans="1:7" ht="25.5">
      <c r="A1139" s="54" t="s">
        <v>1316</v>
      </c>
      <c r="B1139" s="308" t="s">
        <v>1441</v>
      </c>
      <c r="C1139" s="6"/>
      <c r="D1139" s="6"/>
      <c r="E1139" s="335">
        <v>239785</v>
      </c>
      <c r="F1139" s="225">
        <v>215060</v>
      </c>
      <c r="G1139" s="225">
        <f t="shared" si="17"/>
        <v>89.688679442000137</v>
      </c>
    </row>
    <row r="1140" spans="1:7" ht="38.25">
      <c r="A1140" s="54" t="s">
        <v>441</v>
      </c>
      <c r="B1140" s="308" t="s">
        <v>1441</v>
      </c>
      <c r="C1140" s="6" t="s">
        <v>442</v>
      </c>
      <c r="D1140" s="6"/>
      <c r="E1140" s="335">
        <v>8000</v>
      </c>
      <c r="F1140" s="225">
        <v>7600</v>
      </c>
      <c r="G1140" s="225">
        <f t="shared" si="17"/>
        <v>95</v>
      </c>
    </row>
    <row r="1141" spans="1:7">
      <c r="A1141" s="54" t="s">
        <v>265</v>
      </c>
      <c r="B1141" s="308" t="s">
        <v>1441</v>
      </c>
      <c r="C1141" s="6" t="s">
        <v>442</v>
      </c>
      <c r="D1141" s="6" t="s">
        <v>454</v>
      </c>
      <c r="E1141" s="335">
        <v>8000</v>
      </c>
      <c r="F1141" s="225">
        <v>7600</v>
      </c>
      <c r="G1141" s="225">
        <f t="shared" si="17"/>
        <v>95</v>
      </c>
    </row>
    <row r="1142" spans="1:7" ht="25.5">
      <c r="A1142" s="54" t="s">
        <v>445</v>
      </c>
      <c r="B1142" s="308" t="s">
        <v>1441</v>
      </c>
      <c r="C1142" s="6" t="s">
        <v>446</v>
      </c>
      <c r="D1142" s="6"/>
      <c r="E1142" s="335">
        <v>231785</v>
      </c>
      <c r="F1142" s="225">
        <v>207460</v>
      </c>
      <c r="G1142" s="225">
        <f t="shared" si="17"/>
        <v>89.505360571219015</v>
      </c>
    </row>
    <row r="1143" spans="1:7">
      <c r="A1143" s="54" t="s">
        <v>265</v>
      </c>
      <c r="B1143" s="308" t="s">
        <v>1441</v>
      </c>
      <c r="C1143" s="6" t="s">
        <v>446</v>
      </c>
      <c r="D1143" s="6" t="s">
        <v>454</v>
      </c>
      <c r="E1143" s="335">
        <v>231785</v>
      </c>
      <c r="F1143" s="225">
        <v>207460</v>
      </c>
      <c r="G1143" s="225">
        <f t="shared" si="17"/>
        <v>89.505360571219015</v>
      </c>
    </row>
    <row r="1144" spans="1:7" ht="38.25">
      <c r="A1144" s="54" t="s">
        <v>1611</v>
      </c>
      <c r="B1144" s="308" t="s">
        <v>1612</v>
      </c>
      <c r="C1144" s="6"/>
      <c r="D1144" s="6"/>
      <c r="E1144" s="335">
        <v>72445.8</v>
      </c>
      <c r="F1144" s="225">
        <v>37445.800000000003</v>
      </c>
      <c r="G1144" s="225">
        <f t="shared" si="17"/>
        <v>51.688020561578455</v>
      </c>
    </row>
    <row r="1145" spans="1:7" ht="38.25">
      <c r="A1145" s="54" t="s">
        <v>441</v>
      </c>
      <c r="B1145" s="308" t="s">
        <v>1612</v>
      </c>
      <c r="C1145" s="6" t="s">
        <v>442</v>
      </c>
      <c r="D1145" s="6"/>
      <c r="E1145" s="335">
        <v>72445.8</v>
      </c>
      <c r="F1145" s="225">
        <v>37445.800000000003</v>
      </c>
      <c r="G1145" s="225">
        <f t="shared" si="17"/>
        <v>51.688020561578455</v>
      </c>
    </row>
    <row r="1146" spans="1:7">
      <c r="A1146" s="54" t="s">
        <v>265</v>
      </c>
      <c r="B1146" s="308" t="s">
        <v>1612</v>
      </c>
      <c r="C1146" s="6" t="s">
        <v>442</v>
      </c>
      <c r="D1146" s="6" t="s">
        <v>454</v>
      </c>
      <c r="E1146" s="335">
        <v>72445.8</v>
      </c>
      <c r="F1146" s="225">
        <v>37445.800000000003</v>
      </c>
      <c r="G1146" s="225">
        <f t="shared" si="17"/>
        <v>51.688020561578455</v>
      </c>
    </row>
    <row r="1147" spans="1:7" ht="51">
      <c r="A1147" s="54" t="s">
        <v>1613</v>
      </c>
      <c r="B1147" s="308" t="s">
        <v>1614</v>
      </c>
      <c r="C1147" s="6"/>
      <c r="D1147" s="6"/>
      <c r="E1147" s="335">
        <v>3627042</v>
      </c>
      <c r="F1147" s="225">
        <v>3624453.36</v>
      </c>
      <c r="G1147" s="225">
        <f t="shared" si="17"/>
        <v>99.928629445151174</v>
      </c>
    </row>
    <row r="1148" spans="1:7" ht="25.5">
      <c r="A1148" s="54" t="s">
        <v>1165</v>
      </c>
      <c r="B1148" s="308" t="s">
        <v>1614</v>
      </c>
      <c r="C1148" s="6" t="s">
        <v>440</v>
      </c>
      <c r="D1148" s="6"/>
      <c r="E1148" s="335">
        <v>2785747</v>
      </c>
      <c r="F1148" s="225">
        <v>2785747</v>
      </c>
      <c r="G1148" s="225">
        <f t="shared" si="17"/>
        <v>100</v>
      </c>
    </row>
    <row r="1149" spans="1:7">
      <c r="A1149" s="54" t="s">
        <v>265</v>
      </c>
      <c r="B1149" s="308" t="s">
        <v>1614</v>
      </c>
      <c r="C1149" s="6" t="s">
        <v>440</v>
      </c>
      <c r="D1149" s="6" t="s">
        <v>454</v>
      </c>
      <c r="E1149" s="335">
        <v>2785747</v>
      </c>
      <c r="F1149" s="225">
        <v>2785747</v>
      </c>
      <c r="G1149" s="225">
        <f t="shared" si="17"/>
        <v>100</v>
      </c>
    </row>
    <row r="1150" spans="1:7" ht="38.25">
      <c r="A1150" s="54" t="s">
        <v>1288</v>
      </c>
      <c r="B1150" s="308" t="s">
        <v>1614</v>
      </c>
      <c r="C1150" s="6" t="s">
        <v>1289</v>
      </c>
      <c r="D1150" s="6"/>
      <c r="E1150" s="335">
        <v>841295</v>
      </c>
      <c r="F1150" s="225">
        <v>838706.36</v>
      </c>
      <c r="G1150" s="225">
        <f t="shared" si="17"/>
        <v>99.692302937732904</v>
      </c>
    </row>
    <row r="1151" spans="1:7">
      <c r="A1151" s="54" t="s">
        <v>265</v>
      </c>
      <c r="B1151" s="308" t="s">
        <v>1614</v>
      </c>
      <c r="C1151" s="6" t="s">
        <v>1289</v>
      </c>
      <c r="D1151" s="6" t="s">
        <v>454</v>
      </c>
      <c r="E1151" s="335">
        <v>841295</v>
      </c>
      <c r="F1151" s="225">
        <v>838706.36</v>
      </c>
      <c r="G1151" s="225">
        <f t="shared" si="17"/>
        <v>99.692302937732904</v>
      </c>
    </row>
    <row r="1152" spans="1:7" ht="38.25">
      <c r="A1152" s="54" t="s">
        <v>1615</v>
      </c>
      <c r="B1152" s="308" t="s">
        <v>1616</v>
      </c>
      <c r="C1152" s="6"/>
      <c r="D1152" s="6"/>
      <c r="E1152" s="335">
        <v>147751.20000000001</v>
      </c>
      <c r="F1152" s="225">
        <v>125856</v>
      </c>
      <c r="G1152" s="225">
        <f t="shared" si="17"/>
        <v>85.181034062667507</v>
      </c>
    </row>
    <row r="1153" spans="1:7" ht="25.5">
      <c r="A1153" s="54" t="s">
        <v>445</v>
      </c>
      <c r="B1153" s="308" t="s">
        <v>1616</v>
      </c>
      <c r="C1153" s="6" t="s">
        <v>446</v>
      </c>
      <c r="D1153" s="6"/>
      <c r="E1153" s="335">
        <v>147751.20000000001</v>
      </c>
      <c r="F1153" s="225">
        <v>125856</v>
      </c>
      <c r="G1153" s="225">
        <f t="shared" si="17"/>
        <v>85.181034062667507</v>
      </c>
    </row>
    <row r="1154" spans="1:7">
      <c r="A1154" s="54" t="s">
        <v>265</v>
      </c>
      <c r="B1154" s="308" t="s">
        <v>1616</v>
      </c>
      <c r="C1154" s="6" t="s">
        <v>446</v>
      </c>
      <c r="D1154" s="6" t="s">
        <v>454</v>
      </c>
      <c r="E1154" s="335">
        <v>147751.20000000001</v>
      </c>
      <c r="F1154" s="225">
        <v>125856</v>
      </c>
      <c r="G1154" s="225">
        <f t="shared" si="17"/>
        <v>85.181034062667507</v>
      </c>
    </row>
    <row r="1155" spans="1:7" ht="25.5">
      <c r="A1155" s="54" t="s">
        <v>551</v>
      </c>
      <c r="B1155" s="308" t="s">
        <v>1248</v>
      </c>
      <c r="C1155" s="6"/>
      <c r="D1155" s="6"/>
      <c r="E1155" s="335">
        <v>3411024.76</v>
      </c>
      <c r="F1155" s="225">
        <v>2267207.13</v>
      </c>
      <c r="G1155" s="225">
        <f t="shared" si="17"/>
        <v>66.467038192944699</v>
      </c>
    </row>
    <row r="1156" spans="1:7" ht="38.25">
      <c r="A1156" s="54" t="s">
        <v>492</v>
      </c>
      <c r="B1156" s="308" t="s">
        <v>1009</v>
      </c>
      <c r="C1156" s="6"/>
      <c r="D1156" s="6"/>
      <c r="E1156" s="335">
        <v>64000</v>
      </c>
      <c r="F1156" s="225">
        <v>64000</v>
      </c>
      <c r="G1156" s="225">
        <f t="shared" si="17"/>
        <v>100</v>
      </c>
    </row>
    <row r="1157" spans="1:7">
      <c r="A1157" s="54" t="s">
        <v>93</v>
      </c>
      <c r="B1157" s="308" t="s">
        <v>1009</v>
      </c>
      <c r="C1157" s="6" t="s">
        <v>550</v>
      </c>
      <c r="D1157" s="6"/>
      <c r="E1157" s="335">
        <v>64000</v>
      </c>
      <c r="F1157" s="225">
        <v>64000</v>
      </c>
      <c r="G1157" s="225">
        <f t="shared" si="17"/>
        <v>100</v>
      </c>
    </row>
    <row r="1158" spans="1:7">
      <c r="A1158" s="54" t="s">
        <v>1632</v>
      </c>
      <c r="B1158" s="308" t="s">
        <v>1009</v>
      </c>
      <c r="C1158" s="6" t="s">
        <v>550</v>
      </c>
      <c r="D1158" s="6" t="s">
        <v>491</v>
      </c>
      <c r="E1158" s="335">
        <v>64000</v>
      </c>
      <c r="F1158" s="225">
        <v>64000</v>
      </c>
      <c r="G1158" s="225">
        <f t="shared" si="17"/>
        <v>100</v>
      </c>
    </row>
    <row r="1159" spans="1:7" ht="25.5">
      <c r="A1159" s="54" t="s">
        <v>551</v>
      </c>
      <c r="B1159" s="308" t="s">
        <v>1004</v>
      </c>
      <c r="C1159" s="6"/>
      <c r="D1159" s="6"/>
      <c r="E1159" s="335">
        <v>188378.08</v>
      </c>
      <c r="F1159" s="225">
        <v>65526.239999999998</v>
      </c>
      <c r="G1159" s="225">
        <f t="shared" si="17"/>
        <v>34.78442927117635</v>
      </c>
    </row>
    <row r="1160" spans="1:7">
      <c r="A1160" s="54" t="s">
        <v>558</v>
      </c>
      <c r="B1160" s="308" t="s">
        <v>1004</v>
      </c>
      <c r="C1160" s="6" t="s">
        <v>559</v>
      </c>
      <c r="D1160" s="6"/>
      <c r="E1160" s="335">
        <v>80877</v>
      </c>
      <c r="F1160" s="225">
        <v>27023.279999999999</v>
      </c>
      <c r="G1160" s="225">
        <f t="shared" ref="G1160:G1178" si="18">F1160/E1160*100</f>
        <v>33.412812047924625</v>
      </c>
    </row>
    <row r="1161" spans="1:7" ht="25.5">
      <c r="A1161" s="54" t="s">
        <v>300</v>
      </c>
      <c r="B1161" s="308" t="s">
        <v>1004</v>
      </c>
      <c r="C1161" s="6" t="s">
        <v>559</v>
      </c>
      <c r="D1161" s="6" t="s">
        <v>557</v>
      </c>
      <c r="E1161" s="335">
        <v>80877</v>
      </c>
      <c r="F1161" s="225">
        <v>27023.279999999999</v>
      </c>
      <c r="G1161" s="225">
        <f t="shared" si="18"/>
        <v>33.412812047924625</v>
      </c>
    </row>
    <row r="1162" spans="1:7" ht="25.5">
      <c r="A1162" s="54" t="s">
        <v>1758</v>
      </c>
      <c r="B1162" s="308" t="s">
        <v>1004</v>
      </c>
      <c r="C1162" s="6" t="s">
        <v>552</v>
      </c>
      <c r="D1162" s="6"/>
      <c r="E1162" s="335">
        <v>107501.08</v>
      </c>
      <c r="F1162" s="225">
        <v>38502.959999999999</v>
      </c>
      <c r="G1162" s="225">
        <f t="shared" si="18"/>
        <v>35.816347147396101</v>
      </c>
    </row>
    <row r="1163" spans="1:7">
      <c r="A1163" s="54" t="s">
        <v>265</v>
      </c>
      <c r="B1163" s="308" t="s">
        <v>1004</v>
      </c>
      <c r="C1163" s="6" t="s">
        <v>552</v>
      </c>
      <c r="D1163" s="6" t="s">
        <v>454</v>
      </c>
      <c r="E1163" s="335">
        <v>107501.08</v>
      </c>
      <c r="F1163" s="225">
        <v>38502.959999999999</v>
      </c>
      <c r="G1163" s="225">
        <f t="shared" si="18"/>
        <v>35.816347147396101</v>
      </c>
    </row>
    <row r="1164" spans="1:7" ht="25.5">
      <c r="A1164" s="54" t="s">
        <v>1756</v>
      </c>
      <c r="B1164" s="308" t="s">
        <v>1757</v>
      </c>
      <c r="C1164" s="6"/>
      <c r="D1164" s="6"/>
      <c r="E1164" s="335">
        <v>1120746.68</v>
      </c>
      <c r="F1164" s="225">
        <v>137680.89000000001</v>
      </c>
      <c r="G1164" s="225">
        <f t="shared" si="18"/>
        <v>12.284746629809336</v>
      </c>
    </row>
    <row r="1165" spans="1:7" ht="25.5">
      <c r="A1165" s="54" t="s">
        <v>461</v>
      </c>
      <c r="B1165" s="308" t="s">
        <v>1757</v>
      </c>
      <c r="C1165" s="6" t="s">
        <v>462</v>
      </c>
      <c r="D1165" s="6"/>
      <c r="E1165" s="335">
        <v>969993.74</v>
      </c>
      <c r="F1165" s="225">
        <v>0</v>
      </c>
      <c r="G1165" s="225">
        <f t="shared" si="18"/>
        <v>0</v>
      </c>
    </row>
    <row r="1166" spans="1:7">
      <c r="A1166" s="54" t="s">
        <v>181</v>
      </c>
      <c r="B1166" s="308" t="s">
        <v>1757</v>
      </c>
      <c r="C1166" s="6" t="s">
        <v>462</v>
      </c>
      <c r="D1166" s="6" t="s">
        <v>482</v>
      </c>
      <c r="E1166" s="335">
        <v>969993.74</v>
      </c>
      <c r="F1166" s="225">
        <v>0</v>
      </c>
      <c r="G1166" s="225">
        <f t="shared" si="18"/>
        <v>0</v>
      </c>
    </row>
    <row r="1167" spans="1:7" ht="25.5">
      <c r="A1167" s="54" t="s">
        <v>1758</v>
      </c>
      <c r="B1167" s="308" t="s">
        <v>1757</v>
      </c>
      <c r="C1167" s="6" t="s">
        <v>552</v>
      </c>
      <c r="D1167" s="6"/>
      <c r="E1167" s="335">
        <v>150752.94</v>
      </c>
      <c r="F1167" s="225">
        <v>137680.89000000001</v>
      </c>
      <c r="G1167" s="225">
        <f t="shared" si="18"/>
        <v>91.328825825884394</v>
      </c>
    </row>
    <row r="1168" spans="1:7">
      <c r="A1168" s="54" t="s">
        <v>181</v>
      </c>
      <c r="B1168" s="308" t="s">
        <v>1757</v>
      </c>
      <c r="C1168" s="6" t="s">
        <v>552</v>
      </c>
      <c r="D1168" s="6" t="s">
        <v>482</v>
      </c>
      <c r="E1168" s="335">
        <v>13072.05</v>
      </c>
      <c r="F1168" s="225">
        <v>0</v>
      </c>
      <c r="G1168" s="225">
        <f t="shared" si="18"/>
        <v>0</v>
      </c>
    </row>
    <row r="1169" spans="1:7">
      <c r="A1169" s="54" t="s">
        <v>188</v>
      </c>
      <c r="B1169" s="308" t="s">
        <v>1757</v>
      </c>
      <c r="C1169" s="6" t="s">
        <v>552</v>
      </c>
      <c r="D1169" s="6" t="s">
        <v>515</v>
      </c>
      <c r="E1169" s="335">
        <v>137680.89000000001</v>
      </c>
      <c r="F1169" s="225">
        <v>137680.89000000001</v>
      </c>
      <c r="G1169" s="225">
        <f t="shared" si="18"/>
        <v>100</v>
      </c>
    </row>
    <row r="1170" spans="1:7" ht="51">
      <c r="A1170" s="54" t="s">
        <v>656</v>
      </c>
      <c r="B1170" s="308" t="s">
        <v>943</v>
      </c>
      <c r="C1170" s="6"/>
      <c r="D1170" s="6"/>
      <c r="E1170" s="335">
        <v>851467.55</v>
      </c>
      <c r="F1170" s="225">
        <v>851467.55</v>
      </c>
      <c r="G1170" s="225">
        <f t="shared" si="18"/>
        <v>100</v>
      </c>
    </row>
    <row r="1171" spans="1:7" ht="25.5">
      <c r="A1171" s="54" t="s">
        <v>445</v>
      </c>
      <c r="B1171" s="308" t="s">
        <v>943</v>
      </c>
      <c r="C1171" s="6" t="s">
        <v>446</v>
      </c>
      <c r="D1171" s="6"/>
      <c r="E1171" s="335">
        <v>851467.55</v>
      </c>
      <c r="F1171" s="225">
        <v>851467.55</v>
      </c>
      <c r="G1171" s="225">
        <f t="shared" si="18"/>
        <v>100</v>
      </c>
    </row>
    <row r="1172" spans="1:7">
      <c r="A1172" s="54" t="s">
        <v>265</v>
      </c>
      <c r="B1172" s="308" t="s">
        <v>943</v>
      </c>
      <c r="C1172" s="6" t="s">
        <v>446</v>
      </c>
      <c r="D1172" s="6" t="s">
        <v>454</v>
      </c>
      <c r="E1172" s="335">
        <v>851467.55</v>
      </c>
      <c r="F1172" s="225">
        <v>851467.55</v>
      </c>
      <c r="G1172" s="225">
        <f t="shared" si="18"/>
        <v>100</v>
      </c>
    </row>
    <row r="1173" spans="1:7" ht="38.25">
      <c r="A1173" s="54" t="s">
        <v>523</v>
      </c>
      <c r="B1173" s="308" t="s">
        <v>944</v>
      </c>
      <c r="C1173" s="6"/>
      <c r="D1173" s="6"/>
      <c r="E1173" s="335">
        <v>1148532.45</v>
      </c>
      <c r="F1173" s="225">
        <v>1148532.45</v>
      </c>
      <c r="G1173" s="225">
        <f t="shared" si="18"/>
        <v>100</v>
      </c>
    </row>
    <row r="1174" spans="1:7" ht="25.5">
      <c r="A1174" s="54" t="s">
        <v>445</v>
      </c>
      <c r="B1174" s="308" t="s">
        <v>944</v>
      </c>
      <c r="C1174" s="6" t="s">
        <v>446</v>
      </c>
      <c r="D1174" s="6"/>
      <c r="E1174" s="335">
        <v>1148532.45</v>
      </c>
      <c r="F1174" s="225">
        <v>1148532.45</v>
      </c>
      <c r="G1174" s="225">
        <f t="shared" si="18"/>
        <v>100</v>
      </c>
    </row>
    <row r="1175" spans="1:7">
      <c r="A1175" s="54" t="s">
        <v>180</v>
      </c>
      <c r="B1175" s="308" t="s">
        <v>944</v>
      </c>
      <c r="C1175" s="6" t="s">
        <v>446</v>
      </c>
      <c r="D1175" s="6" t="s">
        <v>478</v>
      </c>
      <c r="E1175" s="335">
        <v>1148532.45</v>
      </c>
      <c r="F1175" s="225">
        <v>1148532.45</v>
      </c>
      <c r="G1175" s="225">
        <f t="shared" si="18"/>
        <v>100</v>
      </c>
    </row>
    <row r="1176" spans="1:7" ht="51">
      <c r="A1176" s="54" t="s">
        <v>889</v>
      </c>
      <c r="B1176" s="308" t="s">
        <v>890</v>
      </c>
      <c r="C1176" s="6"/>
      <c r="D1176" s="6"/>
      <c r="E1176" s="335">
        <v>37900</v>
      </c>
      <c r="F1176" s="225">
        <v>0</v>
      </c>
      <c r="G1176" s="225">
        <f t="shared" si="18"/>
        <v>0</v>
      </c>
    </row>
    <row r="1177" spans="1:7" ht="25.5">
      <c r="A1177" s="54" t="s">
        <v>445</v>
      </c>
      <c r="B1177" s="308" t="s">
        <v>890</v>
      </c>
      <c r="C1177" s="6" t="s">
        <v>446</v>
      </c>
      <c r="D1177" s="6"/>
      <c r="E1177" s="335">
        <v>37900</v>
      </c>
      <c r="F1177" s="225">
        <v>0</v>
      </c>
      <c r="G1177" s="225">
        <f t="shared" si="18"/>
        <v>0</v>
      </c>
    </row>
    <row r="1178" spans="1:7">
      <c r="A1178" s="54" t="s">
        <v>181</v>
      </c>
      <c r="B1178" s="308" t="s">
        <v>890</v>
      </c>
      <c r="C1178" s="6" t="s">
        <v>446</v>
      </c>
      <c r="D1178" s="6" t="s">
        <v>482</v>
      </c>
      <c r="E1178" s="335">
        <v>37900</v>
      </c>
      <c r="F1178" s="225">
        <v>0</v>
      </c>
      <c r="G1178" s="225">
        <f t="shared" si="18"/>
        <v>0</v>
      </c>
    </row>
  </sheetData>
  <autoFilter ref="A5:E952">
    <filterColumn colId="1"/>
  </autoFilter>
  <mergeCells count="8">
    <mergeCell ref="G4:G5"/>
    <mergeCell ref="A1:G1"/>
    <mergeCell ref="A2:G2"/>
    <mergeCell ref="A6:D6"/>
    <mergeCell ref="A4:A5"/>
    <mergeCell ref="B4:D4"/>
    <mergeCell ref="E4:E5"/>
    <mergeCell ref="F4:F5"/>
  </mergeCells>
  <pageMargins left="0.51181102362204722" right="0.11811023622047245" top="0.19685039370078741" bottom="0.19685039370078741" header="0.15748031496062992" footer="0.15748031496062992"/>
  <pageSetup paperSize="9" scale="80" orientation="portrait" r:id="rId1"/>
</worksheet>
</file>

<file path=xl/worksheets/sheet16.xml><?xml version="1.0" encoding="utf-8"?>
<worksheet xmlns="http://schemas.openxmlformats.org/spreadsheetml/2006/main" xmlns:r="http://schemas.openxmlformats.org/officeDocument/2006/relationships">
  <sheetPr>
    <tabColor theme="6" tint="-0.249977111117893"/>
  </sheetPr>
  <dimension ref="A1:F829"/>
  <sheetViews>
    <sheetView topLeftCell="A34" workbookViewId="0">
      <selection activeCell="J38" sqref="J38"/>
    </sheetView>
  </sheetViews>
  <sheetFormatPr defaultRowHeight="12.75"/>
  <cols>
    <col min="1" max="1" width="38.28515625" style="4" customWidth="1"/>
    <col min="2" max="2" width="11.5703125" style="157" customWidth="1"/>
    <col min="3" max="3" width="5.140625" style="4" customWidth="1"/>
    <col min="4" max="4" width="6.85546875" style="4" customWidth="1"/>
    <col min="5" max="5" width="15.28515625" style="4" customWidth="1"/>
    <col min="6" max="6" width="15.7109375" style="23" customWidth="1"/>
    <col min="7" max="16384" width="9.140625" style="4"/>
  </cols>
  <sheetData>
    <row r="1" spans="1:6" ht="45.75" customHeight="1">
      <c r="A1" s="508"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508"/>
      <c r="C1" s="508"/>
      <c r="D1" s="508"/>
      <c r="E1" s="508"/>
      <c r="F1" s="508"/>
    </row>
    <row r="2" spans="1:6" ht="47.25" customHeight="1">
      <c r="A2" s="508" t="str">
        <f>"Приложение №"&amp;Н1цср1&amp;" к решению
Богучанского районного Совета депутатов
от "&amp;Р1дата&amp;" года №"&amp;Р1номер</f>
        <v>Приложение № к решению
Богучанского районного Совета депутатов
от     " " 2018 года №</v>
      </c>
      <c r="B2" s="508"/>
      <c r="C2" s="508"/>
      <c r="D2" s="508"/>
      <c r="E2" s="508"/>
      <c r="F2" s="508"/>
    </row>
    <row r="3" spans="1:6" ht="124.5" customHeight="1">
      <c r="A3" s="509"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"&amp;ПлПер&amp;" годов"</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2018-2019 годов</v>
      </c>
      <c r="B3" s="509"/>
      <c r="C3" s="509"/>
      <c r="D3" s="509"/>
      <c r="E3" s="509"/>
      <c r="F3" s="509"/>
    </row>
    <row r="4" spans="1:6">
      <c r="F4" s="11" t="s">
        <v>94</v>
      </c>
    </row>
    <row r="5" spans="1:6" ht="12.75" customHeight="1">
      <c r="A5" s="563" t="s">
        <v>280</v>
      </c>
      <c r="B5" s="575" t="s">
        <v>214</v>
      </c>
      <c r="C5" s="575"/>
      <c r="D5" s="575"/>
      <c r="E5" s="563" t="s">
        <v>800</v>
      </c>
      <c r="F5" s="563" t="s">
        <v>1327</v>
      </c>
    </row>
    <row r="6" spans="1:6" ht="25.5">
      <c r="A6" s="563"/>
      <c r="B6" s="158" t="s">
        <v>215</v>
      </c>
      <c r="C6" s="143" t="s">
        <v>216</v>
      </c>
      <c r="D6" s="143" t="s">
        <v>281</v>
      </c>
      <c r="E6" s="563"/>
      <c r="F6" s="563"/>
    </row>
    <row r="7" spans="1:6" s="14" customFormat="1">
      <c r="A7" s="565" t="s">
        <v>563</v>
      </c>
      <c r="B7" s="566"/>
      <c r="C7" s="566"/>
      <c r="D7" s="566"/>
      <c r="E7" s="56">
        <v>1699837690</v>
      </c>
      <c r="F7" s="56">
        <v>1723366040</v>
      </c>
    </row>
    <row r="8" spans="1:6" ht="25.5">
      <c r="A8" s="54" t="s">
        <v>569</v>
      </c>
      <c r="B8" s="141" t="s">
        <v>1197</v>
      </c>
      <c r="C8" s="140"/>
      <c r="D8" s="140"/>
      <c r="E8" s="224">
        <v>1073746915</v>
      </c>
      <c r="F8" s="139">
        <v>1073746915</v>
      </c>
    </row>
    <row r="9" spans="1:6" ht="38.25">
      <c r="A9" s="54" t="s">
        <v>570</v>
      </c>
      <c r="B9" s="141" t="s">
        <v>1198</v>
      </c>
      <c r="C9" s="140"/>
      <c r="D9" s="140"/>
      <c r="E9" s="224">
        <v>1029446042</v>
      </c>
      <c r="F9" s="139">
        <v>1029446042</v>
      </c>
    </row>
    <row r="10" spans="1:6" ht="153">
      <c r="A10" s="54" t="s">
        <v>530</v>
      </c>
      <c r="B10" s="159" t="s">
        <v>951</v>
      </c>
      <c r="C10" s="140"/>
      <c r="D10" s="140"/>
      <c r="E10" s="224">
        <v>40014712</v>
      </c>
      <c r="F10" s="139">
        <v>40014712</v>
      </c>
    </row>
    <row r="11" spans="1:6">
      <c r="A11" s="54" t="s">
        <v>1603</v>
      </c>
      <c r="B11" s="159" t="s">
        <v>951</v>
      </c>
      <c r="C11" s="140" t="s">
        <v>460</v>
      </c>
      <c r="D11" s="141"/>
      <c r="E11" s="224">
        <v>25217039</v>
      </c>
      <c r="F11" s="139">
        <v>25217039</v>
      </c>
    </row>
    <row r="12" spans="1:6">
      <c r="A12" s="54" t="s">
        <v>187</v>
      </c>
      <c r="B12" s="159" t="s">
        <v>951</v>
      </c>
      <c r="C12" s="140" t="s">
        <v>460</v>
      </c>
      <c r="D12" s="140" t="s">
        <v>528</v>
      </c>
      <c r="E12" s="224">
        <v>25217039</v>
      </c>
      <c r="F12" s="139">
        <v>25217039</v>
      </c>
    </row>
    <row r="13" spans="1:6" ht="51">
      <c r="A13" s="54" t="s">
        <v>1604</v>
      </c>
      <c r="B13" s="159" t="s">
        <v>951</v>
      </c>
      <c r="C13" s="140" t="s">
        <v>1290</v>
      </c>
      <c r="D13" s="140"/>
      <c r="E13" s="224">
        <v>7615548</v>
      </c>
      <c r="F13" s="139">
        <v>7615548</v>
      </c>
    </row>
    <row r="14" spans="1:6">
      <c r="A14" s="54" t="s">
        <v>187</v>
      </c>
      <c r="B14" s="159" t="s">
        <v>951</v>
      </c>
      <c r="C14" s="140" t="s">
        <v>1290</v>
      </c>
      <c r="D14" s="140" t="s">
        <v>528</v>
      </c>
      <c r="E14" s="224">
        <v>7615548</v>
      </c>
      <c r="F14" s="139">
        <v>7615548</v>
      </c>
    </row>
    <row r="15" spans="1:6" ht="38.25">
      <c r="A15" s="54" t="s">
        <v>445</v>
      </c>
      <c r="B15" s="159" t="s">
        <v>951</v>
      </c>
      <c r="C15" s="140" t="s">
        <v>446</v>
      </c>
      <c r="D15" s="140"/>
      <c r="E15" s="224">
        <v>7182125</v>
      </c>
      <c r="F15" s="139">
        <v>7182125</v>
      </c>
    </row>
    <row r="16" spans="1:6">
      <c r="A16" s="54" t="s">
        <v>187</v>
      </c>
      <c r="B16" s="159" t="s">
        <v>951</v>
      </c>
      <c r="C16" s="140" t="s">
        <v>446</v>
      </c>
      <c r="D16" s="140" t="s">
        <v>528</v>
      </c>
      <c r="E16" s="224">
        <v>7182125</v>
      </c>
      <c r="F16" s="139">
        <v>7182125</v>
      </c>
    </row>
    <row r="17" spans="1:6" ht="165.75">
      <c r="A17" s="54" t="s">
        <v>533</v>
      </c>
      <c r="B17" s="159" t="s">
        <v>959</v>
      </c>
      <c r="C17" s="140"/>
      <c r="D17" s="141"/>
      <c r="E17" s="224">
        <v>62320997</v>
      </c>
      <c r="F17" s="139">
        <v>62320997</v>
      </c>
    </row>
    <row r="18" spans="1:6">
      <c r="A18" s="54" t="s">
        <v>1603</v>
      </c>
      <c r="B18" s="159" t="s">
        <v>959</v>
      </c>
      <c r="C18" s="140" t="s">
        <v>460</v>
      </c>
      <c r="D18" s="140"/>
      <c r="E18" s="224">
        <v>37963200</v>
      </c>
      <c r="F18" s="139">
        <v>37963200</v>
      </c>
    </row>
    <row r="19" spans="1:6">
      <c r="A19" s="54" t="s">
        <v>188</v>
      </c>
      <c r="B19" s="159" t="s">
        <v>959</v>
      </c>
      <c r="C19" s="140" t="s">
        <v>460</v>
      </c>
      <c r="D19" s="140" t="s">
        <v>515</v>
      </c>
      <c r="E19" s="224">
        <v>37963200</v>
      </c>
      <c r="F19" s="139">
        <v>37963200</v>
      </c>
    </row>
    <row r="20" spans="1:6" ht="51">
      <c r="A20" s="54" t="s">
        <v>1604</v>
      </c>
      <c r="B20" s="159" t="s">
        <v>959</v>
      </c>
      <c r="C20" s="140" t="s">
        <v>1290</v>
      </c>
      <c r="D20" s="140"/>
      <c r="E20" s="224">
        <v>11464887</v>
      </c>
      <c r="F20" s="139">
        <v>11464887</v>
      </c>
    </row>
    <row r="21" spans="1:6">
      <c r="A21" s="54" t="s">
        <v>188</v>
      </c>
      <c r="B21" s="159" t="s">
        <v>959</v>
      </c>
      <c r="C21" s="140" t="s">
        <v>1290</v>
      </c>
      <c r="D21" s="140" t="s">
        <v>515</v>
      </c>
      <c r="E21" s="224">
        <v>11464887</v>
      </c>
      <c r="F21" s="139">
        <v>11464887</v>
      </c>
    </row>
    <row r="22" spans="1:6" ht="38.25">
      <c r="A22" s="54" t="s">
        <v>445</v>
      </c>
      <c r="B22" s="159" t="s">
        <v>959</v>
      </c>
      <c r="C22" s="140" t="s">
        <v>446</v>
      </c>
      <c r="D22" s="140"/>
      <c r="E22" s="224">
        <v>12892910</v>
      </c>
      <c r="F22" s="139">
        <v>12892910</v>
      </c>
    </row>
    <row r="23" spans="1:6">
      <c r="A23" s="54" t="s">
        <v>188</v>
      </c>
      <c r="B23" s="159" t="s">
        <v>959</v>
      </c>
      <c r="C23" s="140" t="s">
        <v>446</v>
      </c>
      <c r="D23" s="140" t="s">
        <v>515</v>
      </c>
      <c r="E23" s="224">
        <v>12892910</v>
      </c>
      <c r="F23" s="139">
        <v>12892910</v>
      </c>
    </row>
    <row r="24" spans="1:6" ht="153">
      <c r="A24" s="54" t="s">
        <v>534</v>
      </c>
      <c r="B24" s="159" t="s">
        <v>963</v>
      </c>
      <c r="C24" s="140"/>
      <c r="D24" s="140"/>
      <c r="E24" s="224">
        <v>28726102</v>
      </c>
      <c r="F24" s="139">
        <v>28726102</v>
      </c>
    </row>
    <row r="25" spans="1:6">
      <c r="A25" s="54" t="s">
        <v>1603</v>
      </c>
      <c r="B25" s="159" t="s">
        <v>963</v>
      </c>
      <c r="C25" s="140" t="s">
        <v>460</v>
      </c>
      <c r="D25" s="140"/>
      <c r="E25" s="224">
        <v>12840000</v>
      </c>
      <c r="F25" s="139">
        <v>12840000</v>
      </c>
    </row>
    <row r="26" spans="1:6">
      <c r="A26" s="54" t="s">
        <v>1442</v>
      </c>
      <c r="B26" s="159" t="s">
        <v>963</v>
      </c>
      <c r="C26" s="140" t="s">
        <v>460</v>
      </c>
      <c r="D26" s="140" t="s">
        <v>1443</v>
      </c>
      <c r="E26" s="224">
        <v>12840000</v>
      </c>
      <c r="F26" s="139">
        <v>12840000</v>
      </c>
    </row>
    <row r="27" spans="1:6" ht="25.5">
      <c r="A27" s="54" t="s">
        <v>1617</v>
      </c>
      <c r="B27" s="159" t="s">
        <v>963</v>
      </c>
      <c r="C27" s="140" t="s">
        <v>509</v>
      </c>
      <c r="D27" s="140"/>
      <c r="E27" s="224">
        <v>120000</v>
      </c>
      <c r="F27" s="139">
        <v>120000</v>
      </c>
    </row>
    <row r="28" spans="1:6">
      <c r="A28" s="54" t="s">
        <v>1442</v>
      </c>
      <c r="B28" s="159" t="s">
        <v>963</v>
      </c>
      <c r="C28" s="140" t="s">
        <v>509</v>
      </c>
      <c r="D28" s="140" t="s">
        <v>1443</v>
      </c>
      <c r="E28" s="224">
        <v>120000</v>
      </c>
      <c r="F28" s="139">
        <v>120000</v>
      </c>
    </row>
    <row r="29" spans="1:6" ht="51">
      <c r="A29" s="54" t="s">
        <v>1604</v>
      </c>
      <c r="B29" s="159" t="s">
        <v>963</v>
      </c>
      <c r="C29" s="140" t="s">
        <v>1290</v>
      </c>
      <c r="D29" s="140"/>
      <c r="E29" s="224">
        <v>3877680</v>
      </c>
      <c r="F29" s="139">
        <v>3877680</v>
      </c>
    </row>
    <row r="30" spans="1:6">
      <c r="A30" s="54" t="s">
        <v>1442</v>
      </c>
      <c r="B30" s="159" t="s">
        <v>963</v>
      </c>
      <c r="C30" s="140" t="s">
        <v>1290</v>
      </c>
      <c r="D30" s="140" t="s">
        <v>1443</v>
      </c>
      <c r="E30" s="224">
        <v>3877680</v>
      </c>
      <c r="F30" s="139">
        <v>3877680</v>
      </c>
    </row>
    <row r="31" spans="1:6" ht="38.25">
      <c r="A31" s="54" t="s">
        <v>445</v>
      </c>
      <c r="B31" s="159" t="s">
        <v>963</v>
      </c>
      <c r="C31" s="140" t="s">
        <v>446</v>
      </c>
      <c r="D31" s="140"/>
      <c r="E31" s="224">
        <v>716990</v>
      </c>
      <c r="F31" s="139">
        <v>716990</v>
      </c>
    </row>
    <row r="32" spans="1:6">
      <c r="A32" s="54" t="s">
        <v>1442</v>
      </c>
      <c r="B32" s="159" t="s">
        <v>963</v>
      </c>
      <c r="C32" s="140" t="s">
        <v>446</v>
      </c>
      <c r="D32" s="140" t="s">
        <v>1443</v>
      </c>
      <c r="E32" s="224">
        <v>716990</v>
      </c>
      <c r="F32" s="139">
        <v>716990</v>
      </c>
    </row>
    <row r="33" spans="1:6" ht="76.5">
      <c r="A33" s="54" t="s">
        <v>465</v>
      </c>
      <c r="B33" s="159" t="s">
        <v>963</v>
      </c>
      <c r="C33" s="140" t="s">
        <v>466</v>
      </c>
      <c r="D33" s="140"/>
      <c r="E33" s="224">
        <v>11171432</v>
      </c>
      <c r="F33" s="139">
        <v>11171432</v>
      </c>
    </row>
    <row r="34" spans="1:6">
      <c r="A34" s="54" t="s">
        <v>1442</v>
      </c>
      <c r="B34" s="159" t="s">
        <v>963</v>
      </c>
      <c r="C34" s="140" t="s">
        <v>466</v>
      </c>
      <c r="D34" s="140" t="s">
        <v>1443</v>
      </c>
      <c r="E34" s="224">
        <v>11171432</v>
      </c>
      <c r="F34" s="139">
        <v>11171432</v>
      </c>
    </row>
    <row r="35" spans="1:6" ht="153">
      <c r="A35" s="54" t="s">
        <v>537</v>
      </c>
      <c r="B35" s="159" t="s">
        <v>976</v>
      </c>
      <c r="C35" s="140"/>
      <c r="D35" s="140"/>
      <c r="E35" s="224">
        <v>877000</v>
      </c>
      <c r="F35" s="139">
        <v>877000</v>
      </c>
    </row>
    <row r="36" spans="1:6" ht="76.5">
      <c r="A36" s="54" t="s">
        <v>465</v>
      </c>
      <c r="B36" s="159" t="s">
        <v>976</v>
      </c>
      <c r="C36" s="140" t="s">
        <v>466</v>
      </c>
      <c r="D36" s="140"/>
      <c r="E36" s="224">
        <v>877000</v>
      </c>
      <c r="F36" s="139">
        <v>877000</v>
      </c>
    </row>
    <row r="37" spans="1:6">
      <c r="A37" s="54" t="s">
        <v>1440</v>
      </c>
      <c r="B37" s="159" t="s">
        <v>976</v>
      </c>
      <c r="C37" s="140" t="s">
        <v>466</v>
      </c>
      <c r="D37" s="140" t="s">
        <v>483</v>
      </c>
      <c r="E37" s="224">
        <v>877000</v>
      </c>
      <c r="F37" s="139">
        <v>877000</v>
      </c>
    </row>
    <row r="38" spans="1:6" ht="204">
      <c r="A38" s="54" t="s">
        <v>737</v>
      </c>
      <c r="B38" s="159" t="s">
        <v>952</v>
      </c>
      <c r="C38" s="140"/>
      <c r="D38" s="140"/>
      <c r="E38" s="224">
        <v>19102625</v>
      </c>
      <c r="F38" s="139">
        <v>19102625</v>
      </c>
    </row>
    <row r="39" spans="1:6">
      <c r="A39" s="54" t="s">
        <v>1603</v>
      </c>
      <c r="B39" s="159" t="s">
        <v>952</v>
      </c>
      <c r="C39" s="140" t="s">
        <v>460</v>
      </c>
      <c r="D39" s="140"/>
      <c r="E39" s="224">
        <v>14671755</v>
      </c>
      <c r="F39" s="139">
        <v>14671755</v>
      </c>
    </row>
    <row r="40" spans="1:6">
      <c r="A40" s="54" t="s">
        <v>187</v>
      </c>
      <c r="B40" s="159" t="s">
        <v>952</v>
      </c>
      <c r="C40" s="140" t="s">
        <v>460</v>
      </c>
      <c r="D40" s="140" t="s">
        <v>528</v>
      </c>
      <c r="E40" s="224">
        <v>14671755</v>
      </c>
      <c r="F40" s="139">
        <v>14671755</v>
      </c>
    </row>
    <row r="41" spans="1:6" ht="51">
      <c r="A41" s="54" t="s">
        <v>1604</v>
      </c>
      <c r="B41" s="159" t="s">
        <v>952</v>
      </c>
      <c r="C41" s="141" t="s">
        <v>1290</v>
      </c>
      <c r="D41" s="141"/>
      <c r="E41" s="224">
        <v>4430870</v>
      </c>
      <c r="F41" s="139">
        <v>4430870</v>
      </c>
    </row>
    <row r="42" spans="1:6">
      <c r="A42" s="54" t="s">
        <v>187</v>
      </c>
      <c r="B42" s="159" t="s">
        <v>952</v>
      </c>
      <c r="C42" s="140" t="s">
        <v>1290</v>
      </c>
      <c r="D42" s="140" t="s">
        <v>528</v>
      </c>
      <c r="E42" s="224">
        <v>4430870</v>
      </c>
      <c r="F42" s="142">
        <v>4430870</v>
      </c>
    </row>
    <row r="43" spans="1:6" ht="216.75">
      <c r="A43" s="54" t="s">
        <v>535</v>
      </c>
      <c r="B43" s="159" t="s">
        <v>960</v>
      </c>
      <c r="C43" s="140"/>
      <c r="D43" s="140"/>
      <c r="E43" s="224">
        <v>44949200</v>
      </c>
      <c r="F43" s="142">
        <v>44949200</v>
      </c>
    </row>
    <row r="44" spans="1:6">
      <c r="A44" s="54" t="s">
        <v>1603</v>
      </c>
      <c r="B44" s="159" t="s">
        <v>960</v>
      </c>
      <c r="C44" s="140" t="s">
        <v>460</v>
      </c>
      <c r="D44" s="140"/>
      <c r="E44" s="224">
        <v>34523200</v>
      </c>
      <c r="F44" s="142">
        <v>34523200</v>
      </c>
    </row>
    <row r="45" spans="1:6">
      <c r="A45" s="54" t="s">
        <v>188</v>
      </c>
      <c r="B45" s="159" t="s">
        <v>960</v>
      </c>
      <c r="C45" s="140" t="s">
        <v>460</v>
      </c>
      <c r="D45" s="140" t="s">
        <v>515</v>
      </c>
      <c r="E45" s="224">
        <v>34523200</v>
      </c>
      <c r="F45" s="142">
        <v>34523200</v>
      </c>
    </row>
    <row r="46" spans="1:6" ht="51">
      <c r="A46" s="54" t="s">
        <v>1604</v>
      </c>
      <c r="B46" s="159" t="s">
        <v>960</v>
      </c>
      <c r="C46" s="140" t="s">
        <v>1290</v>
      </c>
      <c r="D46" s="140"/>
      <c r="E46" s="224">
        <v>10426000</v>
      </c>
      <c r="F46" s="142">
        <v>10426000</v>
      </c>
    </row>
    <row r="47" spans="1:6">
      <c r="A47" s="54" t="s">
        <v>188</v>
      </c>
      <c r="B47" s="159" t="s">
        <v>960</v>
      </c>
      <c r="C47" s="140" t="s">
        <v>1290</v>
      </c>
      <c r="D47" s="140" t="s">
        <v>515</v>
      </c>
      <c r="E47" s="224">
        <v>10426000</v>
      </c>
      <c r="F47" s="142">
        <v>10426000</v>
      </c>
    </row>
    <row r="48" spans="1:6" ht="204">
      <c r="A48" s="54" t="s">
        <v>741</v>
      </c>
      <c r="B48" s="159" t="s">
        <v>964</v>
      </c>
      <c r="C48" s="140"/>
      <c r="D48" s="140"/>
      <c r="E48" s="224">
        <v>2695400</v>
      </c>
      <c r="F48" s="142">
        <v>2695400</v>
      </c>
    </row>
    <row r="49" spans="1:6">
      <c r="A49" s="54" t="s">
        <v>1603</v>
      </c>
      <c r="B49" s="159" t="s">
        <v>964</v>
      </c>
      <c r="C49" s="140" t="s">
        <v>460</v>
      </c>
      <c r="D49" s="140"/>
      <c r="E49" s="224">
        <v>1839800</v>
      </c>
      <c r="F49" s="142">
        <v>1839800</v>
      </c>
    </row>
    <row r="50" spans="1:6">
      <c r="A50" s="54" t="s">
        <v>1442</v>
      </c>
      <c r="B50" s="159" t="s">
        <v>964</v>
      </c>
      <c r="C50" s="140" t="s">
        <v>460</v>
      </c>
      <c r="D50" s="140" t="s">
        <v>1443</v>
      </c>
      <c r="E50" s="224">
        <v>1839800</v>
      </c>
      <c r="F50" s="142">
        <v>1839800</v>
      </c>
    </row>
    <row r="51" spans="1:6" ht="51">
      <c r="A51" s="54" t="s">
        <v>1604</v>
      </c>
      <c r="B51" s="159" t="s">
        <v>964</v>
      </c>
      <c r="C51" s="140" t="s">
        <v>1290</v>
      </c>
      <c r="D51" s="140"/>
      <c r="E51" s="224">
        <v>555600</v>
      </c>
      <c r="F51" s="142">
        <v>555600</v>
      </c>
    </row>
    <row r="52" spans="1:6">
      <c r="A52" s="54" t="s">
        <v>1442</v>
      </c>
      <c r="B52" s="159" t="s">
        <v>964</v>
      </c>
      <c r="C52" s="140" t="s">
        <v>1290</v>
      </c>
      <c r="D52" s="140" t="s">
        <v>1443</v>
      </c>
      <c r="E52" s="224">
        <v>555600</v>
      </c>
      <c r="F52" s="142">
        <v>555600</v>
      </c>
    </row>
    <row r="53" spans="1:6" ht="76.5">
      <c r="A53" s="54" t="s">
        <v>465</v>
      </c>
      <c r="B53" s="159" t="s">
        <v>964</v>
      </c>
      <c r="C53" s="140" t="s">
        <v>466</v>
      </c>
      <c r="D53" s="140"/>
      <c r="E53" s="224">
        <v>300000</v>
      </c>
      <c r="F53" s="142">
        <v>300000</v>
      </c>
    </row>
    <row r="54" spans="1:6">
      <c r="A54" s="54" t="s">
        <v>1442</v>
      </c>
      <c r="B54" s="159" t="s">
        <v>964</v>
      </c>
      <c r="C54" s="140" t="s">
        <v>466</v>
      </c>
      <c r="D54" s="140" t="s">
        <v>1443</v>
      </c>
      <c r="E54" s="224">
        <v>300000</v>
      </c>
      <c r="F54" s="142">
        <v>300000</v>
      </c>
    </row>
    <row r="55" spans="1:6" ht="204">
      <c r="A55" s="54" t="s">
        <v>538</v>
      </c>
      <c r="B55" s="159" t="s">
        <v>977</v>
      </c>
      <c r="C55" s="140"/>
      <c r="D55" s="140"/>
      <c r="E55" s="224">
        <v>622500</v>
      </c>
      <c r="F55" s="142">
        <v>622500</v>
      </c>
    </row>
    <row r="56" spans="1:6" ht="76.5">
      <c r="A56" s="54" t="s">
        <v>465</v>
      </c>
      <c r="B56" s="159" t="s">
        <v>977</v>
      </c>
      <c r="C56" s="140" t="s">
        <v>466</v>
      </c>
      <c r="D56" s="140"/>
      <c r="E56" s="224">
        <v>622500</v>
      </c>
      <c r="F56" s="142">
        <v>622500</v>
      </c>
    </row>
    <row r="57" spans="1:6">
      <c r="A57" s="54" t="s">
        <v>1440</v>
      </c>
      <c r="B57" s="159" t="s">
        <v>977</v>
      </c>
      <c r="C57" s="140" t="s">
        <v>466</v>
      </c>
      <c r="D57" s="140" t="s">
        <v>483</v>
      </c>
      <c r="E57" s="224">
        <v>622500</v>
      </c>
      <c r="F57" s="142">
        <v>622500</v>
      </c>
    </row>
    <row r="58" spans="1:6" ht="191.25">
      <c r="A58" s="54" t="s">
        <v>659</v>
      </c>
      <c r="B58" s="159" t="s">
        <v>966</v>
      </c>
      <c r="C58" s="140"/>
      <c r="D58" s="140"/>
      <c r="E58" s="224">
        <v>1800000</v>
      </c>
      <c r="F58" s="142">
        <v>1800000</v>
      </c>
    </row>
    <row r="59" spans="1:6" ht="25.5">
      <c r="A59" s="54" t="s">
        <v>1617</v>
      </c>
      <c r="B59" s="159" t="s">
        <v>966</v>
      </c>
      <c r="C59" s="140" t="s">
        <v>509</v>
      </c>
      <c r="D59" s="140"/>
      <c r="E59" s="224">
        <v>457000</v>
      </c>
      <c r="F59" s="142">
        <v>457000</v>
      </c>
    </row>
    <row r="60" spans="1:6">
      <c r="A60" s="54" t="s">
        <v>188</v>
      </c>
      <c r="B60" s="159" t="s">
        <v>966</v>
      </c>
      <c r="C60" s="140" t="s">
        <v>509</v>
      </c>
      <c r="D60" s="140" t="s">
        <v>515</v>
      </c>
      <c r="E60" s="224">
        <v>457000</v>
      </c>
      <c r="F60" s="142">
        <v>457000</v>
      </c>
    </row>
    <row r="61" spans="1:6" ht="63.75">
      <c r="A61" s="54" t="s">
        <v>1619</v>
      </c>
      <c r="B61" s="159" t="s">
        <v>966</v>
      </c>
      <c r="C61" s="140" t="s">
        <v>1295</v>
      </c>
      <c r="D61" s="140"/>
      <c r="E61" s="224">
        <v>190000</v>
      </c>
      <c r="F61" s="142">
        <v>190000</v>
      </c>
    </row>
    <row r="62" spans="1:6">
      <c r="A62" s="54" t="s">
        <v>188</v>
      </c>
      <c r="B62" s="159" t="s">
        <v>966</v>
      </c>
      <c r="C62" s="140" t="s">
        <v>1295</v>
      </c>
      <c r="D62" s="140" t="s">
        <v>515</v>
      </c>
      <c r="E62" s="224">
        <v>190000</v>
      </c>
      <c r="F62" s="142">
        <v>190000</v>
      </c>
    </row>
    <row r="63" spans="1:6" ht="38.25">
      <c r="A63" s="54" t="s">
        <v>445</v>
      </c>
      <c r="B63" s="159" t="s">
        <v>966</v>
      </c>
      <c r="C63" s="140" t="s">
        <v>446</v>
      </c>
      <c r="D63" s="140"/>
      <c r="E63" s="224">
        <v>1153000</v>
      </c>
      <c r="F63" s="142">
        <v>1153000</v>
      </c>
    </row>
    <row r="64" spans="1:6">
      <c r="A64" s="54" t="s">
        <v>188</v>
      </c>
      <c r="B64" s="159" t="s">
        <v>966</v>
      </c>
      <c r="C64" s="140" t="s">
        <v>446</v>
      </c>
      <c r="D64" s="140" t="s">
        <v>515</v>
      </c>
      <c r="E64" s="224">
        <v>1153000</v>
      </c>
      <c r="F64" s="142">
        <v>1153000</v>
      </c>
    </row>
    <row r="65" spans="1:6" ht="178.5">
      <c r="A65" s="54" t="s">
        <v>742</v>
      </c>
      <c r="B65" s="159" t="s">
        <v>965</v>
      </c>
      <c r="C65" s="140"/>
      <c r="D65" s="140"/>
      <c r="E65" s="224">
        <v>69532</v>
      </c>
      <c r="F65" s="142">
        <v>69532</v>
      </c>
    </row>
    <row r="66" spans="1:6">
      <c r="A66" s="54" t="s">
        <v>1603</v>
      </c>
      <c r="B66" s="159" t="s">
        <v>965</v>
      </c>
      <c r="C66" s="140" t="s">
        <v>460</v>
      </c>
      <c r="D66" s="140"/>
      <c r="E66" s="224">
        <v>13404</v>
      </c>
      <c r="F66" s="142">
        <v>13404</v>
      </c>
    </row>
    <row r="67" spans="1:6">
      <c r="A67" s="54" t="s">
        <v>1442</v>
      </c>
      <c r="B67" s="159" t="s">
        <v>965</v>
      </c>
      <c r="C67" s="140" t="s">
        <v>460</v>
      </c>
      <c r="D67" s="140" t="s">
        <v>1443</v>
      </c>
      <c r="E67" s="224">
        <v>13404</v>
      </c>
      <c r="F67" s="142">
        <v>13404</v>
      </c>
    </row>
    <row r="68" spans="1:6" ht="51">
      <c r="A68" s="54" t="s">
        <v>1604</v>
      </c>
      <c r="B68" s="159" t="s">
        <v>965</v>
      </c>
      <c r="C68" s="140" t="s">
        <v>1290</v>
      </c>
      <c r="D68" s="140"/>
      <c r="E68" s="224">
        <v>4048</v>
      </c>
      <c r="F68" s="142">
        <v>4048</v>
      </c>
    </row>
    <row r="69" spans="1:6">
      <c r="A69" s="54" t="s">
        <v>1442</v>
      </c>
      <c r="B69" s="159" t="s">
        <v>965</v>
      </c>
      <c r="C69" s="140" t="s">
        <v>1290</v>
      </c>
      <c r="D69" s="140" t="s">
        <v>1443</v>
      </c>
      <c r="E69" s="224">
        <v>4048</v>
      </c>
      <c r="F69" s="142">
        <v>4048</v>
      </c>
    </row>
    <row r="70" spans="1:6" ht="76.5">
      <c r="A70" s="54" t="s">
        <v>465</v>
      </c>
      <c r="B70" s="159" t="s">
        <v>965</v>
      </c>
      <c r="C70" s="140" t="s">
        <v>466</v>
      </c>
      <c r="D70" s="140"/>
      <c r="E70" s="224">
        <v>52080</v>
      </c>
      <c r="F70" s="142">
        <v>52080</v>
      </c>
    </row>
    <row r="71" spans="1:6">
      <c r="A71" s="54" t="s">
        <v>1442</v>
      </c>
      <c r="B71" s="159" t="s">
        <v>965</v>
      </c>
      <c r="C71" s="140" t="s">
        <v>466</v>
      </c>
      <c r="D71" s="140" t="s">
        <v>1443</v>
      </c>
      <c r="E71" s="224">
        <v>52080</v>
      </c>
      <c r="F71" s="142">
        <v>52080</v>
      </c>
    </row>
    <row r="72" spans="1:6" ht="140.25">
      <c r="A72" s="54" t="s">
        <v>738</v>
      </c>
      <c r="B72" s="159" t="s">
        <v>953</v>
      </c>
      <c r="C72" s="140"/>
      <c r="D72" s="140"/>
      <c r="E72" s="224">
        <v>1061173</v>
      </c>
      <c r="F72" s="142">
        <v>1061173</v>
      </c>
    </row>
    <row r="73" spans="1:6" ht="25.5">
      <c r="A73" s="54" t="s">
        <v>1617</v>
      </c>
      <c r="B73" s="159" t="s">
        <v>953</v>
      </c>
      <c r="C73" s="140" t="s">
        <v>509</v>
      </c>
      <c r="D73" s="140"/>
      <c r="E73" s="224">
        <v>1061173</v>
      </c>
      <c r="F73" s="142">
        <v>1061173</v>
      </c>
    </row>
    <row r="74" spans="1:6">
      <c r="A74" s="54" t="s">
        <v>187</v>
      </c>
      <c r="B74" s="159" t="s">
        <v>953</v>
      </c>
      <c r="C74" s="140" t="s">
        <v>509</v>
      </c>
      <c r="D74" s="140" t="s">
        <v>528</v>
      </c>
      <c r="E74" s="224">
        <v>1061173</v>
      </c>
      <c r="F74" s="142">
        <v>1061173</v>
      </c>
    </row>
    <row r="75" spans="1:6" ht="165.75">
      <c r="A75" s="54" t="s">
        <v>743</v>
      </c>
      <c r="B75" s="159" t="s">
        <v>961</v>
      </c>
      <c r="C75" s="140"/>
      <c r="D75" s="140"/>
      <c r="E75" s="224">
        <v>1386225</v>
      </c>
      <c r="F75" s="142">
        <v>1386225</v>
      </c>
    </row>
    <row r="76" spans="1:6" ht="25.5">
      <c r="A76" s="54" t="s">
        <v>1617</v>
      </c>
      <c r="B76" s="159" t="s">
        <v>961</v>
      </c>
      <c r="C76" s="140" t="s">
        <v>509</v>
      </c>
      <c r="D76" s="140"/>
      <c r="E76" s="224">
        <v>1386225</v>
      </c>
      <c r="F76" s="142">
        <v>1386225</v>
      </c>
    </row>
    <row r="77" spans="1:6">
      <c r="A77" s="54" t="s">
        <v>188</v>
      </c>
      <c r="B77" s="159" t="s">
        <v>961</v>
      </c>
      <c r="C77" s="140" t="s">
        <v>509</v>
      </c>
      <c r="D77" s="140" t="s">
        <v>515</v>
      </c>
      <c r="E77" s="224">
        <v>1386225</v>
      </c>
      <c r="F77" s="142">
        <v>1386225</v>
      </c>
    </row>
    <row r="78" spans="1:6" ht="153">
      <c r="A78" s="54" t="s">
        <v>744</v>
      </c>
      <c r="B78" s="159" t="s">
        <v>968</v>
      </c>
      <c r="C78" s="140"/>
      <c r="D78" s="140"/>
      <c r="E78" s="224">
        <v>280000</v>
      </c>
      <c r="F78" s="142">
        <v>280000</v>
      </c>
    </row>
    <row r="79" spans="1:6" ht="25.5">
      <c r="A79" s="54" t="s">
        <v>1617</v>
      </c>
      <c r="B79" s="159" t="s">
        <v>968</v>
      </c>
      <c r="C79" s="140" t="s">
        <v>509</v>
      </c>
      <c r="D79" s="140"/>
      <c r="E79" s="224">
        <v>200000</v>
      </c>
      <c r="F79" s="142">
        <v>200000</v>
      </c>
    </row>
    <row r="80" spans="1:6">
      <c r="A80" s="54" t="s">
        <v>1442</v>
      </c>
      <c r="B80" s="159" t="s">
        <v>968</v>
      </c>
      <c r="C80" s="140" t="s">
        <v>509</v>
      </c>
      <c r="D80" s="140" t="s">
        <v>1443</v>
      </c>
      <c r="E80" s="224">
        <v>200000</v>
      </c>
      <c r="F80" s="142">
        <v>200000</v>
      </c>
    </row>
    <row r="81" spans="1:6" ht="25.5">
      <c r="A81" s="54" t="s">
        <v>484</v>
      </c>
      <c r="B81" s="159" t="s">
        <v>968</v>
      </c>
      <c r="C81" s="140" t="s">
        <v>485</v>
      </c>
      <c r="D81" s="140"/>
      <c r="E81" s="224">
        <v>80000</v>
      </c>
      <c r="F81" s="142">
        <v>80000</v>
      </c>
    </row>
    <row r="82" spans="1:6">
      <c r="A82" s="54" t="s">
        <v>1442</v>
      </c>
      <c r="B82" s="159" t="s">
        <v>968</v>
      </c>
      <c r="C82" s="140" t="s">
        <v>485</v>
      </c>
      <c r="D82" s="140" t="s">
        <v>1443</v>
      </c>
      <c r="E82" s="224">
        <v>80000</v>
      </c>
      <c r="F82" s="142">
        <v>80000</v>
      </c>
    </row>
    <row r="83" spans="1:6" ht="153">
      <c r="A83" s="54" t="s">
        <v>978</v>
      </c>
      <c r="B83" s="159" t="s">
        <v>979</v>
      </c>
      <c r="C83" s="140"/>
      <c r="D83" s="140"/>
      <c r="E83" s="224">
        <v>30000</v>
      </c>
      <c r="F83" s="142">
        <v>30000</v>
      </c>
    </row>
    <row r="84" spans="1:6" ht="25.5">
      <c r="A84" s="54" t="s">
        <v>484</v>
      </c>
      <c r="B84" s="159" t="s">
        <v>979</v>
      </c>
      <c r="C84" s="140" t="s">
        <v>485</v>
      </c>
      <c r="D84" s="140"/>
      <c r="E84" s="224">
        <v>30000</v>
      </c>
      <c r="F84" s="142">
        <v>30000</v>
      </c>
    </row>
    <row r="85" spans="1:6">
      <c r="A85" s="54" t="s">
        <v>1440</v>
      </c>
      <c r="B85" s="159" t="s">
        <v>979</v>
      </c>
      <c r="C85" s="140" t="s">
        <v>485</v>
      </c>
      <c r="D85" s="140" t="s">
        <v>483</v>
      </c>
      <c r="E85" s="224">
        <v>30000</v>
      </c>
      <c r="F85" s="142">
        <v>30000</v>
      </c>
    </row>
    <row r="86" spans="1:6" ht="153">
      <c r="A86" s="54" t="s">
        <v>739</v>
      </c>
      <c r="B86" s="159" t="s">
        <v>954</v>
      </c>
      <c r="C86" s="140"/>
      <c r="D86" s="140"/>
      <c r="E86" s="224">
        <v>34945362</v>
      </c>
      <c r="F86" s="142">
        <v>34945362</v>
      </c>
    </row>
    <row r="87" spans="1:6" ht="38.25">
      <c r="A87" s="54" t="s">
        <v>445</v>
      </c>
      <c r="B87" s="159" t="s">
        <v>954</v>
      </c>
      <c r="C87" s="140" t="s">
        <v>446</v>
      </c>
      <c r="D87" s="140"/>
      <c r="E87" s="224">
        <v>34945362</v>
      </c>
      <c r="F87" s="142">
        <v>34945362</v>
      </c>
    </row>
    <row r="88" spans="1:6">
      <c r="A88" s="54" t="s">
        <v>187</v>
      </c>
      <c r="B88" s="159" t="s">
        <v>954</v>
      </c>
      <c r="C88" s="140" t="s">
        <v>446</v>
      </c>
      <c r="D88" s="140" t="s">
        <v>528</v>
      </c>
      <c r="E88" s="224">
        <v>34945362</v>
      </c>
      <c r="F88" s="142">
        <v>34945362</v>
      </c>
    </row>
    <row r="89" spans="1:6" ht="178.5">
      <c r="A89" s="54" t="s">
        <v>745</v>
      </c>
      <c r="B89" s="159" t="s">
        <v>962</v>
      </c>
      <c r="C89" s="140"/>
      <c r="D89" s="140"/>
      <c r="E89" s="224">
        <v>74413472</v>
      </c>
      <c r="F89" s="142">
        <v>74413472</v>
      </c>
    </row>
    <row r="90" spans="1:6" ht="38.25">
      <c r="A90" s="54" t="s">
        <v>445</v>
      </c>
      <c r="B90" s="159" t="s">
        <v>962</v>
      </c>
      <c r="C90" s="140" t="s">
        <v>446</v>
      </c>
      <c r="D90" s="140"/>
      <c r="E90" s="224">
        <v>74413472</v>
      </c>
      <c r="F90" s="142">
        <v>74413472</v>
      </c>
    </row>
    <row r="91" spans="1:6">
      <c r="A91" s="54" t="s">
        <v>188</v>
      </c>
      <c r="B91" s="159" t="s">
        <v>962</v>
      </c>
      <c r="C91" s="140" t="s">
        <v>446</v>
      </c>
      <c r="D91" s="140" t="s">
        <v>515</v>
      </c>
      <c r="E91" s="224">
        <v>74413472</v>
      </c>
      <c r="F91" s="142">
        <v>74413472</v>
      </c>
    </row>
    <row r="92" spans="1:6" ht="165.75">
      <c r="A92" s="53" t="s">
        <v>746</v>
      </c>
      <c r="B92" s="141" t="s">
        <v>969</v>
      </c>
      <c r="C92" s="141"/>
      <c r="D92" s="141"/>
      <c r="E92" s="224">
        <v>2157992</v>
      </c>
      <c r="F92" s="142">
        <v>2157992</v>
      </c>
    </row>
    <row r="93" spans="1:6" ht="38.25">
      <c r="A93" s="53" t="s">
        <v>445</v>
      </c>
      <c r="B93" s="141" t="s">
        <v>969</v>
      </c>
      <c r="C93" s="141" t="s">
        <v>446</v>
      </c>
      <c r="D93" s="141"/>
      <c r="E93" s="224">
        <v>975968</v>
      </c>
      <c r="F93" s="142">
        <v>975968</v>
      </c>
    </row>
    <row r="94" spans="1:6">
      <c r="A94" s="54" t="s">
        <v>1442</v>
      </c>
      <c r="B94" s="141" t="s">
        <v>969</v>
      </c>
      <c r="C94" s="141" t="s">
        <v>446</v>
      </c>
      <c r="D94" s="141" t="s">
        <v>1443</v>
      </c>
      <c r="E94" s="224">
        <v>975968</v>
      </c>
      <c r="F94" s="142">
        <v>975968</v>
      </c>
    </row>
    <row r="95" spans="1:6" ht="76.5">
      <c r="A95" s="54" t="s">
        <v>465</v>
      </c>
      <c r="B95" s="159" t="s">
        <v>969</v>
      </c>
      <c r="C95" s="140" t="s">
        <v>466</v>
      </c>
      <c r="D95" s="140"/>
      <c r="E95" s="224">
        <v>1182024</v>
      </c>
      <c r="F95" s="142">
        <v>1182024</v>
      </c>
    </row>
    <row r="96" spans="1:6">
      <c r="A96" s="54" t="s">
        <v>1442</v>
      </c>
      <c r="B96" s="159" t="s">
        <v>969</v>
      </c>
      <c r="C96" s="140" t="s">
        <v>466</v>
      </c>
      <c r="D96" s="140" t="s">
        <v>1443</v>
      </c>
      <c r="E96" s="224">
        <v>1182024</v>
      </c>
      <c r="F96" s="142">
        <v>1182024</v>
      </c>
    </row>
    <row r="97" spans="1:6" ht="165.75">
      <c r="A97" s="54" t="s">
        <v>1622</v>
      </c>
      <c r="B97" s="159" t="s">
        <v>1623</v>
      </c>
      <c r="C97" s="140"/>
      <c r="D97" s="140"/>
      <c r="E97" s="224">
        <v>45000</v>
      </c>
      <c r="F97" s="142">
        <v>45000</v>
      </c>
    </row>
    <row r="98" spans="1:6" ht="76.5">
      <c r="A98" s="54" t="s">
        <v>465</v>
      </c>
      <c r="B98" s="159" t="s">
        <v>1623</v>
      </c>
      <c r="C98" s="140" t="s">
        <v>466</v>
      </c>
      <c r="D98" s="140"/>
      <c r="E98" s="224">
        <v>45000</v>
      </c>
      <c r="F98" s="142">
        <v>45000</v>
      </c>
    </row>
    <row r="99" spans="1:6">
      <c r="A99" s="54" t="s">
        <v>1440</v>
      </c>
      <c r="B99" s="159" t="s">
        <v>1623</v>
      </c>
      <c r="C99" s="140" t="s">
        <v>466</v>
      </c>
      <c r="D99" s="140" t="s">
        <v>483</v>
      </c>
      <c r="E99" s="224">
        <v>45000</v>
      </c>
      <c r="F99" s="142">
        <v>45000</v>
      </c>
    </row>
    <row r="100" spans="1:6" ht="140.25">
      <c r="A100" s="54" t="s">
        <v>740</v>
      </c>
      <c r="B100" s="159" t="s">
        <v>955</v>
      </c>
      <c r="C100" s="140"/>
      <c r="D100" s="140"/>
      <c r="E100" s="224">
        <v>35350284</v>
      </c>
      <c r="F100" s="142">
        <v>35350284</v>
      </c>
    </row>
    <row r="101" spans="1:6" ht="38.25">
      <c r="A101" s="54" t="s">
        <v>445</v>
      </c>
      <c r="B101" s="159" t="s">
        <v>955</v>
      </c>
      <c r="C101" s="140" t="s">
        <v>446</v>
      </c>
      <c r="D101" s="140"/>
      <c r="E101" s="224">
        <v>35350284</v>
      </c>
      <c r="F101" s="142">
        <v>35350284</v>
      </c>
    </row>
    <row r="102" spans="1:6">
      <c r="A102" s="54" t="s">
        <v>187</v>
      </c>
      <c r="B102" s="159" t="s">
        <v>955</v>
      </c>
      <c r="C102" s="140" t="s">
        <v>446</v>
      </c>
      <c r="D102" s="140" t="s">
        <v>528</v>
      </c>
      <c r="E102" s="224">
        <v>35350284</v>
      </c>
      <c r="F102" s="142">
        <v>35350284</v>
      </c>
    </row>
    <row r="103" spans="1:6" ht="153">
      <c r="A103" s="54" t="s">
        <v>747</v>
      </c>
      <c r="B103" s="159" t="s">
        <v>967</v>
      </c>
      <c r="C103" s="140"/>
      <c r="D103" s="140"/>
      <c r="E103" s="224">
        <v>3552600</v>
      </c>
      <c r="F103" s="142">
        <v>3552600</v>
      </c>
    </row>
    <row r="104" spans="1:6" ht="38.25">
      <c r="A104" s="54" t="s">
        <v>445</v>
      </c>
      <c r="B104" s="159" t="s">
        <v>967</v>
      </c>
      <c r="C104" s="140" t="s">
        <v>446</v>
      </c>
      <c r="D104" s="140"/>
      <c r="E104" s="224">
        <v>3552600</v>
      </c>
      <c r="F104" s="142">
        <v>3552600</v>
      </c>
    </row>
    <row r="105" spans="1:6">
      <c r="A105" s="54" t="s">
        <v>188</v>
      </c>
      <c r="B105" s="159" t="s">
        <v>967</v>
      </c>
      <c r="C105" s="140" t="s">
        <v>446</v>
      </c>
      <c r="D105" s="140" t="s">
        <v>515</v>
      </c>
      <c r="E105" s="224">
        <v>3552600</v>
      </c>
      <c r="F105" s="142">
        <v>3552600</v>
      </c>
    </row>
    <row r="106" spans="1:6" ht="140.25">
      <c r="A106" s="216" t="s">
        <v>1185</v>
      </c>
      <c r="B106" s="159" t="s">
        <v>1186</v>
      </c>
      <c r="C106" s="140"/>
      <c r="D106" s="140"/>
      <c r="E106" s="224">
        <v>6614055</v>
      </c>
      <c r="F106" s="142">
        <v>6614055</v>
      </c>
    </row>
    <row r="107" spans="1:6" ht="38.25">
      <c r="A107" s="54" t="s">
        <v>445</v>
      </c>
      <c r="B107" s="159" t="s">
        <v>1186</v>
      </c>
      <c r="C107" s="140" t="s">
        <v>446</v>
      </c>
      <c r="D107" s="140"/>
      <c r="E107" s="224">
        <v>6614055</v>
      </c>
      <c r="F107" s="142">
        <v>6614055</v>
      </c>
    </row>
    <row r="108" spans="1:6">
      <c r="A108" s="54" t="s">
        <v>187</v>
      </c>
      <c r="B108" s="159" t="s">
        <v>1186</v>
      </c>
      <c r="C108" s="140" t="s">
        <v>446</v>
      </c>
      <c r="D108" s="140" t="s">
        <v>528</v>
      </c>
      <c r="E108" s="224">
        <v>6614055</v>
      </c>
      <c r="F108" s="142">
        <v>6614055</v>
      </c>
    </row>
    <row r="109" spans="1:6" ht="165.75">
      <c r="A109" s="54" t="s">
        <v>1187</v>
      </c>
      <c r="B109" s="159" t="s">
        <v>1188</v>
      </c>
      <c r="C109" s="140"/>
      <c r="D109" s="140"/>
      <c r="E109" s="224">
        <v>8438829</v>
      </c>
      <c r="F109" s="142">
        <v>8438829</v>
      </c>
    </row>
    <row r="110" spans="1:6" ht="38.25">
      <c r="A110" s="54" t="s">
        <v>445</v>
      </c>
      <c r="B110" s="159" t="s">
        <v>1188</v>
      </c>
      <c r="C110" s="140" t="s">
        <v>446</v>
      </c>
      <c r="D110" s="140"/>
      <c r="E110" s="224">
        <v>8438829</v>
      </c>
      <c r="F110" s="142">
        <v>8438829</v>
      </c>
    </row>
    <row r="111" spans="1:6">
      <c r="A111" s="54" t="s">
        <v>188</v>
      </c>
      <c r="B111" s="159" t="s">
        <v>1188</v>
      </c>
      <c r="C111" s="140" t="s">
        <v>446</v>
      </c>
      <c r="D111" s="140" t="s">
        <v>515</v>
      </c>
      <c r="E111" s="224">
        <v>8438829</v>
      </c>
      <c r="F111" s="142">
        <v>8438829</v>
      </c>
    </row>
    <row r="112" spans="1:6" ht="153">
      <c r="A112" s="54" t="s">
        <v>1189</v>
      </c>
      <c r="B112" s="159" t="s">
        <v>1190</v>
      </c>
      <c r="C112" s="140"/>
      <c r="D112" s="140"/>
      <c r="E112" s="224">
        <v>429720</v>
      </c>
      <c r="F112" s="142">
        <v>429720</v>
      </c>
    </row>
    <row r="113" spans="1:6" ht="38.25">
      <c r="A113" s="54" t="s">
        <v>445</v>
      </c>
      <c r="B113" s="159" t="s">
        <v>1190</v>
      </c>
      <c r="C113" s="140" t="s">
        <v>446</v>
      </c>
      <c r="D113" s="140"/>
      <c r="E113" s="224">
        <v>269380</v>
      </c>
      <c r="F113" s="142">
        <v>269380</v>
      </c>
    </row>
    <row r="114" spans="1:6">
      <c r="A114" s="54" t="s">
        <v>1442</v>
      </c>
      <c r="B114" s="159" t="s">
        <v>1190</v>
      </c>
      <c r="C114" s="140" t="s">
        <v>446</v>
      </c>
      <c r="D114" s="140" t="s">
        <v>1443</v>
      </c>
      <c r="E114" s="224">
        <v>269380</v>
      </c>
      <c r="F114" s="142">
        <v>269380</v>
      </c>
    </row>
    <row r="115" spans="1:6" ht="76.5">
      <c r="A115" s="54" t="s">
        <v>465</v>
      </c>
      <c r="B115" s="159" t="s">
        <v>1190</v>
      </c>
      <c r="C115" s="140" t="s">
        <v>466</v>
      </c>
      <c r="D115" s="140"/>
      <c r="E115" s="224">
        <v>160340</v>
      </c>
      <c r="F115" s="142">
        <v>160340</v>
      </c>
    </row>
    <row r="116" spans="1:6">
      <c r="A116" s="54" t="s">
        <v>1442</v>
      </c>
      <c r="B116" s="159" t="s">
        <v>1190</v>
      </c>
      <c r="C116" s="140" t="s">
        <v>466</v>
      </c>
      <c r="D116" s="140" t="s">
        <v>1443</v>
      </c>
      <c r="E116" s="224">
        <v>160340</v>
      </c>
      <c r="F116" s="142">
        <v>160340</v>
      </c>
    </row>
    <row r="117" spans="1:6" ht="153">
      <c r="A117" s="54" t="s">
        <v>1624</v>
      </c>
      <c r="B117" s="159" t="s">
        <v>1625</v>
      </c>
      <c r="C117" s="140"/>
      <c r="D117" s="140"/>
      <c r="E117" s="224">
        <v>307860</v>
      </c>
      <c r="F117" s="142">
        <v>307860</v>
      </c>
    </row>
    <row r="118" spans="1:6" ht="76.5">
      <c r="A118" s="216" t="s">
        <v>465</v>
      </c>
      <c r="B118" s="159" t="s">
        <v>1625</v>
      </c>
      <c r="C118" s="140" t="s">
        <v>466</v>
      </c>
      <c r="D118" s="140"/>
      <c r="E118" s="224">
        <v>307860</v>
      </c>
      <c r="F118" s="142">
        <v>307860</v>
      </c>
    </row>
    <row r="119" spans="1:6">
      <c r="A119" s="54" t="s">
        <v>1440</v>
      </c>
      <c r="B119" s="159" t="s">
        <v>1625</v>
      </c>
      <c r="C119" s="140" t="s">
        <v>466</v>
      </c>
      <c r="D119" s="140" t="s">
        <v>483</v>
      </c>
      <c r="E119" s="224">
        <v>307860</v>
      </c>
      <c r="F119" s="142">
        <v>307860</v>
      </c>
    </row>
    <row r="120" spans="1:6" ht="76.5">
      <c r="A120" s="54" t="s">
        <v>1312</v>
      </c>
      <c r="B120" s="159" t="s">
        <v>1313</v>
      </c>
      <c r="C120" s="140"/>
      <c r="D120" s="140"/>
      <c r="E120" s="224">
        <v>6423600</v>
      </c>
      <c r="F120" s="142">
        <v>6423600</v>
      </c>
    </row>
    <row r="121" spans="1:6" ht="38.25">
      <c r="A121" s="54" t="s">
        <v>445</v>
      </c>
      <c r="B121" s="159" t="s">
        <v>1313</v>
      </c>
      <c r="C121" s="140" t="s">
        <v>446</v>
      </c>
      <c r="D121" s="140"/>
      <c r="E121" s="224">
        <v>4548700</v>
      </c>
      <c r="F121" s="142">
        <v>4548700</v>
      </c>
    </row>
    <row r="122" spans="1:6">
      <c r="A122" s="54" t="s">
        <v>1440</v>
      </c>
      <c r="B122" s="159" t="s">
        <v>1313</v>
      </c>
      <c r="C122" s="140" t="s">
        <v>446</v>
      </c>
      <c r="D122" s="140" t="s">
        <v>483</v>
      </c>
      <c r="E122" s="224">
        <v>4548700</v>
      </c>
      <c r="F122" s="142">
        <v>4548700</v>
      </c>
    </row>
    <row r="123" spans="1:6" ht="76.5">
      <c r="A123" s="54" t="s">
        <v>465</v>
      </c>
      <c r="B123" s="159" t="s">
        <v>1313</v>
      </c>
      <c r="C123" s="140" t="s">
        <v>466</v>
      </c>
      <c r="D123" s="140"/>
      <c r="E123" s="224">
        <v>1874900</v>
      </c>
      <c r="F123" s="142">
        <v>1874900</v>
      </c>
    </row>
    <row r="124" spans="1:6">
      <c r="A124" s="54" t="s">
        <v>1440</v>
      </c>
      <c r="B124" s="159" t="s">
        <v>1313</v>
      </c>
      <c r="C124" s="140" t="s">
        <v>466</v>
      </c>
      <c r="D124" s="140" t="s">
        <v>483</v>
      </c>
      <c r="E124" s="224">
        <v>1874900</v>
      </c>
      <c r="F124" s="142">
        <v>1874900</v>
      </c>
    </row>
    <row r="125" spans="1:6" ht="280.5">
      <c r="A125" s="54" t="s">
        <v>949</v>
      </c>
      <c r="B125" s="159" t="s">
        <v>950</v>
      </c>
      <c r="C125" s="140"/>
      <c r="D125" s="140"/>
      <c r="E125" s="224">
        <v>62470800</v>
      </c>
      <c r="F125" s="142">
        <v>62470800</v>
      </c>
    </row>
    <row r="126" spans="1:6">
      <c r="A126" s="54" t="s">
        <v>1603</v>
      </c>
      <c r="B126" s="159" t="s">
        <v>950</v>
      </c>
      <c r="C126" s="140" t="s">
        <v>460</v>
      </c>
      <c r="D126" s="140"/>
      <c r="E126" s="224">
        <v>44890427.159999996</v>
      </c>
      <c r="F126" s="142">
        <v>44890427.159999996</v>
      </c>
    </row>
    <row r="127" spans="1:6">
      <c r="A127" s="54" t="s">
        <v>187</v>
      </c>
      <c r="B127" s="159" t="s">
        <v>950</v>
      </c>
      <c r="C127" s="140" t="s">
        <v>460</v>
      </c>
      <c r="D127" s="140" t="s">
        <v>528</v>
      </c>
      <c r="E127" s="224">
        <v>44890427.159999996</v>
      </c>
      <c r="F127" s="142">
        <v>44890427.159999996</v>
      </c>
    </row>
    <row r="128" spans="1:6" ht="25.5">
      <c r="A128" s="54" t="s">
        <v>1617</v>
      </c>
      <c r="B128" s="159" t="s">
        <v>950</v>
      </c>
      <c r="C128" s="140" t="s">
        <v>509</v>
      </c>
      <c r="D128" s="140"/>
      <c r="E128" s="224">
        <v>1467000</v>
      </c>
      <c r="F128" s="142">
        <v>1467000</v>
      </c>
    </row>
    <row r="129" spans="1:6">
      <c r="A129" s="54" t="s">
        <v>187</v>
      </c>
      <c r="B129" s="159" t="s">
        <v>950</v>
      </c>
      <c r="C129" s="140" t="s">
        <v>509</v>
      </c>
      <c r="D129" s="140" t="s">
        <v>528</v>
      </c>
      <c r="E129" s="224">
        <v>1467000</v>
      </c>
      <c r="F129" s="142">
        <v>1467000</v>
      </c>
    </row>
    <row r="130" spans="1:6" ht="51">
      <c r="A130" s="216" t="s">
        <v>1604</v>
      </c>
      <c r="B130" s="159" t="s">
        <v>950</v>
      </c>
      <c r="C130" s="140" t="s">
        <v>1290</v>
      </c>
      <c r="D130" s="140"/>
      <c r="E130" s="224">
        <v>13556913.800000001</v>
      </c>
      <c r="F130" s="142">
        <v>13556913.800000001</v>
      </c>
    </row>
    <row r="131" spans="1:6">
      <c r="A131" s="54" t="s">
        <v>187</v>
      </c>
      <c r="B131" s="159" t="s">
        <v>950</v>
      </c>
      <c r="C131" s="140" t="s">
        <v>1290</v>
      </c>
      <c r="D131" s="140" t="s">
        <v>528</v>
      </c>
      <c r="E131" s="224">
        <v>13556913.800000001</v>
      </c>
      <c r="F131" s="142">
        <v>13556913.800000001</v>
      </c>
    </row>
    <row r="132" spans="1:6" ht="38.25">
      <c r="A132" s="54" t="s">
        <v>445</v>
      </c>
      <c r="B132" s="159" t="s">
        <v>950</v>
      </c>
      <c r="C132" s="140" t="s">
        <v>446</v>
      </c>
      <c r="D132" s="140"/>
      <c r="E132" s="224">
        <v>2556459.04</v>
      </c>
      <c r="F132" s="142">
        <v>2556459.04</v>
      </c>
    </row>
    <row r="133" spans="1:6">
      <c r="A133" s="54" t="s">
        <v>187</v>
      </c>
      <c r="B133" s="159" t="s">
        <v>950</v>
      </c>
      <c r="C133" s="140" t="s">
        <v>446</v>
      </c>
      <c r="D133" s="140" t="s">
        <v>528</v>
      </c>
      <c r="E133" s="224">
        <v>2556459.04</v>
      </c>
      <c r="F133" s="142">
        <v>2556459.04</v>
      </c>
    </row>
    <row r="134" spans="1:6" ht="255">
      <c r="A134" s="54" t="s">
        <v>1191</v>
      </c>
      <c r="B134" s="159" t="s">
        <v>958</v>
      </c>
      <c r="C134" s="140"/>
      <c r="D134" s="140"/>
      <c r="E134" s="224">
        <v>69960700</v>
      </c>
      <c r="F134" s="142">
        <v>69960700</v>
      </c>
    </row>
    <row r="135" spans="1:6">
      <c r="A135" s="54" t="s">
        <v>1603</v>
      </c>
      <c r="B135" s="159" t="s">
        <v>958</v>
      </c>
      <c r="C135" s="140" t="s">
        <v>460</v>
      </c>
      <c r="D135" s="140"/>
      <c r="E135" s="224">
        <v>49098900.719999999</v>
      </c>
      <c r="F135" s="142">
        <v>49098900.719999999</v>
      </c>
    </row>
    <row r="136" spans="1:6">
      <c r="A136" s="54" t="s">
        <v>188</v>
      </c>
      <c r="B136" s="159" t="s">
        <v>958</v>
      </c>
      <c r="C136" s="140" t="s">
        <v>460</v>
      </c>
      <c r="D136" s="140" t="s">
        <v>515</v>
      </c>
      <c r="E136" s="224">
        <v>49098900.719999999</v>
      </c>
      <c r="F136" s="142">
        <v>49098900.719999999</v>
      </c>
    </row>
    <row r="137" spans="1:6" ht="25.5">
      <c r="A137" s="54" t="s">
        <v>1617</v>
      </c>
      <c r="B137" s="159" t="s">
        <v>958</v>
      </c>
      <c r="C137" s="140" t="s">
        <v>509</v>
      </c>
      <c r="D137" s="140"/>
      <c r="E137" s="224">
        <v>1900000</v>
      </c>
      <c r="F137" s="142">
        <v>1900000</v>
      </c>
    </row>
    <row r="138" spans="1:6">
      <c r="A138" s="54" t="s">
        <v>188</v>
      </c>
      <c r="B138" s="159" t="s">
        <v>958</v>
      </c>
      <c r="C138" s="140" t="s">
        <v>509</v>
      </c>
      <c r="D138" s="140" t="s">
        <v>515</v>
      </c>
      <c r="E138" s="224">
        <v>1900000</v>
      </c>
      <c r="F138" s="142">
        <v>1900000</v>
      </c>
    </row>
    <row r="139" spans="1:6" ht="51">
      <c r="A139" s="54" t="s">
        <v>1604</v>
      </c>
      <c r="B139" s="159" t="s">
        <v>958</v>
      </c>
      <c r="C139" s="140" t="s">
        <v>1290</v>
      </c>
      <c r="D139" s="140"/>
      <c r="E139" s="224">
        <v>14827773.220000001</v>
      </c>
      <c r="F139" s="142">
        <v>14827773.220000001</v>
      </c>
    </row>
    <row r="140" spans="1:6">
      <c r="A140" s="54" t="s">
        <v>188</v>
      </c>
      <c r="B140" s="159" t="s">
        <v>958</v>
      </c>
      <c r="C140" s="140" t="s">
        <v>1290</v>
      </c>
      <c r="D140" s="140" t="s">
        <v>515</v>
      </c>
      <c r="E140" s="224">
        <v>14827773.220000001</v>
      </c>
      <c r="F140" s="142">
        <v>14827773.220000001</v>
      </c>
    </row>
    <row r="141" spans="1:6" ht="38.25">
      <c r="A141" s="54" t="s">
        <v>445</v>
      </c>
      <c r="B141" s="159" t="s">
        <v>958</v>
      </c>
      <c r="C141" s="140" t="s">
        <v>446</v>
      </c>
      <c r="D141" s="140"/>
      <c r="E141" s="224">
        <v>4134026.06</v>
      </c>
      <c r="F141" s="142">
        <v>4134026.06</v>
      </c>
    </row>
    <row r="142" spans="1:6">
      <c r="A142" s="54" t="s">
        <v>188</v>
      </c>
      <c r="B142" s="159" t="s">
        <v>958</v>
      </c>
      <c r="C142" s="140" t="s">
        <v>446</v>
      </c>
      <c r="D142" s="140" t="s">
        <v>515</v>
      </c>
      <c r="E142" s="224">
        <v>4134026.06</v>
      </c>
      <c r="F142" s="142">
        <v>4134026.06</v>
      </c>
    </row>
    <row r="143" spans="1:6" ht="216.75">
      <c r="A143" s="54" t="s">
        <v>663</v>
      </c>
      <c r="B143" s="159" t="s">
        <v>994</v>
      </c>
      <c r="C143" s="140"/>
      <c r="D143" s="140"/>
      <c r="E143" s="224">
        <v>543100</v>
      </c>
      <c r="F143" s="142">
        <v>543100</v>
      </c>
    </row>
    <row r="144" spans="1:6" ht="38.25">
      <c r="A144" s="54" t="s">
        <v>445</v>
      </c>
      <c r="B144" s="159" t="s">
        <v>994</v>
      </c>
      <c r="C144" s="140" t="s">
        <v>446</v>
      </c>
      <c r="D144" s="140"/>
      <c r="E144" s="224">
        <v>543100</v>
      </c>
      <c r="F144" s="142">
        <v>543100</v>
      </c>
    </row>
    <row r="145" spans="1:6">
      <c r="A145" s="54" t="s">
        <v>127</v>
      </c>
      <c r="B145" s="159" t="s">
        <v>994</v>
      </c>
      <c r="C145" s="140" t="s">
        <v>446</v>
      </c>
      <c r="D145" s="140" t="s">
        <v>496</v>
      </c>
      <c r="E145" s="224">
        <v>543100</v>
      </c>
      <c r="F145" s="142">
        <v>543100</v>
      </c>
    </row>
    <row r="146" spans="1:6" ht="153">
      <c r="A146" s="216" t="s">
        <v>544</v>
      </c>
      <c r="B146" s="159" t="s">
        <v>996</v>
      </c>
      <c r="C146" s="140"/>
      <c r="D146" s="140"/>
      <c r="E146" s="224">
        <v>10359400</v>
      </c>
      <c r="F146" s="142">
        <v>10359400</v>
      </c>
    </row>
    <row r="147" spans="1:6" ht="38.25">
      <c r="A147" s="54" t="s">
        <v>445</v>
      </c>
      <c r="B147" s="159" t="s">
        <v>996</v>
      </c>
      <c r="C147" s="140" t="s">
        <v>446</v>
      </c>
      <c r="D147" s="140"/>
      <c r="E147" s="224">
        <v>203100</v>
      </c>
      <c r="F147" s="142">
        <v>203100</v>
      </c>
    </row>
    <row r="148" spans="1:6">
      <c r="A148" s="54" t="s">
        <v>25</v>
      </c>
      <c r="B148" s="159" t="s">
        <v>996</v>
      </c>
      <c r="C148" s="140" t="s">
        <v>446</v>
      </c>
      <c r="D148" s="140" t="s">
        <v>543</v>
      </c>
      <c r="E148" s="224">
        <v>203100</v>
      </c>
      <c r="F148" s="142">
        <v>203100</v>
      </c>
    </row>
    <row r="149" spans="1:6" ht="38.25">
      <c r="A149" s="216" t="s">
        <v>497</v>
      </c>
      <c r="B149" s="159" t="s">
        <v>996</v>
      </c>
      <c r="C149" s="140" t="s">
        <v>498</v>
      </c>
      <c r="D149" s="140"/>
      <c r="E149" s="224">
        <v>10156300</v>
      </c>
      <c r="F149" s="142">
        <v>10156300</v>
      </c>
    </row>
    <row r="150" spans="1:6">
      <c r="A150" s="54" t="s">
        <v>25</v>
      </c>
      <c r="B150" s="159" t="s">
        <v>996</v>
      </c>
      <c r="C150" s="140" t="s">
        <v>498</v>
      </c>
      <c r="D150" s="140" t="s">
        <v>543</v>
      </c>
      <c r="E150" s="224">
        <v>10156300</v>
      </c>
      <c r="F150" s="142">
        <v>10156300</v>
      </c>
    </row>
    <row r="151" spans="1:6" ht="204">
      <c r="A151" s="54" t="s">
        <v>532</v>
      </c>
      <c r="B151" s="159" t="s">
        <v>956</v>
      </c>
      <c r="C151" s="140"/>
      <c r="D151" s="140"/>
      <c r="E151" s="224">
        <v>350917300</v>
      </c>
      <c r="F151" s="142">
        <v>350917300</v>
      </c>
    </row>
    <row r="152" spans="1:6">
      <c r="A152" s="54" t="s">
        <v>1603</v>
      </c>
      <c r="B152" s="159" t="s">
        <v>956</v>
      </c>
      <c r="C152" s="140" t="s">
        <v>460</v>
      </c>
      <c r="D152" s="140"/>
      <c r="E152" s="224">
        <v>246957295</v>
      </c>
      <c r="F152" s="142">
        <v>246957295</v>
      </c>
    </row>
    <row r="153" spans="1:6">
      <c r="A153" s="54" t="s">
        <v>188</v>
      </c>
      <c r="B153" s="159" t="s">
        <v>956</v>
      </c>
      <c r="C153" s="140" t="s">
        <v>460</v>
      </c>
      <c r="D153" s="140" t="s">
        <v>515</v>
      </c>
      <c r="E153" s="224">
        <v>246957295</v>
      </c>
      <c r="F153" s="142">
        <v>246957295</v>
      </c>
    </row>
    <row r="154" spans="1:6" ht="25.5">
      <c r="A154" s="54" t="s">
        <v>1617</v>
      </c>
      <c r="B154" s="159" t="s">
        <v>956</v>
      </c>
      <c r="C154" s="140" t="s">
        <v>509</v>
      </c>
      <c r="D154" s="140"/>
      <c r="E154" s="224">
        <v>5000000</v>
      </c>
      <c r="F154" s="142">
        <v>5000000</v>
      </c>
    </row>
    <row r="155" spans="1:6">
      <c r="A155" s="54" t="s">
        <v>188</v>
      </c>
      <c r="B155" s="159" t="s">
        <v>956</v>
      </c>
      <c r="C155" s="140" t="s">
        <v>509</v>
      </c>
      <c r="D155" s="140" t="s">
        <v>515</v>
      </c>
      <c r="E155" s="224">
        <v>5000000</v>
      </c>
      <c r="F155" s="142">
        <v>5000000</v>
      </c>
    </row>
    <row r="156" spans="1:6" ht="51">
      <c r="A156" s="54" t="s">
        <v>1604</v>
      </c>
      <c r="B156" s="159" t="s">
        <v>956</v>
      </c>
      <c r="C156" s="140" t="s">
        <v>1290</v>
      </c>
      <c r="D156" s="140"/>
      <c r="E156" s="224">
        <v>74581102</v>
      </c>
      <c r="F156" s="142">
        <v>74581102</v>
      </c>
    </row>
    <row r="157" spans="1:6">
      <c r="A157" s="54" t="s">
        <v>188</v>
      </c>
      <c r="B157" s="159" t="s">
        <v>956</v>
      </c>
      <c r="C157" s="140" t="s">
        <v>1290</v>
      </c>
      <c r="D157" s="140" t="s">
        <v>515</v>
      </c>
      <c r="E157" s="224">
        <v>74581102</v>
      </c>
      <c r="F157" s="142">
        <v>74581102</v>
      </c>
    </row>
    <row r="158" spans="1:6" ht="38.25">
      <c r="A158" s="54" t="s">
        <v>445</v>
      </c>
      <c r="B158" s="159" t="s">
        <v>956</v>
      </c>
      <c r="C158" s="140" t="s">
        <v>446</v>
      </c>
      <c r="D158" s="140"/>
      <c r="E158" s="224">
        <v>24378903</v>
      </c>
      <c r="F158" s="142">
        <v>24378903</v>
      </c>
    </row>
    <row r="159" spans="1:6">
      <c r="A159" s="54" t="s">
        <v>188</v>
      </c>
      <c r="B159" s="159" t="s">
        <v>956</v>
      </c>
      <c r="C159" s="140" t="s">
        <v>446</v>
      </c>
      <c r="D159" s="140" t="s">
        <v>515</v>
      </c>
      <c r="E159" s="224">
        <v>24378903</v>
      </c>
      <c r="F159" s="142">
        <v>24378903</v>
      </c>
    </row>
    <row r="160" spans="1:6" ht="140.25">
      <c r="A160" s="54" t="s">
        <v>542</v>
      </c>
      <c r="B160" s="159" t="s">
        <v>995</v>
      </c>
      <c r="C160" s="140"/>
      <c r="D160" s="140"/>
      <c r="E160" s="224">
        <v>27568300</v>
      </c>
      <c r="F160" s="142">
        <v>27568300</v>
      </c>
    </row>
    <row r="161" spans="1:6">
      <c r="A161" s="54" t="s">
        <v>1603</v>
      </c>
      <c r="B161" s="141" t="s">
        <v>995</v>
      </c>
      <c r="C161" s="140" t="s">
        <v>460</v>
      </c>
      <c r="D161" s="140"/>
      <c r="E161" s="224">
        <v>2433160</v>
      </c>
      <c r="F161" s="142">
        <v>2433160</v>
      </c>
    </row>
    <row r="162" spans="1:6">
      <c r="A162" s="54" t="s">
        <v>127</v>
      </c>
      <c r="B162" s="159" t="s">
        <v>995</v>
      </c>
      <c r="C162" s="140" t="s">
        <v>460</v>
      </c>
      <c r="D162" s="140" t="s">
        <v>496</v>
      </c>
      <c r="E162" s="224">
        <v>2433160</v>
      </c>
      <c r="F162" s="142">
        <v>2433160</v>
      </c>
    </row>
    <row r="163" spans="1:6" ht="51">
      <c r="A163" s="54" t="s">
        <v>1604</v>
      </c>
      <c r="B163" s="159" t="s">
        <v>995</v>
      </c>
      <c r="C163" s="140" t="s">
        <v>1290</v>
      </c>
      <c r="D163" s="140"/>
      <c r="E163" s="224">
        <v>675340</v>
      </c>
      <c r="F163" s="142">
        <v>675340</v>
      </c>
    </row>
    <row r="164" spans="1:6">
      <c r="A164" s="54" t="s">
        <v>127</v>
      </c>
      <c r="B164" s="159" t="s">
        <v>995</v>
      </c>
      <c r="C164" s="140" t="s">
        <v>1290</v>
      </c>
      <c r="D164" s="140" t="s">
        <v>496</v>
      </c>
      <c r="E164" s="224">
        <v>675340</v>
      </c>
      <c r="F164" s="142">
        <v>675340</v>
      </c>
    </row>
    <row r="165" spans="1:6" ht="38.25">
      <c r="A165" s="54" t="s">
        <v>445</v>
      </c>
      <c r="B165" s="159" t="s">
        <v>995</v>
      </c>
      <c r="C165" s="140" t="s">
        <v>446</v>
      </c>
      <c r="D165" s="140"/>
      <c r="E165" s="224">
        <v>23911400</v>
      </c>
      <c r="F165" s="142">
        <v>23911400</v>
      </c>
    </row>
    <row r="166" spans="1:6">
      <c r="A166" s="54" t="s">
        <v>127</v>
      </c>
      <c r="B166" s="159" t="s">
        <v>995</v>
      </c>
      <c r="C166" s="140" t="s">
        <v>446</v>
      </c>
      <c r="D166" s="140" t="s">
        <v>496</v>
      </c>
      <c r="E166" s="224">
        <v>23911400</v>
      </c>
      <c r="F166" s="142">
        <v>23911400</v>
      </c>
    </row>
    <row r="167" spans="1:6" ht="38.25">
      <c r="A167" s="54" t="s">
        <v>497</v>
      </c>
      <c r="B167" s="159" t="s">
        <v>995</v>
      </c>
      <c r="C167" s="140" t="s">
        <v>498</v>
      </c>
      <c r="D167" s="140"/>
      <c r="E167" s="224">
        <v>548400</v>
      </c>
      <c r="F167" s="142">
        <v>548400</v>
      </c>
    </row>
    <row r="168" spans="1:6">
      <c r="A168" s="54" t="s">
        <v>127</v>
      </c>
      <c r="B168" s="159" t="s">
        <v>995</v>
      </c>
      <c r="C168" s="140" t="s">
        <v>498</v>
      </c>
      <c r="D168" s="140" t="s">
        <v>496</v>
      </c>
      <c r="E168" s="224">
        <v>548400</v>
      </c>
      <c r="F168" s="142">
        <v>548400</v>
      </c>
    </row>
    <row r="169" spans="1:6" ht="204">
      <c r="A169" s="54" t="s">
        <v>529</v>
      </c>
      <c r="B169" s="141" t="s">
        <v>948</v>
      </c>
      <c r="C169" s="140"/>
      <c r="D169" s="140"/>
      <c r="E169" s="224">
        <v>125931800</v>
      </c>
      <c r="F169" s="142">
        <v>125931800</v>
      </c>
    </row>
    <row r="170" spans="1:6">
      <c r="A170" s="54" t="s">
        <v>1603</v>
      </c>
      <c r="B170" s="159" t="s">
        <v>948</v>
      </c>
      <c r="C170" s="140" t="s">
        <v>460</v>
      </c>
      <c r="D170" s="140"/>
      <c r="E170" s="224">
        <v>81001577</v>
      </c>
      <c r="F170" s="142">
        <v>81001577</v>
      </c>
    </row>
    <row r="171" spans="1:6">
      <c r="A171" s="54" t="s">
        <v>187</v>
      </c>
      <c r="B171" s="159" t="s">
        <v>948</v>
      </c>
      <c r="C171" s="140" t="s">
        <v>460</v>
      </c>
      <c r="D171" s="140" t="s">
        <v>528</v>
      </c>
      <c r="E171" s="224">
        <v>81001577</v>
      </c>
      <c r="F171" s="142">
        <v>81001577</v>
      </c>
    </row>
    <row r="172" spans="1:6" ht="25.5">
      <c r="A172" s="54" t="s">
        <v>1617</v>
      </c>
      <c r="B172" s="159" t="s">
        <v>948</v>
      </c>
      <c r="C172" s="140" t="s">
        <v>509</v>
      </c>
      <c r="D172" s="140"/>
      <c r="E172" s="224">
        <v>2500000</v>
      </c>
      <c r="F172" s="142">
        <v>2500000</v>
      </c>
    </row>
    <row r="173" spans="1:6">
      <c r="A173" s="54" t="s">
        <v>187</v>
      </c>
      <c r="B173" s="159" t="s">
        <v>948</v>
      </c>
      <c r="C173" s="140" t="s">
        <v>509</v>
      </c>
      <c r="D173" s="140" t="s">
        <v>528</v>
      </c>
      <c r="E173" s="224">
        <v>2500000</v>
      </c>
      <c r="F173" s="142">
        <v>2500000</v>
      </c>
    </row>
    <row r="174" spans="1:6" ht="51">
      <c r="A174" s="54" t="s">
        <v>1604</v>
      </c>
      <c r="B174" s="159" t="s">
        <v>948</v>
      </c>
      <c r="C174" s="140" t="s">
        <v>1290</v>
      </c>
      <c r="D174" s="140"/>
      <c r="E174" s="224">
        <v>24462478</v>
      </c>
      <c r="F174" s="142">
        <v>24462478</v>
      </c>
    </row>
    <row r="175" spans="1:6">
      <c r="A175" s="54" t="s">
        <v>187</v>
      </c>
      <c r="B175" s="159" t="s">
        <v>948</v>
      </c>
      <c r="C175" s="140" t="s">
        <v>1290</v>
      </c>
      <c r="D175" s="140" t="s">
        <v>528</v>
      </c>
      <c r="E175" s="224">
        <v>24462478</v>
      </c>
      <c r="F175" s="142">
        <v>24462478</v>
      </c>
    </row>
    <row r="176" spans="1:6" ht="38.25">
      <c r="A176" s="54" t="s">
        <v>445</v>
      </c>
      <c r="B176" s="159" t="s">
        <v>948</v>
      </c>
      <c r="C176" s="140" t="s">
        <v>446</v>
      </c>
      <c r="D176" s="140"/>
      <c r="E176" s="224">
        <v>17967745</v>
      </c>
      <c r="F176" s="142">
        <v>17967745</v>
      </c>
    </row>
    <row r="177" spans="1:6">
      <c r="A177" s="54" t="s">
        <v>187</v>
      </c>
      <c r="B177" s="159" t="s">
        <v>948</v>
      </c>
      <c r="C177" s="140" t="s">
        <v>446</v>
      </c>
      <c r="D177" s="140" t="s">
        <v>528</v>
      </c>
      <c r="E177" s="224">
        <v>17967745</v>
      </c>
      <c r="F177" s="142">
        <v>17967745</v>
      </c>
    </row>
    <row r="178" spans="1:6" ht="89.25">
      <c r="A178" s="54" t="s">
        <v>531</v>
      </c>
      <c r="B178" s="159" t="s">
        <v>970</v>
      </c>
      <c r="C178" s="140"/>
      <c r="D178" s="140"/>
      <c r="E178" s="224">
        <v>1958000</v>
      </c>
      <c r="F178" s="142">
        <v>1958000</v>
      </c>
    </row>
    <row r="179" spans="1:6" ht="38.25">
      <c r="A179" s="54" t="s">
        <v>445</v>
      </c>
      <c r="B179" s="159" t="s">
        <v>970</v>
      </c>
      <c r="C179" s="140" t="s">
        <v>446</v>
      </c>
      <c r="D179" s="140"/>
      <c r="E179" s="224">
        <v>736000</v>
      </c>
      <c r="F179" s="142">
        <v>736000</v>
      </c>
    </row>
    <row r="180" spans="1:6">
      <c r="A180" s="54" t="s">
        <v>188</v>
      </c>
      <c r="B180" s="159" t="s">
        <v>970</v>
      </c>
      <c r="C180" s="140" t="s">
        <v>446</v>
      </c>
      <c r="D180" s="140" t="s">
        <v>515</v>
      </c>
      <c r="E180" s="224">
        <v>433000</v>
      </c>
      <c r="F180" s="142">
        <v>433000</v>
      </c>
    </row>
    <row r="181" spans="1:6">
      <c r="A181" s="54" t="s">
        <v>1442</v>
      </c>
      <c r="B181" s="159" t="s">
        <v>970</v>
      </c>
      <c r="C181" s="140" t="s">
        <v>446</v>
      </c>
      <c r="D181" s="140" t="s">
        <v>1443</v>
      </c>
      <c r="E181" s="224">
        <v>83000</v>
      </c>
      <c r="F181" s="142">
        <v>83000</v>
      </c>
    </row>
    <row r="182" spans="1:6">
      <c r="A182" s="216" t="s">
        <v>4</v>
      </c>
      <c r="B182" s="159" t="s">
        <v>970</v>
      </c>
      <c r="C182" s="140" t="s">
        <v>446</v>
      </c>
      <c r="D182" s="140" t="s">
        <v>540</v>
      </c>
      <c r="E182" s="224">
        <v>220000</v>
      </c>
      <c r="F182" s="142">
        <v>220000</v>
      </c>
    </row>
    <row r="183" spans="1:6">
      <c r="A183" s="54" t="s">
        <v>660</v>
      </c>
      <c r="B183" s="159" t="s">
        <v>970</v>
      </c>
      <c r="C183" s="140" t="s">
        <v>661</v>
      </c>
      <c r="D183" s="140"/>
      <c r="E183" s="224">
        <v>105000</v>
      </c>
      <c r="F183" s="142">
        <v>105000</v>
      </c>
    </row>
    <row r="184" spans="1:6">
      <c r="A184" s="54" t="s">
        <v>188</v>
      </c>
      <c r="B184" s="159" t="s">
        <v>970</v>
      </c>
      <c r="C184" s="140" t="s">
        <v>661</v>
      </c>
      <c r="D184" s="140" t="s">
        <v>515</v>
      </c>
      <c r="E184" s="224">
        <v>105000</v>
      </c>
      <c r="F184" s="142">
        <v>105000</v>
      </c>
    </row>
    <row r="185" spans="1:6" ht="25.5">
      <c r="A185" s="54" t="s">
        <v>484</v>
      </c>
      <c r="B185" s="159" t="s">
        <v>970</v>
      </c>
      <c r="C185" s="140" t="s">
        <v>485</v>
      </c>
      <c r="D185" s="140"/>
      <c r="E185" s="224">
        <v>1117000</v>
      </c>
      <c r="F185" s="142">
        <v>1117000</v>
      </c>
    </row>
    <row r="186" spans="1:6">
      <c r="A186" s="54" t="s">
        <v>1442</v>
      </c>
      <c r="B186" s="159" t="s">
        <v>970</v>
      </c>
      <c r="C186" s="140" t="s">
        <v>485</v>
      </c>
      <c r="D186" s="140" t="s">
        <v>1443</v>
      </c>
      <c r="E186" s="224">
        <v>1117000</v>
      </c>
      <c r="F186" s="142">
        <v>1117000</v>
      </c>
    </row>
    <row r="187" spans="1:6" ht="89.25">
      <c r="A187" s="54" t="s">
        <v>662</v>
      </c>
      <c r="B187" s="159" t="s">
        <v>973</v>
      </c>
      <c r="C187" s="140"/>
      <c r="D187" s="140"/>
      <c r="E187" s="224">
        <v>172000</v>
      </c>
      <c r="F187" s="142">
        <v>172000</v>
      </c>
    </row>
    <row r="188" spans="1:6" ht="25.5">
      <c r="A188" s="54" t="s">
        <v>456</v>
      </c>
      <c r="B188" s="159" t="s">
        <v>973</v>
      </c>
      <c r="C188" s="140" t="s">
        <v>457</v>
      </c>
      <c r="D188" s="140"/>
      <c r="E188" s="224">
        <v>172000</v>
      </c>
      <c r="F188" s="142">
        <v>172000</v>
      </c>
    </row>
    <row r="189" spans="1:6">
      <c r="A189" s="216" t="s">
        <v>188</v>
      </c>
      <c r="B189" s="159" t="s">
        <v>973</v>
      </c>
      <c r="C189" s="140" t="s">
        <v>457</v>
      </c>
      <c r="D189" s="140" t="s">
        <v>515</v>
      </c>
      <c r="E189" s="224">
        <v>172000</v>
      </c>
      <c r="F189" s="142">
        <v>172000</v>
      </c>
    </row>
    <row r="190" spans="1:6" ht="76.5">
      <c r="A190" s="54" t="s">
        <v>749</v>
      </c>
      <c r="B190" s="159" t="s">
        <v>972</v>
      </c>
      <c r="C190" s="140"/>
      <c r="D190" s="140"/>
      <c r="E190" s="224">
        <v>35000</v>
      </c>
      <c r="F190" s="142">
        <v>35000</v>
      </c>
    </row>
    <row r="191" spans="1:6" ht="38.25">
      <c r="A191" s="54" t="s">
        <v>445</v>
      </c>
      <c r="B191" s="159" t="s">
        <v>972</v>
      </c>
      <c r="C191" s="140" t="s">
        <v>446</v>
      </c>
      <c r="D191" s="140"/>
      <c r="E191" s="224">
        <v>35000</v>
      </c>
      <c r="F191" s="142">
        <v>35000</v>
      </c>
    </row>
    <row r="192" spans="1:6">
      <c r="A192" s="54" t="s">
        <v>188</v>
      </c>
      <c r="B192" s="159" t="s">
        <v>972</v>
      </c>
      <c r="C192" s="140" t="s">
        <v>446</v>
      </c>
      <c r="D192" s="140" t="s">
        <v>515</v>
      </c>
      <c r="E192" s="224">
        <v>35000</v>
      </c>
      <c r="F192" s="142">
        <v>35000</v>
      </c>
    </row>
    <row r="193" spans="1:6" ht="102">
      <c r="A193" s="54" t="s">
        <v>982</v>
      </c>
      <c r="B193" s="159" t="s">
        <v>983</v>
      </c>
      <c r="C193" s="140"/>
      <c r="D193" s="140"/>
      <c r="E193" s="224">
        <v>2915402</v>
      </c>
      <c r="F193" s="142">
        <v>2915402</v>
      </c>
    </row>
    <row r="194" spans="1:6" ht="38.25">
      <c r="A194" s="54" t="s">
        <v>445</v>
      </c>
      <c r="B194" s="141" t="s">
        <v>983</v>
      </c>
      <c r="C194" s="140" t="s">
        <v>446</v>
      </c>
      <c r="D194" s="140"/>
      <c r="E194" s="224">
        <v>2092402</v>
      </c>
      <c r="F194" s="142">
        <v>2092402</v>
      </c>
    </row>
    <row r="195" spans="1:6">
      <c r="A195" s="54" t="s">
        <v>1440</v>
      </c>
      <c r="B195" s="141" t="s">
        <v>983</v>
      </c>
      <c r="C195" s="140" t="s">
        <v>446</v>
      </c>
      <c r="D195" s="140" t="s">
        <v>483</v>
      </c>
      <c r="E195" s="224">
        <v>2092402</v>
      </c>
      <c r="F195" s="142">
        <v>2092402</v>
      </c>
    </row>
    <row r="196" spans="1:6" ht="76.5">
      <c r="A196" s="54" t="s">
        <v>465</v>
      </c>
      <c r="B196" s="141" t="s">
        <v>983</v>
      </c>
      <c r="C196" s="140" t="s">
        <v>466</v>
      </c>
      <c r="D196" s="140"/>
      <c r="E196" s="224">
        <v>823000</v>
      </c>
      <c r="F196" s="142">
        <v>823000</v>
      </c>
    </row>
    <row r="197" spans="1:6">
      <c r="A197" s="216" t="s">
        <v>1440</v>
      </c>
      <c r="B197" s="141" t="s">
        <v>983</v>
      </c>
      <c r="C197" s="140" t="s">
        <v>466</v>
      </c>
      <c r="D197" s="140" t="s">
        <v>483</v>
      </c>
      <c r="E197" s="224">
        <v>823000</v>
      </c>
      <c r="F197" s="142">
        <v>823000</v>
      </c>
    </row>
    <row r="198" spans="1:6" ht="51">
      <c r="A198" s="54" t="s">
        <v>572</v>
      </c>
      <c r="B198" s="141" t="s">
        <v>1597</v>
      </c>
      <c r="C198" s="140"/>
      <c r="D198" s="140"/>
      <c r="E198" s="224">
        <v>1362700</v>
      </c>
      <c r="F198" s="142">
        <v>1362700</v>
      </c>
    </row>
    <row r="199" spans="1:6" ht="140.25">
      <c r="A199" s="54" t="s">
        <v>541</v>
      </c>
      <c r="B199" s="141" t="s">
        <v>1587</v>
      </c>
      <c r="C199" s="140"/>
      <c r="D199" s="140"/>
      <c r="E199" s="224">
        <v>1362700</v>
      </c>
      <c r="F199" s="142">
        <v>1362700</v>
      </c>
    </row>
    <row r="200" spans="1:6" ht="25.5">
      <c r="A200" s="216" t="s">
        <v>1165</v>
      </c>
      <c r="B200" s="141" t="s">
        <v>1587</v>
      </c>
      <c r="C200" s="140" t="s">
        <v>440</v>
      </c>
      <c r="D200" s="140"/>
      <c r="E200" s="224">
        <v>741928</v>
      </c>
      <c r="F200" s="142">
        <v>741928</v>
      </c>
    </row>
    <row r="201" spans="1:6">
      <c r="A201" s="54" t="s">
        <v>4</v>
      </c>
      <c r="B201" s="141" t="s">
        <v>1587</v>
      </c>
      <c r="C201" s="140" t="s">
        <v>440</v>
      </c>
      <c r="D201" s="140" t="s">
        <v>540</v>
      </c>
      <c r="E201" s="224">
        <v>741928</v>
      </c>
      <c r="F201" s="142">
        <v>741928</v>
      </c>
    </row>
    <row r="202" spans="1:6" ht="51">
      <c r="A202" s="54" t="s">
        <v>441</v>
      </c>
      <c r="B202" s="141" t="s">
        <v>1587</v>
      </c>
      <c r="C202" s="140" t="s">
        <v>442</v>
      </c>
      <c r="D202" s="140"/>
      <c r="E202" s="224">
        <v>145000</v>
      </c>
      <c r="F202" s="142">
        <v>145000</v>
      </c>
    </row>
    <row r="203" spans="1:6">
      <c r="A203" s="54" t="s">
        <v>4</v>
      </c>
      <c r="B203" s="141" t="s">
        <v>1587</v>
      </c>
      <c r="C203" s="140" t="s">
        <v>442</v>
      </c>
      <c r="D203" s="140" t="s">
        <v>540</v>
      </c>
      <c r="E203" s="224">
        <v>145000</v>
      </c>
      <c r="F203" s="142">
        <v>145000</v>
      </c>
    </row>
    <row r="204" spans="1:6" ht="63.75">
      <c r="A204" s="216" t="s">
        <v>1288</v>
      </c>
      <c r="B204" s="141" t="s">
        <v>1587</v>
      </c>
      <c r="C204" s="140" t="s">
        <v>1289</v>
      </c>
      <c r="D204" s="140"/>
      <c r="E204" s="224">
        <v>224062</v>
      </c>
      <c r="F204" s="142">
        <v>224062</v>
      </c>
    </row>
    <row r="205" spans="1:6">
      <c r="A205" s="216" t="s">
        <v>4</v>
      </c>
      <c r="B205" s="141" t="s">
        <v>1587</v>
      </c>
      <c r="C205" s="140" t="s">
        <v>1289</v>
      </c>
      <c r="D205" s="140" t="s">
        <v>540</v>
      </c>
      <c r="E205" s="224">
        <v>224062</v>
      </c>
      <c r="F205" s="142">
        <v>224062</v>
      </c>
    </row>
    <row r="206" spans="1:6" ht="38.25">
      <c r="A206" s="54" t="s">
        <v>445</v>
      </c>
      <c r="B206" s="141" t="s">
        <v>1587</v>
      </c>
      <c r="C206" s="140" t="s">
        <v>446</v>
      </c>
      <c r="D206" s="140"/>
      <c r="E206" s="224">
        <v>251710</v>
      </c>
      <c r="F206" s="142">
        <v>251710</v>
      </c>
    </row>
    <row r="207" spans="1:6">
      <c r="A207" s="54" t="s">
        <v>4</v>
      </c>
      <c r="B207" s="141" t="s">
        <v>1587</v>
      </c>
      <c r="C207" s="140" t="s">
        <v>446</v>
      </c>
      <c r="D207" s="140" t="s">
        <v>540</v>
      </c>
      <c r="E207" s="224">
        <v>251710</v>
      </c>
      <c r="F207" s="142">
        <v>251710</v>
      </c>
    </row>
    <row r="208" spans="1:6" ht="38.25">
      <c r="A208" s="54" t="s">
        <v>784</v>
      </c>
      <c r="B208" s="141" t="s">
        <v>1199</v>
      </c>
      <c r="C208" s="140"/>
      <c r="D208" s="140"/>
      <c r="E208" s="224">
        <v>42938173</v>
      </c>
      <c r="F208" s="142">
        <v>42938173</v>
      </c>
    </row>
    <row r="209" spans="1:6" ht="102">
      <c r="A209" s="54" t="s">
        <v>778</v>
      </c>
      <c r="B209" s="141" t="s">
        <v>1590</v>
      </c>
      <c r="C209" s="140"/>
      <c r="D209" s="140"/>
      <c r="E209" s="224">
        <v>34562776</v>
      </c>
      <c r="F209" s="142">
        <v>34562776</v>
      </c>
    </row>
    <row r="210" spans="1:6">
      <c r="A210" s="54" t="s">
        <v>1603</v>
      </c>
      <c r="B210" s="141" t="s">
        <v>1590</v>
      </c>
      <c r="C210" s="140" t="s">
        <v>460</v>
      </c>
      <c r="D210" s="140"/>
      <c r="E210" s="224">
        <v>21688000</v>
      </c>
      <c r="F210" s="142">
        <v>21688000</v>
      </c>
    </row>
    <row r="211" spans="1:6">
      <c r="A211" s="54" t="s">
        <v>4</v>
      </c>
      <c r="B211" s="141" t="s">
        <v>1590</v>
      </c>
      <c r="C211" s="140" t="s">
        <v>460</v>
      </c>
      <c r="D211" s="140" t="s">
        <v>540</v>
      </c>
      <c r="E211" s="224">
        <v>21688000</v>
      </c>
      <c r="F211" s="142">
        <v>21688000</v>
      </c>
    </row>
    <row r="212" spans="1:6" ht="25.5">
      <c r="A212" s="216" t="s">
        <v>1617</v>
      </c>
      <c r="B212" s="141" t="s">
        <v>1590</v>
      </c>
      <c r="C212" s="140" t="s">
        <v>509</v>
      </c>
      <c r="D212" s="140"/>
      <c r="E212" s="224">
        <v>325000</v>
      </c>
      <c r="F212" s="142">
        <v>325000</v>
      </c>
    </row>
    <row r="213" spans="1:6">
      <c r="A213" s="216" t="s">
        <v>4</v>
      </c>
      <c r="B213" s="141" t="s">
        <v>1590</v>
      </c>
      <c r="C213" s="140" t="s">
        <v>509</v>
      </c>
      <c r="D213" s="140" t="s">
        <v>540</v>
      </c>
      <c r="E213" s="224">
        <v>325000</v>
      </c>
      <c r="F213" s="142">
        <v>325000</v>
      </c>
    </row>
    <row r="214" spans="1:6" ht="51">
      <c r="A214" s="54" t="s">
        <v>1604</v>
      </c>
      <c r="B214" s="141" t="s">
        <v>1590</v>
      </c>
      <c r="C214" s="140" t="s">
        <v>1290</v>
      </c>
      <c r="D214" s="140"/>
      <c r="E214" s="224">
        <v>6549776</v>
      </c>
      <c r="F214" s="142">
        <v>6549776</v>
      </c>
    </row>
    <row r="215" spans="1:6">
      <c r="A215" s="54" t="s">
        <v>4</v>
      </c>
      <c r="B215" s="141" t="s">
        <v>1590</v>
      </c>
      <c r="C215" s="140" t="s">
        <v>1290</v>
      </c>
      <c r="D215" s="140" t="s">
        <v>540</v>
      </c>
      <c r="E215" s="224">
        <v>6549776</v>
      </c>
      <c r="F215" s="142">
        <v>6549776</v>
      </c>
    </row>
    <row r="216" spans="1:6" ht="38.25">
      <c r="A216" s="54" t="s">
        <v>445</v>
      </c>
      <c r="B216" s="141" t="s">
        <v>1590</v>
      </c>
      <c r="C216" s="140" t="s">
        <v>446</v>
      </c>
      <c r="D216" s="140"/>
      <c r="E216" s="224">
        <v>6000000</v>
      </c>
      <c r="F216" s="142">
        <v>6000000</v>
      </c>
    </row>
    <row r="217" spans="1:6">
      <c r="A217" s="54" t="s">
        <v>4</v>
      </c>
      <c r="B217" s="141" t="s">
        <v>1590</v>
      </c>
      <c r="C217" s="140" t="s">
        <v>446</v>
      </c>
      <c r="D217" s="140" t="s">
        <v>540</v>
      </c>
      <c r="E217" s="224">
        <v>6000000</v>
      </c>
      <c r="F217" s="142">
        <v>6000000</v>
      </c>
    </row>
    <row r="218" spans="1:6" ht="114.75">
      <c r="A218" s="54" t="s">
        <v>779</v>
      </c>
      <c r="B218" s="141" t="s">
        <v>1596</v>
      </c>
      <c r="C218" s="140"/>
      <c r="D218" s="140"/>
      <c r="E218" s="224">
        <v>613367</v>
      </c>
      <c r="F218" s="142">
        <v>613367</v>
      </c>
    </row>
    <row r="219" spans="1:6">
      <c r="A219" s="54" t="s">
        <v>1603</v>
      </c>
      <c r="B219" s="141" t="s">
        <v>1596</v>
      </c>
      <c r="C219" s="140" t="s">
        <v>460</v>
      </c>
      <c r="D219" s="140"/>
      <c r="E219" s="224">
        <v>471096</v>
      </c>
      <c r="F219" s="142">
        <v>471096</v>
      </c>
    </row>
    <row r="220" spans="1:6">
      <c r="A220" s="54" t="s">
        <v>4</v>
      </c>
      <c r="B220" s="141" t="s">
        <v>1596</v>
      </c>
      <c r="C220" s="140" t="s">
        <v>460</v>
      </c>
      <c r="D220" s="140" t="s">
        <v>540</v>
      </c>
      <c r="E220" s="224">
        <v>471096</v>
      </c>
      <c r="F220" s="142">
        <v>471096</v>
      </c>
    </row>
    <row r="221" spans="1:6" ht="51">
      <c r="A221" s="54" t="s">
        <v>1604</v>
      </c>
      <c r="B221" s="141" t="s">
        <v>1596</v>
      </c>
      <c r="C221" s="140" t="s">
        <v>1290</v>
      </c>
      <c r="D221" s="140"/>
      <c r="E221" s="224">
        <v>142271</v>
      </c>
      <c r="F221" s="142">
        <v>142271</v>
      </c>
    </row>
    <row r="222" spans="1:6">
      <c r="A222" s="54" t="s">
        <v>4</v>
      </c>
      <c r="B222" s="141" t="s">
        <v>1596</v>
      </c>
      <c r="C222" s="140" t="s">
        <v>1290</v>
      </c>
      <c r="D222" s="140" t="s">
        <v>540</v>
      </c>
      <c r="E222" s="224">
        <v>142271</v>
      </c>
      <c r="F222" s="142">
        <v>142271</v>
      </c>
    </row>
    <row r="223" spans="1:6" ht="140.25">
      <c r="A223" s="54" t="s">
        <v>792</v>
      </c>
      <c r="B223" s="141" t="s">
        <v>1591</v>
      </c>
      <c r="C223" s="140"/>
      <c r="D223" s="140"/>
      <c r="E223" s="224">
        <v>1060000</v>
      </c>
      <c r="F223" s="142">
        <v>1060000</v>
      </c>
    </row>
    <row r="224" spans="1:6">
      <c r="A224" s="54" t="s">
        <v>1603</v>
      </c>
      <c r="B224" s="141" t="s">
        <v>1591</v>
      </c>
      <c r="C224" s="140" t="s">
        <v>460</v>
      </c>
      <c r="D224" s="140"/>
      <c r="E224" s="224">
        <v>815000</v>
      </c>
      <c r="F224" s="142">
        <v>815000</v>
      </c>
    </row>
    <row r="225" spans="1:6">
      <c r="A225" s="54" t="s">
        <v>4</v>
      </c>
      <c r="B225" s="141" t="s">
        <v>1591</v>
      </c>
      <c r="C225" s="140" t="s">
        <v>460</v>
      </c>
      <c r="D225" s="140" t="s">
        <v>540</v>
      </c>
      <c r="E225" s="224">
        <v>815000</v>
      </c>
      <c r="F225" s="142">
        <v>815000</v>
      </c>
    </row>
    <row r="226" spans="1:6" ht="51">
      <c r="A226" s="54" t="s">
        <v>1604</v>
      </c>
      <c r="B226" s="141" t="s">
        <v>1591</v>
      </c>
      <c r="C226" s="140" t="s">
        <v>1290</v>
      </c>
      <c r="D226" s="140"/>
      <c r="E226" s="224">
        <v>245000</v>
      </c>
      <c r="F226" s="142">
        <v>245000</v>
      </c>
    </row>
    <row r="227" spans="1:6">
      <c r="A227" s="54" t="s">
        <v>4</v>
      </c>
      <c r="B227" s="141" t="s">
        <v>1591</v>
      </c>
      <c r="C227" s="140" t="s">
        <v>1290</v>
      </c>
      <c r="D227" s="140" t="s">
        <v>540</v>
      </c>
      <c r="E227" s="224">
        <v>245000</v>
      </c>
      <c r="F227" s="142">
        <v>245000</v>
      </c>
    </row>
    <row r="228" spans="1:6" ht="114.75">
      <c r="A228" s="54" t="s">
        <v>780</v>
      </c>
      <c r="B228" s="141" t="s">
        <v>1592</v>
      </c>
      <c r="C228" s="140"/>
      <c r="D228" s="140"/>
      <c r="E228" s="224">
        <v>445000</v>
      </c>
      <c r="F228" s="142">
        <v>445000</v>
      </c>
    </row>
    <row r="229" spans="1:6" ht="25.5">
      <c r="A229" s="54" t="s">
        <v>1617</v>
      </c>
      <c r="B229" s="141" t="s">
        <v>1592</v>
      </c>
      <c r="C229" s="140" t="s">
        <v>509</v>
      </c>
      <c r="D229" s="140"/>
      <c r="E229" s="224">
        <v>445000</v>
      </c>
      <c r="F229" s="142">
        <v>445000</v>
      </c>
    </row>
    <row r="230" spans="1:6">
      <c r="A230" s="54" t="s">
        <v>4</v>
      </c>
      <c r="B230" s="141" t="s">
        <v>1592</v>
      </c>
      <c r="C230" s="140" t="s">
        <v>509</v>
      </c>
      <c r="D230" s="140" t="s">
        <v>540</v>
      </c>
      <c r="E230" s="224">
        <v>445000</v>
      </c>
      <c r="F230" s="142">
        <v>445000</v>
      </c>
    </row>
    <row r="231" spans="1:6" ht="89.25">
      <c r="A231" s="54" t="s">
        <v>781</v>
      </c>
      <c r="B231" s="141" t="s">
        <v>1593</v>
      </c>
      <c r="C231" s="140"/>
      <c r="D231" s="140"/>
      <c r="E231" s="224">
        <v>200000</v>
      </c>
      <c r="F231" s="142">
        <v>200000</v>
      </c>
    </row>
    <row r="232" spans="1:6" ht="38.25">
      <c r="A232" s="54" t="s">
        <v>445</v>
      </c>
      <c r="B232" s="141" t="s">
        <v>1593</v>
      </c>
      <c r="C232" s="140" t="s">
        <v>446</v>
      </c>
      <c r="D232" s="140"/>
      <c r="E232" s="224">
        <v>200000</v>
      </c>
      <c r="F232" s="142">
        <v>200000</v>
      </c>
    </row>
    <row r="233" spans="1:6">
      <c r="A233" s="54" t="s">
        <v>4</v>
      </c>
      <c r="B233" s="141" t="s">
        <v>1593</v>
      </c>
      <c r="C233" s="140" t="s">
        <v>446</v>
      </c>
      <c r="D233" s="140" t="s">
        <v>540</v>
      </c>
      <c r="E233" s="224">
        <v>200000</v>
      </c>
      <c r="F233" s="142">
        <v>200000</v>
      </c>
    </row>
    <row r="234" spans="1:6" ht="76.5">
      <c r="A234" s="54" t="s">
        <v>1192</v>
      </c>
      <c r="B234" s="141" t="s">
        <v>1626</v>
      </c>
      <c r="C234" s="140"/>
      <c r="D234" s="140"/>
      <c r="E234" s="224">
        <v>1142000</v>
      </c>
      <c r="F234" s="142">
        <v>1142000</v>
      </c>
    </row>
    <row r="235" spans="1:6" ht="38.25">
      <c r="A235" s="54" t="s">
        <v>445</v>
      </c>
      <c r="B235" s="141" t="s">
        <v>1626</v>
      </c>
      <c r="C235" s="140" t="s">
        <v>446</v>
      </c>
      <c r="D235" s="140"/>
      <c r="E235" s="224">
        <v>1142000</v>
      </c>
      <c r="F235" s="142">
        <v>1142000</v>
      </c>
    </row>
    <row r="236" spans="1:6">
      <c r="A236" s="54" t="s">
        <v>4</v>
      </c>
      <c r="B236" s="141" t="s">
        <v>1626</v>
      </c>
      <c r="C236" s="140" t="s">
        <v>446</v>
      </c>
      <c r="D236" s="140" t="s">
        <v>540</v>
      </c>
      <c r="E236" s="224">
        <v>1142000</v>
      </c>
      <c r="F236" s="142">
        <v>1142000</v>
      </c>
    </row>
    <row r="237" spans="1:6" ht="102">
      <c r="A237" s="54" t="s">
        <v>782</v>
      </c>
      <c r="B237" s="141" t="s">
        <v>1594</v>
      </c>
      <c r="C237" s="140"/>
      <c r="D237" s="140"/>
      <c r="E237" s="224">
        <v>4450930</v>
      </c>
      <c r="F237" s="142">
        <v>4450930</v>
      </c>
    </row>
    <row r="238" spans="1:6" ht="25.5">
      <c r="A238" s="54" t="s">
        <v>1165</v>
      </c>
      <c r="B238" s="141" t="s">
        <v>1594</v>
      </c>
      <c r="C238" s="140" t="s">
        <v>440</v>
      </c>
      <c r="D238" s="140"/>
      <c r="E238" s="224">
        <v>3198410</v>
      </c>
      <c r="F238" s="142">
        <v>3198410</v>
      </c>
    </row>
    <row r="239" spans="1:6">
      <c r="A239" s="54" t="s">
        <v>4</v>
      </c>
      <c r="B239" s="141" t="s">
        <v>1594</v>
      </c>
      <c r="C239" s="140" t="s">
        <v>440</v>
      </c>
      <c r="D239" s="140" t="s">
        <v>540</v>
      </c>
      <c r="E239" s="224">
        <v>3198410</v>
      </c>
      <c r="F239" s="142">
        <v>3198410</v>
      </c>
    </row>
    <row r="240" spans="1:6" ht="51">
      <c r="A240" s="54" t="s">
        <v>441</v>
      </c>
      <c r="B240" s="141" t="s">
        <v>1594</v>
      </c>
      <c r="C240" s="140" t="s">
        <v>442</v>
      </c>
      <c r="D240" s="140"/>
      <c r="E240" s="224">
        <v>140000</v>
      </c>
      <c r="F240" s="142">
        <v>140000</v>
      </c>
    </row>
    <row r="241" spans="1:6">
      <c r="A241" s="54" t="s">
        <v>4</v>
      </c>
      <c r="B241" s="141" t="s">
        <v>1594</v>
      </c>
      <c r="C241" s="140" t="s">
        <v>442</v>
      </c>
      <c r="D241" s="140" t="s">
        <v>540</v>
      </c>
      <c r="E241" s="224">
        <v>140000</v>
      </c>
      <c r="F241" s="142">
        <v>140000</v>
      </c>
    </row>
    <row r="242" spans="1:6" ht="63.75">
      <c r="A242" s="54" t="s">
        <v>1288</v>
      </c>
      <c r="B242" s="141" t="s">
        <v>1594</v>
      </c>
      <c r="C242" s="140" t="s">
        <v>1289</v>
      </c>
      <c r="D242" s="140"/>
      <c r="E242" s="224">
        <v>965920</v>
      </c>
      <c r="F242" s="142">
        <v>965920</v>
      </c>
    </row>
    <row r="243" spans="1:6">
      <c r="A243" s="54" t="s">
        <v>4</v>
      </c>
      <c r="B243" s="141" t="s">
        <v>1594</v>
      </c>
      <c r="C243" s="140" t="s">
        <v>1289</v>
      </c>
      <c r="D243" s="140" t="s">
        <v>540</v>
      </c>
      <c r="E243" s="224">
        <v>965920</v>
      </c>
      <c r="F243" s="142">
        <v>965920</v>
      </c>
    </row>
    <row r="244" spans="1:6" ht="38.25">
      <c r="A244" s="216" t="s">
        <v>445</v>
      </c>
      <c r="B244" s="141" t="s">
        <v>1594</v>
      </c>
      <c r="C244" s="140" t="s">
        <v>446</v>
      </c>
      <c r="D244" s="140"/>
      <c r="E244" s="224">
        <v>146600</v>
      </c>
      <c r="F244" s="142">
        <v>146600</v>
      </c>
    </row>
    <row r="245" spans="1:6">
      <c r="A245" s="54" t="s">
        <v>4</v>
      </c>
      <c r="B245" s="141" t="s">
        <v>1594</v>
      </c>
      <c r="C245" s="140" t="s">
        <v>446</v>
      </c>
      <c r="D245" s="140" t="s">
        <v>540</v>
      </c>
      <c r="E245" s="224">
        <v>146600</v>
      </c>
      <c r="F245" s="142">
        <v>146600</v>
      </c>
    </row>
    <row r="246" spans="1:6" ht="127.5">
      <c r="A246" s="54" t="s">
        <v>783</v>
      </c>
      <c r="B246" s="141" t="s">
        <v>1595</v>
      </c>
      <c r="C246" s="140"/>
      <c r="D246" s="140"/>
      <c r="E246" s="224">
        <v>207300</v>
      </c>
      <c r="F246" s="142">
        <v>207300</v>
      </c>
    </row>
    <row r="247" spans="1:6" ht="51">
      <c r="A247" s="54" t="s">
        <v>441</v>
      </c>
      <c r="B247" s="141" t="s">
        <v>1595</v>
      </c>
      <c r="C247" s="140" t="s">
        <v>442</v>
      </c>
      <c r="D247" s="140"/>
      <c r="E247" s="224">
        <v>207300</v>
      </c>
      <c r="F247" s="142">
        <v>207300</v>
      </c>
    </row>
    <row r="248" spans="1:6">
      <c r="A248" s="54" t="s">
        <v>4</v>
      </c>
      <c r="B248" s="141" t="s">
        <v>1595</v>
      </c>
      <c r="C248" s="140" t="s">
        <v>442</v>
      </c>
      <c r="D248" s="140" t="s">
        <v>540</v>
      </c>
      <c r="E248" s="224">
        <v>207300</v>
      </c>
      <c r="F248" s="142">
        <v>207300</v>
      </c>
    </row>
    <row r="249" spans="1:6" ht="89.25">
      <c r="A249" s="54" t="s">
        <v>776</v>
      </c>
      <c r="B249" s="141" t="s">
        <v>1588</v>
      </c>
      <c r="C249" s="140"/>
      <c r="D249" s="140"/>
      <c r="E249" s="224">
        <v>62450</v>
      </c>
      <c r="F249" s="142">
        <v>62450</v>
      </c>
    </row>
    <row r="250" spans="1:6">
      <c r="A250" s="54" t="s">
        <v>1603</v>
      </c>
      <c r="B250" s="141" t="s">
        <v>1588</v>
      </c>
      <c r="C250" s="140" t="s">
        <v>460</v>
      </c>
      <c r="D250" s="140"/>
      <c r="E250" s="224">
        <v>45315</v>
      </c>
      <c r="F250" s="142">
        <v>45315</v>
      </c>
    </row>
    <row r="251" spans="1:6">
      <c r="A251" s="54" t="s">
        <v>1440</v>
      </c>
      <c r="B251" s="141" t="s">
        <v>1588</v>
      </c>
      <c r="C251" s="140" t="s">
        <v>460</v>
      </c>
      <c r="D251" s="140" t="s">
        <v>483</v>
      </c>
      <c r="E251" s="224">
        <v>45315</v>
      </c>
      <c r="F251" s="142">
        <v>45315</v>
      </c>
    </row>
    <row r="252" spans="1:6" ht="51">
      <c r="A252" s="54" t="s">
        <v>1604</v>
      </c>
      <c r="B252" s="159" t="s">
        <v>1588</v>
      </c>
      <c r="C252" s="140" t="s">
        <v>1290</v>
      </c>
      <c r="D252" s="140"/>
      <c r="E252" s="224">
        <v>13685</v>
      </c>
      <c r="F252" s="142">
        <v>13685</v>
      </c>
    </row>
    <row r="253" spans="1:6">
      <c r="A253" s="54" t="s">
        <v>1440</v>
      </c>
      <c r="B253" s="159" t="s">
        <v>1588</v>
      </c>
      <c r="C253" s="140" t="s">
        <v>1290</v>
      </c>
      <c r="D253" s="140" t="s">
        <v>483</v>
      </c>
      <c r="E253" s="224">
        <v>13685</v>
      </c>
      <c r="F253" s="142">
        <v>13685</v>
      </c>
    </row>
    <row r="254" spans="1:6" ht="38.25">
      <c r="A254" s="54" t="s">
        <v>445</v>
      </c>
      <c r="B254" s="159" t="s">
        <v>1588</v>
      </c>
      <c r="C254" s="140" t="s">
        <v>446</v>
      </c>
      <c r="D254" s="140"/>
      <c r="E254" s="224">
        <v>3450</v>
      </c>
      <c r="F254" s="142">
        <v>3450</v>
      </c>
    </row>
    <row r="255" spans="1:6">
      <c r="A255" s="54" t="s">
        <v>1440</v>
      </c>
      <c r="B255" s="159" t="s">
        <v>1588</v>
      </c>
      <c r="C255" s="140" t="s">
        <v>446</v>
      </c>
      <c r="D255" s="140" t="s">
        <v>483</v>
      </c>
      <c r="E255" s="224">
        <v>3450</v>
      </c>
      <c r="F255" s="142">
        <v>3450</v>
      </c>
    </row>
    <row r="256" spans="1:6" ht="114.75">
      <c r="A256" s="54" t="s">
        <v>777</v>
      </c>
      <c r="B256" s="159" t="s">
        <v>1589</v>
      </c>
      <c r="C256" s="140"/>
      <c r="D256" s="140"/>
      <c r="E256" s="224">
        <v>194350</v>
      </c>
      <c r="F256" s="142">
        <v>194350</v>
      </c>
    </row>
    <row r="257" spans="1:6" ht="38.25">
      <c r="A257" s="54" t="s">
        <v>445</v>
      </c>
      <c r="B257" s="159" t="s">
        <v>1589</v>
      </c>
      <c r="C257" s="140" t="s">
        <v>446</v>
      </c>
      <c r="D257" s="140"/>
      <c r="E257" s="224">
        <v>194350</v>
      </c>
      <c r="F257" s="142">
        <v>194350</v>
      </c>
    </row>
    <row r="258" spans="1:6">
      <c r="A258" s="54" t="s">
        <v>1440</v>
      </c>
      <c r="B258" s="159" t="s">
        <v>1589</v>
      </c>
      <c r="C258" s="140" t="s">
        <v>446</v>
      </c>
      <c r="D258" s="140" t="s">
        <v>483</v>
      </c>
      <c r="E258" s="224">
        <v>194350</v>
      </c>
      <c r="F258" s="142">
        <v>194350</v>
      </c>
    </row>
    <row r="259" spans="1:6" ht="38.25">
      <c r="A259" s="54" t="s">
        <v>752</v>
      </c>
      <c r="B259" s="159" t="s">
        <v>1200</v>
      </c>
      <c r="C259" s="140"/>
      <c r="D259" s="140"/>
      <c r="E259" s="224">
        <v>56869646</v>
      </c>
      <c r="F259" s="142">
        <v>56869646</v>
      </c>
    </row>
    <row r="260" spans="1:6" ht="51">
      <c r="A260" s="54" t="s">
        <v>753</v>
      </c>
      <c r="B260" s="141" t="s">
        <v>1201</v>
      </c>
      <c r="C260" s="140"/>
      <c r="D260" s="140"/>
      <c r="E260" s="224">
        <v>960846</v>
      </c>
      <c r="F260" s="142">
        <v>960846</v>
      </c>
    </row>
    <row r="261" spans="1:6" ht="127.5">
      <c r="A261" s="54" t="s">
        <v>632</v>
      </c>
      <c r="B261" s="159" t="s">
        <v>896</v>
      </c>
      <c r="C261" s="140"/>
      <c r="D261" s="140"/>
      <c r="E261" s="224">
        <v>960846</v>
      </c>
      <c r="F261" s="142">
        <v>960846</v>
      </c>
    </row>
    <row r="262" spans="1:6" ht="25.5">
      <c r="A262" s="54" t="s">
        <v>494</v>
      </c>
      <c r="B262" s="159" t="s">
        <v>896</v>
      </c>
      <c r="C262" s="140" t="s">
        <v>495</v>
      </c>
      <c r="D262" s="140"/>
      <c r="E262" s="224">
        <v>960846</v>
      </c>
      <c r="F262" s="142">
        <v>960846</v>
      </c>
    </row>
    <row r="263" spans="1:6">
      <c r="A263" s="54" t="s">
        <v>125</v>
      </c>
      <c r="B263" s="159" t="s">
        <v>896</v>
      </c>
      <c r="C263" s="140" t="s">
        <v>495</v>
      </c>
      <c r="D263" s="140" t="s">
        <v>493</v>
      </c>
      <c r="E263" s="224">
        <v>960846</v>
      </c>
      <c r="F263" s="142">
        <v>960846</v>
      </c>
    </row>
    <row r="264" spans="1:6" ht="25.5">
      <c r="A264" s="54" t="s">
        <v>754</v>
      </c>
      <c r="B264" s="159" t="s">
        <v>1202</v>
      </c>
      <c r="C264" s="140"/>
      <c r="D264" s="140"/>
      <c r="E264" s="224">
        <v>337500</v>
      </c>
      <c r="F264" s="142">
        <v>337500</v>
      </c>
    </row>
    <row r="265" spans="1:6" ht="114.75">
      <c r="A265" s="54" t="s">
        <v>1309</v>
      </c>
      <c r="B265" s="159" t="s">
        <v>1310</v>
      </c>
      <c r="C265" s="140"/>
      <c r="D265" s="140"/>
      <c r="E265" s="224">
        <v>337500</v>
      </c>
      <c r="F265" s="142">
        <v>337500</v>
      </c>
    </row>
    <row r="266" spans="1:6" ht="38.25">
      <c r="A266" s="54" t="s">
        <v>445</v>
      </c>
      <c r="B266" s="159" t="s">
        <v>1310</v>
      </c>
      <c r="C266" s="140" t="s">
        <v>446</v>
      </c>
      <c r="D266" s="140"/>
      <c r="E266" s="224">
        <v>337500</v>
      </c>
      <c r="F266" s="142">
        <v>337500</v>
      </c>
    </row>
    <row r="267" spans="1:6">
      <c r="A267" s="54" t="s">
        <v>127</v>
      </c>
      <c r="B267" s="159" t="s">
        <v>1310</v>
      </c>
      <c r="C267" s="140" t="s">
        <v>446</v>
      </c>
      <c r="D267" s="140" t="s">
        <v>496</v>
      </c>
      <c r="E267" s="224">
        <v>337500</v>
      </c>
      <c r="F267" s="142">
        <v>337500</v>
      </c>
    </row>
    <row r="268" spans="1:6" ht="38.25">
      <c r="A268" s="54" t="s">
        <v>577</v>
      </c>
      <c r="B268" s="159" t="s">
        <v>1203</v>
      </c>
      <c r="C268" s="140"/>
      <c r="D268" s="140"/>
      <c r="E268" s="224">
        <v>38038600</v>
      </c>
      <c r="F268" s="142">
        <v>38038600</v>
      </c>
    </row>
    <row r="269" spans="1:6" ht="102">
      <c r="A269" s="54" t="s">
        <v>636</v>
      </c>
      <c r="B269" s="159" t="s">
        <v>908</v>
      </c>
      <c r="C269" s="140"/>
      <c r="D269" s="140"/>
      <c r="E269" s="224">
        <v>38038600</v>
      </c>
      <c r="F269" s="142">
        <v>38038600</v>
      </c>
    </row>
    <row r="270" spans="1:6" ht="76.5">
      <c r="A270" s="54" t="s">
        <v>465</v>
      </c>
      <c r="B270" s="159" t="s">
        <v>908</v>
      </c>
      <c r="C270" s="140" t="s">
        <v>466</v>
      </c>
      <c r="D270" s="140"/>
      <c r="E270" s="224">
        <v>38038600</v>
      </c>
      <c r="F270" s="142">
        <v>38038600</v>
      </c>
    </row>
    <row r="271" spans="1:6">
      <c r="A271" s="54" t="s">
        <v>126</v>
      </c>
      <c r="B271" s="159" t="s">
        <v>908</v>
      </c>
      <c r="C271" s="140" t="s">
        <v>466</v>
      </c>
      <c r="D271" s="140" t="s">
        <v>513</v>
      </c>
      <c r="E271" s="224">
        <v>38038600</v>
      </c>
      <c r="F271" s="142">
        <v>38038600</v>
      </c>
    </row>
    <row r="272" spans="1:6" ht="102">
      <c r="A272" s="54" t="s">
        <v>755</v>
      </c>
      <c r="B272" s="159" t="s">
        <v>1204</v>
      </c>
      <c r="C272" s="140"/>
      <c r="D272" s="140"/>
      <c r="E272" s="224">
        <v>17532700</v>
      </c>
      <c r="F272" s="142">
        <v>17532700</v>
      </c>
    </row>
    <row r="273" spans="1:6" ht="178.5">
      <c r="A273" s="54" t="s">
        <v>730</v>
      </c>
      <c r="B273" s="159" t="s">
        <v>910</v>
      </c>
      <c r="C273" s="140"/>
      <c r="D273" s="140"/>
      <c r="E273" s="224">
        <v>17532700</v>
      </c>
      <c r="F273" s="142">
        <v>17532700</v>
      </c>
    </row>
    <row r="274" spans="1:6" ht="25.5">
      <c r="A274" s="54" t="s">
        <v>1165</v>
      </c>
      <c r="B274" s="159" t="s">
        <v>910</v>
      </c>
      <c r="C274" s="140" t="s">
        <v>440</v>
      </c>
      <c r="D274" s="140"/>
      <c r="E274" s="224">
        <v>11608100</v>
      </c>
      <c r="F274" s="142">
        <v>11608100</v>
      </c>
    </row>
    <row r="275" spans="1:6" ht="25.5">
      <c r="A275" s="54" t="s">
        <v>81</v>
      </c>
      <c r="B275" s="159" t="s">
        <v>910</v>
      </c>
      <c r="C275" s="140" t="s">
        <v>440</v>
      </c>
      <c r="D275" s="140" t="s">
        <v>514</v>
      </c>
      <c r="E275" s="224">
        <v>11608100</v>
      </c>
      <c r="F275" s="142">
        <v>11608100</v>
      </c>
    </row>
    <row r="276" spans="1:6" ht="51">
      <c r="A276" s="54" t="s">
        <v>441</v>
      </c>
      <c r="B276" s="159" t="s">
        <v>910</v>
      </c>
      <c r="C276" s="54" t="s">
        <v>442</v>
      </c>
      <c r="D276" s="54"/>
      <c r="E276" s="224">
        <v>161900</v>
      </c>
      <c r="F276" s="142">
        <v>161900</v>
      </c>
    </row>
    <row r="277" spans="1:6" ht="25.5">
      <c r="A277" s="54" t="s">
        <v>81</v>
      </c>
      <c r="B277" s="159" t="s">
        <v>910</v>
      </c>
      <c r="C277" s="54" t="s">
        <v>442</v>
      </c>
      <c r="D277" s="54" t="s">
        <v>514</v>
      </c>
      <c r="E277" s="224">
        <v>161900</v>
      </c>
      <c r="F277" s="142">
        <v>161900</v>
      </c>
    </row>
    <row r="278" spans="1:6" ht="63.75">
      <c r="A278" s="54" t="s">
        <v>1288</v>
      </c>
      <c r="B278" s="159" t="s">
        <v>910</v>
      </c>
      <c r="C278" s="54" t="s">
        <v>1289</v>
      </c>
      <c r="D278" s="54"/>
      <c r="E278" s="224">
        <v>3505600</v>
      </c>
      <c r="F278" s="142">
        <v>3505600</v>
      </c>
    </row>
    <row r="279" spans="1:6" ht="25.5">
      <c r="A279" s="54" t="s">
        <v>81</v>
      </c>
      <c r="B279" s="159" t="s">
        <v>910</v>
      </c>
      <c r="C279" s="54" t="s">
        <v>1289</v>
      </c>
      <c r="D279" s="54" t="s">
        <v>514</v>
      </c>
      <c r="E279" s="224">
        <v>3505600</v>
      </c>
      <c r="F279" s="142">
        <v>3505600</v>
      </c>
    </row>
    <row r="280" spans="1:6" ht="38.25">
      <c r="A280" s="54" t="s">
        <v>445</v>
      </c>
      <c r="B280" s="159" t="s">
        <v>910</v>
      </c>
      <c r="C280" s="54" t="s">
        <v>446</v>
      </c>
      <c r="D280" s="54"/>
      <c r="E280" s="224">
        <v>2257100</v>
      </c>
      <c r="F280" s="142">
        <v>2257100</v>
      </c>
    </row>
    <row r="281" spans="1:6" ht="25.5">
      <c r="A281" s="54" t="s">
        <v>81</v>
      </c>
      <c r="B281" s="159" t="s">
        <v>910</v>
      </c>
      <c r="C281" s="54" t="s">
        <v>446</v>
      </c>
      <c r="D281" s="54" t="s">
        <v>514</v>
      </c>
      <c r="E281" s="224">
        <v>2257100</v>
      </c>
      <c r="F281" s="142">
        <v>2257100</v>
      </c>
    </row>
    <row r="282" spans="1:6" ht="63.75">
      <c r="A282" s="54" t="s">
        <v>579</v>
      </c>
      <c r="B282" s="159" t="s">
        <v>1205</v>
      </c>
      <c r="C282" s="54"/>
      <c r="D282" s="54"/>
      <c r="E282" s="224">
        <v>213359900</v>
      </c>
      <c r="F282" s="142">
        <v>213359900</v>
      </c>
    </row>
    <row r="283" spans="1:6" ht="51">
      <c r="A283" s="54" t="s">
        <v>756</v>
      </c>
      <c r="B283" s="159" t="s">
        <v>1206</v>
      </c>
      <c r="C283" s="54"/>
      <c r="D283" s="54"/>
      <c r="E283" s="224">
        <v>212649900</v>
      </c>
      <c r="F283" s="142">
        <v>212649900</v>
      </c>
    </row>
    <row r="284" spans="1:6" ht="140.25">
      <c r="A284" s="54" t="s">
        <v>1742</v>
      </c>
      <c r="B284" s="159" t="s">
        <v>888</v>
      </c>
      <c r="C284" s="54"/>
      <c r="D284" s="54"/>
      <c r="E284" s="224">
        <v>192759900</v>
      </c>
      <c r="F284" s="142">
        <v>192759900</v>
      </c>
    </row>
    <row r="285" spans="1:6">
      <c r="A285" s="54" t="s">
        <v>1603</v>
      </c>
      <c r="B285" s="159" t="s">
        <v>888</v>
      </c>
      <c r="C285" s="54" t="s">
        <v>460</v>
      </c>
      <c r="D285" s="54"/>
      <c r="E285" s="224">
        <v>936845</v>
      </c>
      <c r="F285" s="142">
        <v>936845</v>
      </c>
    </row>
    <row r="286" spans="1:6">
      <c r="A286" s="54" t="s">
        <v>181</v>
      </c>
      <c r="B286" s="159" t="s">
        <v>888</v>
      </c>
      <c r="C286" s="54" t="s">
        <v>460</v>
      </c>
      <c r="D286" s="54" t="s">
        <v>482</v>
      </c>
      <c r="E286" s="224">
        <v>936845</v>
      </c>
      <c r="F286" s="142">
        <v>936845</v>
      </c>
    </row>
    <row r="287" spans="1:6" ht="51">
      <c r="A287" s="160" t="s">
        <v>1604</v>
      </c>
      <c r="B287" s="141" t="s">
        <v>888</v>
      </c>
      <c r="C287" s="191" t="s">
        <v>1290</v>
      </c>
      <c r="D287" s="191"/>
      <c r="E287" s="224">
        <v>282933</v>
      </c>
      <c r="F287" s="142">
        <v>282933</v>
      </c>
    </row>
    <row r="288" spans="1:6">
      <c r="A288" s="54" t="s">
        <v>181</v>
      </c>
      <c r="B288" s="141" t="s">
        <v>888</v>
      </c>
      <c r="C288" s="191" t="s">
        <v>1290</v>
      </c>
      <c r="D288" s="191" t="s">
        <v>482</v>
      </c>
      <c r="E288" s="224">
        <v>282933</v>
      </c>
      <c r="F288" s="142">
        <v>282933</v>
      </c>
    </row>
    <row r="289" spans="1:6" ht="38.25">
      <c r="A289" s="54" t="s">
        <v>445</v>
      </c>
      <c r="B289" s="141" t="s">
        <v>888</v>
      </c>
      <c r="C289" s="191" t="s">
        <v>446</v>
      </c>
      <c r="D289" s="191"/>
      <c r="E289" s="224">
        <v>575434</v>
      </c>
      <c r="F289" s="142">
        <v>575434</v>
      </c>
    </row>
    <row r="290" spans="1:6">
      <c r="A290" s="54" t="s">
        <v>181</v>
      </c>
      <c r="B290" s="141" t="s">
        <v>888</v>
      </c>
      <c r="C290" s="191" t="s">
        <v>446</v>
      </c>
      <c r="D290" s="191" t="s">
        <v>482</v>
      </c>
      <c r="E290" s="224">
        <v>575434</v>
      </c>
      <c r="F290" s="142">
        <v>575434</v>
      </c>
    </row>
    <row r="291" spans="1:6" ht="63.75">
      <c r="A291" s="54" t="s">
        <v>1740</v>
      </c>
      <c r="B291" s="141" t="s">
        <v>888</v>
      </c>
      <c r="C291" s="191" t="s">
        <v>1741</v>
      </c>
      <c r="D291" s="191"/>
      <c r="E291" s="224">
        <v>190914098</v>
      </c>
      <c r="F291" s="142">
        <v>190914098</v>
      </c>
    </row>
    <row r="292" spans="1:6">
      <c r="A292" s="216" t="s">
        <v>181</v>
      </c>
      <c r="B292" s="141" t="s">
        <v>888</v>
      </c>
      <c r="C292" s="191" t="s">
        <v>1741</v>
      </c>
      <c r="D292" s="191" t="s">
        <v>482</v>
      </c>
      <c r="E292" s="224">
        <v>190914098</v>
      </c>
      <c r="F292" s="142">
        <v>190914098</v>
      </c>
    </row>
    <row r="293" spans="1:6">
      <c r="A293" s="54" t="s">
        <v>1168</v>
      </c>
      <c r="B293" s="159" t="s">
        <v>888</v>
      </c>
      <c r="C293" s="54" t="s">
        <v>626</v>
      </c>
      <c r="D293" s="54"/>
      <c r="E293" s="224">
        <v>50280</v>
      </c>
      <c r="F293" s="142">
        <v>50280</v>
      </c>
    </row>
    <row r="294" spans="1:6">
      <c r="A294" s="54" t="s">
        <v>181</v>
      </c>
      <c r="B294" s="159" t="s">
        <v>888</v>
      </c>
      <c r="C294" s="54" t="s">
        <v>626</v>
      </c>
      <c r="D294" s="54" t="s">
        <v>482</v>
      </c>
      <c r="E294" s="224">
        <v>50280</v>
      </c>
      <c r="F294" s="142">
        <v>50280</v>
      </c>
    </row>
    <row r="295" spans="1:6">
      <c r="A295" s="54" t="s">
        <v>1293</v>
      </c>
      <c r="B295" s="159" t="s">
        <v>888</v>
      </c>
      <c r="C295" s="54" t="s">
        <v>1294</v>
      </c>
      <c r="D295" s="54"/>
      <c r="E295" s="224">
        <v>310</v>
      </c>
      <c r="F295" s="142">
        <v>310</v>
      </c>
    </row>
    <row r="296" spans="1:6">
      <c r="A296" s="54" t="s">
        <v>181</v>
      </c>
      <c r="B296" s="159" t="s">
        <v>888</v>
      </c>
      <c r="C296" s="54" t="s">
        <v>1294</v>
      </c>
      <c r="D296" s="54" t="s">
        <v>482</v>
      </c>
      <c r="E296" s="224">
        <v>310</v>
      </c>
      <c r="F296" s="142">
        <v>310</v>
      </c>
    </row>
    <row r="297" spans="1:6" ht="216.75">
      <c r="A297" s="54" t="s">
        <v>1743</v>
      </c>
      <c r="B297" s="159" t="s">
        <v>887</v>
      </c>
      <c r="C297" s="54"/>
      <c r="D297" s="54"/>
      <c r="E297" s="224">
        <v>19890000</v>
      </c>
      <c r="F297" s="142">
        <v>19890000</v>
      </c>
    </row>
    <row r="298" spans="1:6" ht="63.75">
      <c r="A298" s="216" t="s">
        <v>1740</v>
      </c>
      <c r="B298" s="159" t="s">
        <v>887</v>
      </c>
      <c r="C298" s="54" t="s">
        <v>1741</v>
      </c>
      <c r="D298" s="54"/>
      <c r="E298" s="224">
        <v>19890000</v>
      </c>
      <c r="F298" s="142">
        <v>19890000</v>
      </c>
    </row>
    <row r="299" spans="1:6">
      <c r="A299" s="54" t="s">
        <v>181</v>
      </c>
      <c r="B299" s="159" t="s">
        <v>887</v>
      </c>
      <c r="C299" s="54" t="s">
        <v>1741</v>
      </c>
      <c r="D299" s="54" t="s">
        <v>482</v>
      </c>
      <c r="E299" s="224">
        <v>19890000</v>
      </c>
      <c r="F299" s="142">
        <v>19890000</v>
      </c>
    </row>
    <row r="300" spans="1:6" ht="63.75">
      <c r="A300" s="54" t="s">
        <v>757</v>
      </c>
      <c r="B300" s="159" t="s">
        <v>1207</v>
      </c>
      <c r="C300" s="54"/>
      <c r="D300" s="54"/>
      <c r="E300" s="224">
        <v>110000</v>
      </c>
      <c r="F300" s="142">
        <v>110000</v>
      </c>
    </row>
    <row r="301" spans="1:6" ht="127.5">
      <c r="A301" s="54" t="s">
        <v>658</v>
      </c>
      <c r="B301" s="159" t="s">
        <v>946</v>
      </c>
      <c r="C301" s="54"/>
      <c r="D301" s="54"/>
      <c r="E301" s="224">
        <v>110000</v>
      </c>
      <c r="F301" s="142">
        <v>110000</v>
      </c>
    </row>
    <row r="302" spans="1:6" ht="38.25">
      <c r="A302" s="54" t="s">
        <v>445</v>
      </c>
      <c r="B302" s="159" t="s">
        <v>946</v>
      </c>
      <c r="C302" s="54" t="s">
        <v>446</v>
      </c>
      <c r="D302" s="54"/>
      <c r="E302" s="224">
        <v>110000</v>
      </c>
      <c r="F302" s="142">
        <v>110000</v>
      </c>
    </row>
    <row r="303" spans="1:6">
      <c r="A303" s="54" t="s">
        <v>3</v>
      </c>
      <c r="B303" s="159" t="s">
        <v>946</v>
      </c>
      <c r="C303" s="54" t="s">
        <v>446</v>
      </c>
      <c r="D303" s="54" t="s">
        <v>504</v>
      </c>
      <c r="E303" s="224">
        <v>110000</v>
      </c>
      <c r="F303" s="142">
        <v>110000</v>
      </c>
    </row>
    <row r="304" spans="1:6" ht="25.5">
      <c r="A304" s="216" t="s">
        <v>1033</v>
      </c>
      <c r="B304" s="159" t="s">
        <v>1297</v>
      </c>
      <c r="C304" s="54"/>
      <c r="D304" s="54"/>
      <c r="E304" s="224">
        <v>600000</v>
      </c>
      <c r="F304" s="142">
        <v>600000</v>
      </c>
    </row>
    <row r="305" spans="1:6" ht="102">
      <c r="A305" s="54" t="s">
        <v>1158</v>
      </c>
      <c r="B305" s="159" t="s">
        <v>1014</v>
      </c>
      <c r="C305" s="54"/>
      <c r="D305" s="54"/>
      <c r="E305" s="224">
        <v>600000</v>
      </c>
      <c r="F305" s="142">
        <v>600000</v>
      </c>
    </row>
    <row r="306" spans="1:6" ht="38.25">
      <c r="A306" s="54" t="s">
        <v>445</v>
      </c>
      <c r="B306" s="159" t="s">
        <v>1014</v>
      </c>
      <c r="C306" s="54" t="s">
        <v>446</v>
      </c>
      <c r="D306" s="54"/>
      <c r="E306" s="224">
        <v>600000</v>
      </c>
      <c r="F306" s="142">
        <v>600000</v>
      </c>
    </row>
    <row r="307" spans="1:6">
      <c r="A307" s="54" t="s">
        <v>45</v>
      </c>
      <c r="B307" s="159" t="s">
        <v>1014</v>
      </c>
      <c r="C307" s="54" t="s">
        <v>446</v>
      </c>
      <c r="D307" s="54" t="s">
        <v>506</v>
      </c>
      <c r="E307" s="224">
        <v>600000</v>
      </c>
      <c r="F307" s="142">
        <v>600000</v>
      </c>
    </row>
    <row r="308" spans="1:6" ht="51">
      <c r="A308" s="54" t="s">
        <v>583</v>
      </c>
      <c r="B308" s="159" t="s">
        <v>1209</v>
      </c>
      <c r="C308" s="54"/>
      <c r="D308" s="54"/>
      <c r="E308" s="224">
        <v>24752963</v>
      </c>
      <c r="F308" s="142">
        <v>24752963</v>
      </c>
    </row>
    <row r="309" spans="1:6" ht="89.25">
      <c r="A309" s="54" t="s">
        <v>584</v>
      </c>
      <c r="B309" s="159" t="s">
        <v>1210</v>
      </c>
      <c r="C309" s="54"/>
      <c r="D309" s="54"/>
      <c r="E309" s="224">
        <v>2548363</v>
      </c>
      <c r="F309" s="142">
        <v>2548363</v>
      </c>
    </row>
    <row r="310" spans="1:6" ht="165.75">
      <c r="A310" s="54" t="s">
        <v>459</v>
      </c>
      <c r="B310" s="159" t="s">
        <v>865</v>
      </c>
      <c r="C310" s="54"/>
      <c r="D310" s="54"/>
      <c r="E310" s="224">
        <v>2451500</v>
      </c>
      <c r="F310" s="142">
        <v>2451500</v>
      </c>
    </row>
    <row r="311" spans="1:6">
      <c r="A311" s="54" t="s">
        <v>1603</v>
      </c>
      <c r="B311" s="159" t="s">
        <v>865</v>
      </c>
      <c r="C311" s="54" t="s">
        <v>460</v>
      </c>
      <c r="D311" s="54"/>
      <c r="E311" s="224">
        <v>1882897</v>
      </c>
      <c r="F311" s="142">
        <v>1882897</v>
      </c>
    </row>
    <row r="312" spans="1:6" ht="51">
      <c r="A312" s="54" t="s">
        <v>311</v>
      </c>
      <c r="B312" s="159" t="s">
        <v>865</v>
      </c>
      <c r="C312" s="54" t="s">
        <v>460</v>
      </c>
      <c r="D312" s="54" t="s">
        <v>458</v>
      </c>
      <c r="E312" s="224">
        <v>1882897</v>
      </c>
      <c r="F312" s="142">
        <v>1882897</v>
      </c>
    </row>
    <row r="313" spans="1:6" ht="51">
      <c r="A313" s="54" t="s">
        <v>1604</v>
      </c>
      <c r="B313" s="159" t="s">
        <v>865</v>
      </c>
      <c r="C313" s="54" t="s">
        <v>1290</v>
      </c>
      <c r="D313" s="54"/>
      <c r="E313" s="224">
        <v>568603</v>
      </c>
      <c r="F313" s="142">
        <v>568603</v>
      </c>
    </row>
    <row r="314" spans="1:6" ht="51">
      <c r="A314" s="54" t="s">
        <v>311</v>
      </c>
      <c r="B314" s="159" t="s">
        <v>865</v>
      </c>
      <c r="C314" s="54" t="s">
        <v>1290</v>
      </c>
      <c r="D314" s="54" t="s">
        <v>458</v>
      </c>
      <c r="E314" s="224">
        <v>568603</v>
      </c>
      <c r="F314" s="142">
        <v>568603</v>
      </c>
    </row>
    <row r="315" spans="1:6" ht="204">
      <c r="A315" s="54" t="s">
        <v>797</v>
      </c>
      <c r="B315" s="159" t="s">
        <v>866</v>
      </c>
      <c r="C315" s="54"/>
      <c r="D315" s="54"/>
      <c r="E315" s="224">
        <v>96863</v>
      </c>
      <c r="F315" s="142">
        <v>96863</v>
      </c>
    </row>
    <row r="316" spans="1:6">
      <c r="A316" s="216" t="s">
        <v>1603</v>
      </c>
      <c r="B316" s="159" t="s">
        <v>866</v>
      </c>
      <c r="C316" s="54" t="s">
        <v>460</v>
      </c>
      <c r="D316" s="54"/>
      <c r="E316" s="224">
        <v>74396</v>
      </c>
      <c r="F316" s="142">
        <v>74396</v>
      </c>
    </row>
    <row r="317" spans="1:6" ht="51">
      <c r="A317" s="54" t="s">
        <v>311</v>
      </c>
      <c r="B317" s="159" t="s">
        <v>866</v>
      </c>
      <c r="C317" s="54" t="s">
        <v>460</v>
      </c>
      <c r="D317" s="54" t="s">
        <v>458</v>
      </c>
      <c r="E317" s="224">
        <v>74396</v>
      </c>
      <c r="F317" s="142">
        <v>74396</v>
      </c>
    </row>
    <row r="318" spans="1:6" ht="51">
      <c r="A318" s="54" t="s">
        <v>1604</v>
      </c>
      <c r="B318" s="159" t="s">
        <v>866</v>
      </c>
      <c r="C318" s="54" t="s">
        <v>1290</v>
      </c>
      <c r="D318" s="54"/>
      <c r="E318" s="224">
        <v>22467</v>
      </c>
      <c r="F318" s="142">
        <v>22467</v>
      </c>
    </row>
    <row r="319" spans="1:6" ht="51">
      <c r="A319" s="216" t="s">
        <v>311</v>
      </c>
      <c r="B319" s="159" t="s">
        <v>866</v>
      </c>
      <c r="C319" s="54" t="s">
        <v>1290</v>
      </c>
      <c r="D319" s="54" t="s">
        <v>458</v>
      </c>
      <c r="E319" s="224">
        <v>22467</v>
      </c>
      <c r="F319" s="142">
        <v>22467</v>
      </c>
    </row>
    <row r="320" spans="1:6" ht="38.25">
      <c r="A320" s="54" t="s">
        <v>586</v>
      </c>
      <c r="B320" s="159" t="s">
        <v>1211</v>
      </c>
      <c r="C320" s="54"/>
      <c r="D320" s="54"/>
      <c r="E320" s="224">
        <v>22184600</v>
      </c>
      <c r="F320" s="142">
        <v>22184600</v>
      </c>
    </row>
    <row r="321" spans="1:6" ht="165.75">
      <c r="A321" s="54" t="s">
        <v>464</v>
      </c>
      <c r="B321" s="159" t="s">
        <v>867</v>
      </c>
      <c r="C321" s="54"/>
      <c r="D321" s="54"/>
      <c r="E321" s="224">
        <v>15966164</v>
      </c>
      <c r="F321" s="142">
        <v>15966164</v>
      </c>
    </row>
    <row r="322" spans="1:6">
      <c r="A322" s="54" t="s">
        <v>1603</v>
      </c>
      <c r="B322" s="141" t="s">
        <v>867</v>
      </c>
      <c r="C322" s="54" t="s">
        <v>460</v>
      </c>
      <c r="D322" s="54"/>
      <c r="E322" s="224">
        <v>11409658</v>
      </c>
      <c r="F322" s="142">
        <v>11409658</v>
      </c>
    </row>
    <row r="323" spans="1:6">
      <c r="A323" s="54" t="s">
        <v>133</v>
      </c>
      <c r="B323" s="159" t="s">
        <v>867</v>
      </c>
      <c r="C323" s="54" t="s">
        <v>460</v>
      </c>
      <c r="D323" s="54" t="s">
        <v>463</v>
      </c>
      <c r="E323" s="224">
        <v>11409658</v>
      </c>
      <c r="F323" s="142">
        <v>11409658</v>
      </c>
    </row>
    <row r="324" spans="1:6" ht="25.5">
      <c r="A324" s="54" t="s">
        <v>1617</v>
      </c>
      <c r="B324" s="159" t="s">
        <v>867</v>
      </c>
      <c r="C324" s="54" t="s">
        <v>509</v>
      </c>
      <c r="D324" s="54"/>
      <c r="E324" s="224">
        <v>36260</v>
      </c>
      <c r="F324" s="142">
        <v>36260</v>
      </c>
    </row>
    <row r="325" spans="1:6">
      <c r="A325" s="54" t="s">
        <v>133</v>
      </c>
      <c r="B325" s="159" t="s">
        <v>867</v>
      </c>
      <c r="C325" s="54" t="s">
        <v>509</v>
      </c>
      <c r="D325" s="54" t="s">
        <v>463</v>
      </c>
      <c r="E325" s="224">
        <v>36260</v>
      </c>
      <c r="F325" s="142">
        <v>36260</v>
      </c>
    </row>
    <row r="326" spans="1:6" ht="51">
      <c r="A326" s="54" t="s">
        <v>1604</v>
      </c>
      <c r="B326" s="159" t="s">
        <v>867</v>
      </c>
      <c r="C326" s="54" t="s">
        <v>1290</v>
      </c>
      <c r="D326" s="54"/>
      <c r="E326" s="224">
        <v>3445716</v>
      </c>
      <c r="F326" s="142">
        <v>3445716</v>
      </c>
    </row>
    <row r="327" spans="1:6">
      <c r="A327" s="54" t="s">
        <v>133</v>
      </c>
      <c r="B327" s="159" t="s">
        <v>867</v>
      </c>
      <c r="C327" s="54" t="s">
        <v>1290</v>
      </c>
      <c r="D327" s="54" t="s">
        <v>463</v>
      </c>
      <c r="E327" s="224">
        <v>3445716</v>
      </c>
      <c r="F327" s="142">
        <v>3445716</v>
      </c>
    </row>
    <row r="328" spans="1:6" ht="38.25">
      <c r="A328" s="54" t="s">
        <v>445</v>
      </c>
      <c r="B328" s="159" t="s">
        <v>867</v>
      </c>
      <c r="C328" s="54" t="s">
        <v>446</v>
      </c>
      <c r="D328" s="54"/>
      <c r="E328" s="224">
        <v>1061530</v>
      </c>
      <c r="F328" s="142">
        <v>1061530</v>
      </c>
    </row>
    <row r="329" spans="1:6">
      <c r="A329" s="216" t="s">
        <v>133</v>
      </c>
      <c r="B329" s="159" t="s">
        <v>867</v>
      </c>
      <c r="C329" s="54" t="s">
        <v>446</v>
      </c>
      <c r="D329" s="54" t="s">
        <v>463</v>
      </c>
      <c r="E329" s="224">
        <v>1061530</v>
      </c>
      <c r="F329" s="142">
        <v>1061530</v>
      </c>
    </row>
    <row r="330" spans="1:6">
      <c r="A330" s="54" t="s">
        <v>1168</v>
      </c>
      <c r="B330" s="159" t="s">
        <v>867</v>
      </c>
      <c r="C330" s="54" t="s">
        <v>626</v>
      </c>
      <c r="D330" s="54"/>
      <c r="E330" s="224">
        <v>12000</v>
      </c>
      <c r="F330" s="142">
        <v>12000</v>
      </c>
    </row>
    <row r="331" spans="1:6">
      <c r="A331" s="54" t="s">
        <v>133</v>
      </c>
      <c r="B331" s="159" t="s">
        <v>867</v>
      </c>
      <c r="C331" s="54" t="s">
        <v>626</v>
      </c>
      <c r="D331" s="54" t="s">
        <v>463</v>
      </c>
      <c r="E331" s="224">
        <v>12000</v>
      </c>
      <c r="F331" s="142">
        <v>12000</v>
      </c>
    </row>
    <row r="332" spans="1:6">
      <c r="A332" s="216" t="s">
        <v>1293</v>
      </c>
      <c r="B332" s="159" t="s">
        <v>867</v>
      </c>
      <c r="C332" s="54" t="s">
        <v>1294</v>
      </c>
      <c r="D332" s="54"/>
      <c r="E332" s="224">
        <v>1000</v>
      </c>
      <c r="F332" s="142">
        <v>1000</v>
      </c>
    </row>
    <row r="333" spans="1:6">
      <c r="A333" s="54" t="s">
        <v>133</v>
      </c>
      <c r="B333" s="159" t="s">
        <v>867</v>
      </c>
      <c r="C333" s="54" t="s">
        <v>1294</v>
      </c>
      <c r="D333" s="54" t="s">
        <v>463</v>
      </c>
      <c r="E333" s="224">
        <v>1000</v>
      </c>
      <c r="F333" s="142">
        <v>1000</v>
      </c>
    </row>
    <row r="334" spans="1:6" ht="204">
      <c r="A334" s="54" t="s">
        <v>872</v>
      </c>
      <c r="B334" s="159" t="s">
        <v>873</v>
      </c>
      <c r="C334" s="54"/>
      <c r="D334" s="54"/>
      <c r="E334" s="224">
        <v>3232840</v>
      </c>
      <c r="F334" s="142">
        <v>3232840</v>
      </c>
    </row>
    <row r="335" spans="1:6">
      <c r="A335" s="54" t="s">
        <v>1603</v>
      </c>
      <c r="B335" s="159" t="s">
        <v>873</v>
      </c>
      <c r="C335" s="54" t="s">
        <v>460</v>
      </c>
      <c r="D335" s="54"/>
      <c r="E335" s="224">
        <v>1787140</v>
      </c>
      <c r="F335" s="142">
        <v>1787140</v>
      </c>
    </row>
    <row r="336" spans="1:6">
      <c r="A336" s="54" t="s">
        <v>133</v>
      </c>
      <c r="B336" s="159" t="s">
        <v>873</v>
      </c>
      <c r="C336" s="54" t="s">
        <v>460</v>
      </c>
      <c r="D336" s="54" t="s">
        <v>463</v>
      </c>
      <c r="E336" s="224">
        <v>1787140</v>
      </c>
      <c r="F336" s="142">
        <v>1787140</v>
      </c>
    </row>
    <row r="337" spans="1:6" ht="51">
      <c r="A337" s="54" t="s">
        <v>1604</v>
      </c>
      <c r="B337" s="159" t="s">
        <v>873</v>
      </c>
      <c r="C337" s="54" t="s">
        <v>1290</v>
      </c>
      <c r="D337" s="54"/>
      <c r="E337" s="224">
        <v>539710</v>
      </c>
      <c r="F337" s="142">
        <v>539710</v>
      </c>
    </row>
    <row r="338" spans="1:6">
      <c r="A338" s="54" t="s">
        <v>133</v>
      </c>
      <c r="B338" s="159" t="s">
        <v>873</v>
      </c>
      <c r="C338" s="54" t="s">
        <v>1290</v>
      </c>
      <c r="D338" s="54" t="s">
        <v>463</v>
      </c>
      <c r="E338" s="224">
        <v>539710</v>
      </c>
      <c r="F338" s="142">
        <v>539710</v>
      </c>
    </row>
    <row r="339" spans="1:6" ht="38.25">
      <c r="A339" s="54" t="s">
        <v>445</v>
      </c>
      <c r="B339" s="159" t="s">
        <v>873</v>
      </c>
      <c r="C339" s="54" t="s">
        <v>446</v>
      </c>
      <c r="D339" s="54"/>
      <c r="E339" s="224">
        <v>797300</v>
      </c>
      <c r="F339" s="142">
        <v>797300</v>
      </c>
    </row>
    <row r="340" spans="1:6">
      <c r="A340" s="54" t="s">
        <v>133</v>
      </c>
      <c r="B340" s="159" t="s">
        <v>873</v>
      </c>
      <c r="C340" s="54" t="s">
        <v>446</v>
      </c>
      <c r="D340" s="54" t="s">
        <v>463</v>
      </c>
      <c r="E340" s="224">
        <v>797300</v>
      </c>
      <c r="F340" s="142">
        <v>797300</v>
      </c>
    </row>
    <row r="341" spans="1:6">
      <c r="A341" s="54" t="s">
        <v>1168</v>
      </c>
      <c r="B341" s="159" t="s">
        <v>873</v>
      </c>
      <c r="C341" s="54" t="s">
        <v>626</v>
      </c>
      <c r="D341" s="54"/>
      <c r="E341" s="224">
        <v>105000</v>
      </c>
      <c r="F341" s="142">
        <v>105000</v>
      </c>
    </row>
    <row r="342" spans="1:6">
      <c r="A342" s="54" t="s">
        <v>133</v>
      </c>
      <c r="B342" s="159" t="s">
        <v>873</v>
      </c>
      <c r="C342" s="54" t="s">
        <v>626</v>
      </c>
      <c r="D342" s="54" t="s">
        <v>463</v>
      </c>
      <c r="E342" s="224">
        <v>105000</v>
      </c>
      <c r="F342" s="142">
        <v>105000</v>
      </c>
    </row>
    <row r="343" spans="1:6">
      <c r="A343" s="54" t="s">
        <v>1293</v>
      </c>
      <c r="B343" s="159" t="s">
        <v>873</v>
      </c>
      <c r="C343" s="54" t="s">
        <v>1294</v>
      </c>
      <c r="D343" s="54"/>
      <c r="E343" s="224">
        <v>3690</v>
      </c>
      <c r="F343" s="142">
        <v>3690</v>
      </c>
    </row>
    <row r="344" spans="1:6">
      <c r="A344" s="54" t="s">
        <v>133</v>
      </c>
      <c r="B344" s="159" t="s">
        <v>873</v>
      </c>
      <c r="C344" s="54" t="s">
        <v>1294</v>
      </c>
      <c r="D344" s="54" t="s">
        <v>463</v>
      </c>
      <c r="E344" s="224">
        <v>3690</v>
      </c>
      <c r="F344" s="142">
        <v>3690</v>
      </c>
    </row>
    <row r="345" spans="1:6" ht="178.5">
      <c r="A345" s="54" t="s">
        <v>1628</v>
      </c>
      <c r="B345" s="159" t="s">
        <v>869</v>
      </c>
      <c r="C345" s="54"/>
      <c r="D345" s="54"/>
      <c r="E345" s="224">
        <v>1794269</v>
      </c>
      <c r="F345" s="142">
        <v>1794269</v>
      </c>
    </row>
    <row r="346" spans="1:6" ht="38.25">
      <c r="A346" s="54" t="s">
        <v>445</v>
      </c>
      <c r="B346" s="159" t="s">
        <v>869</v>
      </c>
      <c r="C346" s="54" t="s">
        <v>446</v>
      </c>
      <c r="D346" s="54"/>
      <c r="E346" s="224">
        <v>1794269</v>
      </c>
      <c r="F346" s="142">
        <v>1794269</v>
      </c>
    </row>
    <row r="347" spans="1:6">
      <c r="A347" s="216" t="s">
        <v>133</v>
      </c>
      <c r="B347" s="159" t="s">
        <v>869</v>
      </c>
      <c r="C347" s="54" t="s">
        <v>446</v>
      </c>
      <c r="D347" s="54" t="s">
        <v>463</v>
      </c>
      <c r="E347" s="224">
        <v>1794269</v>
      </c>
      <c r="F347" s="142">
        <v>1794269</v>
      </c>
    </row>
    <row r="348" spans="1:6" ht="204">
      <c r="A348" s="54" t="s">
        <v>1629</v>
      </c>
      <c r="B348" s="159" t="s">
        <v>875</v>
      </c>
      <c r="C348" s="54"/>
      <c r="D348" s="54"/>
      <c r="E348" s="224">
        <v>554660</v>
      </c>
      <c r="F348" s="142">
        <v>554660</v>
      </c>
    </row>
    <row r="349" spans="1:6" ht="38.25">
      <c r="A349" s="54" t="s">
        <v>445</v>
      </c>
      <c r="B349" s="159" t="s">
        <v>875</v>
      </c>
      <c r="C349" s="54" t="s">
        <v>446</v>
      </c>
      <c r="D349" s="54"/>
      <c r="E349" s="224">
        <v>554660</v>
      </c>
      <c r="F349" s="142">
        <v>554660</v>
      </c>
    </row>
    <row r="350" spans="1:6">
      <c r="A350" s="216" t="s">
        <v>133</v>
      </c>
      <c r="B350" s="159" t="s">
        <v>875</v>
      </c>
      <c r="C350" s="54" t="s">
        <v>446</v>
      </c>
      <c r="D350" s="54" t="s">
        <v>463</v>
      </c>
      <c r="E350" s="224">
        <v>554660</v>
      </c>
      <c r="F350" s="142">
        <v>554660</v>
      </c>
    </row>
    <row r="351" spans="1:6" ht="165.75">
      <c r="A351" s="54" t="s">
        <v>1193</v>
      </c>
      <c r="B351" s="159" t="s">
        <v>1194</v>
      </c>
      <c r="C351" s="54"/>
      <c r="D351" s="54"/>
      <c r="E351" s="224">
        <v>406167</v>
      </c>
      <c r="F351" s="142">
        <v>406167</v>
      </c>
    </row>
    <row r="352" spans="1:6" ht="38.25">
      <c r="A352" s="54" t="s">
        <v>445</v>
      </c>
      <c r="B352" s="159" t="s">
        <v>1194</v>
      </c>
      <c r="C352" s="54" t="s">
        <v>446</v>
      </c>
      <c r="D352" s="54"/>
      <c r="E352" s="224">
        <v>406167</v>
      </c>
      <c r="F352" s="142">
        <v>406167</v>
      </c>
    </row>
    <row r="353" spans="1:6">
      <c r="A353" s="216" t="s">
        <v>133</v>
      </c>
      <c r="B353" s="159" t="s">
        <v>1194</v>
      </c>
      <c r="C353" s="54" t="s">
        <v>446</v>
      </c>
      <c r="D353" s="54" t="s">
        <v>463</v>
      </c>
      <c r="E353" s="224">
        <v>406167</v>
      </c>
      <c r="F353" s="142">
        <v>406167</v>
      </c>
    </row>
    <row r="354" spans="1:6" ht="127.5">
      <c r="A354" s="54" t="s">
        <v>467</v>
      </c>
      <c r="B354" s="159" t="s">
        <v>870</v>
      </c>
      <c r="C354" s="54"/>
      <c r="D354" s="54"/>
      <c r="E354" s="224">
        <v>100000</v>
      </c>
      <c r="F354" s="142">
        <v>100000</v>
      </c>
    </row>
    <row r="355" spans="1:6" ht="38.25">
      <c r="A355" s="54" t="s">
        <v>445</v>
      </c>
      <c r="B355" s="159" t="s">
        <v>870</v>
      </c>
      <c r="C355" s="54" t="s">
        <v>446</v>
      </c>
      <c r="D355" s="54"/>
      <c r="E355" s="224">
        <v>100000</v>
      </c>
      <c r="F355" s="142">
        <v>100000</v>
      </c>
    </row>
    <row r="356" spans="1:6">
      <c r="A356" s="54" t="s">
        <v>133</v>
      </c>
      <c r="B356" s="159" t="s">
        <v>870</v>
      </c>
      <c r="C356" s="54" t="s">
        <v>446</v>
      </c>
      <c r="D356" s="54" t="s">
        <v>463</v>
      </c>
      <c r="E356" s="224">
        <v>100000</v>
      </c>
      <c r="F356" s="142">
        <v>100000</v>
      </c>
    </row>
    <row r="357" spans="1:6" ht="127.5">
      <c r="A357" s="54" t="s">
        <v>468</v>
      </c>
      <c r="B357" s="159" t="s">
        <v>871</v>
      </c>
      <c r="C357" s="54"/>
      <c r="D357" s="54"/>
      <c r="E357" s="224">
        <v>57105</v>
      </c>
      <c r="F357" s="142">
        <v>57105</v>
      </c>
    </row>
    <row r="358" spans="1:6" ht="38.25">
      <c r="A358" s="54" t="s">
        <v>445</v>
      </c>
      <c r="B358" s="159" t="s">
        <v>871</v>
      </c>
      <c r="C358" s="54" t="s">
        <v>446</v>
      </c>
      <c r="D358" s="54"/>
      <c r="E358" s="224">
        <v>57105</v>
      </c>
      <c r="F358" s="142">
        <v>57105</v>
      </c>
    </row>
    <row r="359" spans="1:6">
      <c r="A359" s="54" t="s">
        <v>133</v>
      </c>
      <c r="B359" s="141" t="s">
        <v>871</v>
      </c>
      <c r="C359" s="54" t="s">
        <v>446</v>
      </c>
      <c r="D359" s="54" t="s">
        <v>463</v>
      </c>
      <c r="E359" s="224">
        <v>57105</v>
      </c>
      <c r="F359" s="142">
        <v>57105</v>
      </c>
    </row>
    <row r="360" spans="1:6" ht="114.75">
      <c r="A360" s="54" t="s">
        <v>451</v>
      </c>
      <c r="B360" s="159" t="s">
        <v>854</v>
      </c>
      <c r="C360" s="54"/>
      <c r="D360" s="54"/>
      <c r="E360" s="224">
        <v>73395</v>
      </c>
      <c r="F360" s="142">
        <v>73395</v>
      </c>
    </row>
    <row r="361" spans="1:6" ht="38.25">
      <c r="A361" s="54" t="s">
        <v>445</v>
      </c>
      <c r="B361" s="159" t="s">
        <v>854</v>
      </c>
      <c r="C361" s="54" t="s">
        <v>446</v>
      </c>
      <c r="D361" s="54"/>
      <c r="E361" s="224">
        <v>73395</v>
      </c>
      <c r="F361" s="142">
        <v>73395</v>
      </c>
    </row>
    <row r="362" spans="1:6" ht="76.5">
      <c r="A362" s="54" t="s">
        <v>284</v>
      </c>
      <c r="B362" s="159" t="s">
        <v>854</v>
      </c>
      <c r="C362" s="54" t="s">
        <v>446</v>
      </c>
      <c r="D362" s="54" t="s">
        <v>450</v>
      </c>
      <c r="E362" s="224">
        <v>73395</v>
      </c>
      <c r="F362" s="142">
        <v>73395</v>
      </c>
    </row>
    <row r="363" spans="1:6" ht="38.25">
      <c r="A363" s="54" t="s">
        <v>1782</v>
      </c>
      <c r="B363" s="159" t="s">
        <v>1783</v>
      </c>
      <c r="C363" s="54"/>
      <c r="D363" s="54"/>
      <c r="E363" s="224">
        <v>20000</v>
      </c>
      <c r="F363" s="142">
        <v>20000</v>
      </c>
    </row>
    <row r="364" spans="1:6" ht="102">
      <c r="A364" s="54" t="s">
        <v>1729</v>
      </c>
      <c r="B364" s="159" t="s">
        <v>1730</v>
      </c>
      <c r="C364" s="54"/>
      <c r="D364" s="54"/>
      <c r="E364" s="224">
        <v>20000</v>
      </c>
      <c r="F364" s="142">
        <v>20000</v>
      </c>
    </row>
    <row r="365" spans="1:6" ht="38.25">
      <c r="A365" s="54" t="s">
        <v>445</v>
      </c>
      <c r="B365" s="159" t="s">
        <v>1730</v>
      </c>
      <c r="C365" s="54" t="s">
        <v>446</v>
      </c>
      <c r="D365" s="54"/>
      <c r="E365" s="224">
        <v>20000</v>
      </c>
      <c r="F365" s="142">
        <v>20000</v>
      </c>
    </row>
    <row r="366" spans="1:6">
      <c r="A366" s="54" t="s">
        <v>265</v>
      </c>
      <c r="B366" s="159" t="s">
        <v>1730</v>
      </c>
      <c r="C366" s="54" t="s">
        <v>446</v>
      </c>
      <c r="D366" s="54" t="s">
        <v>454</v>
      </c>
      <c r="E366" s="224">
        <v>20000</v>
      </c>
      <c r="F366" s="142">
        <v>20000</v>
      </c>
    </row>
    <row r="367" spans="1:6" ht="25.5">
      <c r="A367" s="54" t="s">
        <v>588</v>
      </c>
      <c r="B367" s="159" t="s">
        <v>1212</v>
      </c>
      <c r="C367" s="54"/>
      <c r="D367" s="54"/>
      <c r="E367" s="224">
        <v>175291590</v>
      </c>
      <c r="F367" s="142">
        <v>175291590</v>
      </c>
    </row>
    <row r="368" spans="1:6">
      <c r="A368" s="54" t="s">
        <v>589</v>
      </c>
      <c r="B368" s="159" t="s">
        <v>1213</v>
      </c>
      <c r="C368" s="54"/>
      <c r="D368" s="54"/>
      <c r="E368" s="224">
        <v>35206536</v>
      </c>
      <c r="F368" s="142">
        <v>35206536</v>
      </c>
    </row>
    <row r="369" spans="1:6" ht="114.75">
      <c r="A369" s="54" t="s">
        <v>517</v>
      </c>
      <c r="B369" s="159" t="s">
        <v>917</v>
      </c>
      <c r="C369" s="54"/>
      <c r="D369" s="54"/>
      <c r="E369" s="224">
        <v>26860416</v>
      </c>
      <c r="F369" s="142">
        <v>26860416</v>
      </c>
    </row>
    <row r="370" spans="1:6" ht="76.5">
      <c r="A370" s="54" t="s">
        <v>465</v>
      </c>
      <c r="B370" s="159" t="s">
        <v>917</v>
      </c>
      <c r="C370" s="54" t="s">
        <v>466</v>
      </c>
      <c r="D370" s="54"/>
      <c r="E370" s="224">
        <v>26860416</v>
      </c>
      <c r="F370" s="142">
        <v>26860416</v>
      </c>
    </row>
    <row r="371" spans="1:6">
      <c r="A371" s="54" t="s">
        <v>254</v>
      </c>
      <c r="B371" s="159" t="s">
        <v>917</v>
      </c>
      <c r="C371" s="54" t="s">
        <v>466</v>
      </c>
      <c r="D371" s="54" t="s">
        <v>510</v>
      </c>
      <c r="E371" s="224">
        <v>26860416</v>
      </c>
      <c r="F371" s="142">
        <v>26860416</v>
      </c>
    </row>
    <row r="372" spans="1:6" ht="165.75">
      <c r="A372" s="54" t="s">
        <v>518</v>
      </c>
      <c r="B372" s="159" t="s">
        <v>918</v>
      </c>
      <c r="C372" s="54"/>
      <c r="D372" s="54"/>
      <c r="E372" s="224">
        <v>3285000</v>
      </c>
      <c r="F372" s="142">
        <v>3285000</v>
      </c>
    </row>
    <row r="373" spans="1:6" ht="76.5">
      <c r="A373" s="54" t="s">
        <v>465</v>
      </c>
      <c r="B373" s="159" t="s">
        <v>918</v>
      </c>
      <c r="C373" s="54" t="s">
        <v>466</v>
      </c>
      <c r="D373" s="54"/>
      <c r="E373" s="224">
        <v>3285000</v>
      </c>
      <c r="F373" s="142">
        <v>3285000</v>
      </c>
    </row>
    <row r="374" spans="1:6">
      <c r="A374" s="54" t="s">
        <v>254</v>
      </c>
      <c r="B374" s="159" t="s">
        <v>918</v>
      </c>
      <c r="C374" s="54" t="s">
        <v>466</v>
      </c>
      <c r="D374" s="54" t="s">
        <v>510</v>
      </c>
      <c r="E374" s="224">
        <v>3285000</v>
      </c>
      <c r="F374" s="142">
        <v>3285000</v>
      </c>
    </row>
    <row r="375" spans="1:6" ht="127.5">
      <c r="A375" s="54" t="s">
        <v>1303</v>
      </c>
      <c r="B375" s="159" t="s">
        <v>1304</v>
      </c>
      <c r="C375" s="54"/>
      <c r="D375" s="54"/>
      <c r="E375" s="224">
        <v>12000</v>
      </c>
      <c r="F375" s="142">
        <v>12000</v>
      </c>
    </row>
    <row r="376" spans="1:6" ht="76.5">
      <c r="A376" s="54" t="s">
        <v>465</v>
      </c>
      <c r="B376" s="159" t="s">
        <v>1304</v>
      </c>
      <c r="C376" s="54" t="s">
        <v>466</v>
      </c>
      <c r="D376" s="54"/>
      <c r="E376" s="224">
        <v>12000</v>
      </c>
      <c r="F376" s="142">
        <v>12000</v>
      </c>
    </row>
    <row r="377" spans="1:6">
      <c r="A377" s="54" t="s">
        <v>254</v>
      </c>
      <c r="B377" s="159" t="s">
        <v>1304</v>
      </c>
      <c r="C377" s="54" t="s">
        <v>466</v>
      </c>
      <c r="D377" s="54" t="s">
        <v>510</v>
      </c>
      <c r="E377" s="224">
        <v>12000</v>
      </c>
      <c r="F377" s="142">
        <v>12000</v>
      </c>
    </row>
    <row r="378" spans="1:6" ht="114.75">
      <c r="A378" s="54" t="s">
        <v>642</v>
      </c>
      <c r="B378" s="159" t="s">
        <v>919</v>
      </c>
      <c r="C378" s="54"/>
      <c r="D378" s="54"/>
      <c r="E378" s="224">
        <v>308000</v>
      </c>
      <c r="F378" s="142">
        <v>308000</v>
      </c>
    </row>
    <row r="379" spans="1:6" ht="25.5">
      <c r="A379" s="54" t="s">
        <v>484</v>
      </c>
      <c r="B379" s="159" t="s">
        <v>919</v>
      </c>
      <c r="C379" s="54" t="s">
        <v>485</v>
      </c>
      <c r="D379" s="54"/>
      <c r="E379" s="224">
        <v>308000</v>
      </c>
      <c r="F379" s="142">
        <v>308000</v>
      </c>
    </row>
    <row r="380" spans="1:6">
      <c r="A380" s="54" t="s">
        <v>254</v>
      </c>
      <c r="B380" s="159" t="s">
        <v>919</v>
      </c>
      <c r="C380" s="54" t="s">
        <v>485</v>
      </c>
      <c r="D380" s="54" t="s">
        <v>510</v>
      </c>
      <c r="E380" s="224">
        <v>308000</v>
      </c>
      <c r="F380" s="142">
        <v>308000</v>
      </c>
    </row>
    <row r="381" spans="1:6" ht="114.75">
      <c r="A381" s="54" t="s">
        <v>733</v>
      </c>
      <c r="B381" s="159" t="s">
        <v>920</v>
      </c>
      <c r="C381" s="54"/>
      <c r="D381" s="54"/>
      <c r="E381" s="224">
        <v>1824910</v>
      </c>
      <c r="F381" s="142">
        <v>1824910</v>
      </c>
    </row>
    <row r="382" spans="1:6" ht="76.5">
      <c r="A382" s="54" t="s">
        <v>465</v>
      </c>
      <c r="B382" s="159" t="s">
        <v>920</v>
      </c>
      <c r="C382" s="54" t="s">
        <v>466</v>
      </c>
      <c r="D382" s="54"/>
      <c r="E382" s="224">
        <v>1824910</v>
      </c>
      <c r="F382" s="142">
        <v>1824910</v>
      </c>
    </row>
    <row r="383" spans="1:6">
      <c r="A383" s="54" t="s">
        <v>254</v>
      </c>
      <c r="B383" s="159" t="s">
        <v>920</v>
      </c>
      <c r="C383" s="54" t="s">
        <v>466</v>
      </c>
      <c r="D383" s="54" t="s">
        <v>510</v>
      </c>
      <c r="E383" s="224">
        <v>1824910</v>
      </c>
      <c r="F383" s="142">
        <v>1824910</v>
      </c>
    </row>
    <row r="384" spans="1:6" ht="102">
      <c r="A384" s="216" t="s">
        <v>1175</v>
      </c>
      <c r="B384" s="159" t="s">
        <v>1176</v>
      </c>
      <c r="C384" s="54"/>
      <c r="D384" s="54"/>
      <c r="E384" s="224">
        <v>658000</v>
      </c>
      <c r="F384" s="142">
        <v>658000</v>
      </c>
    </row>
    <row r="385" spans="1:6" ht="76.5">
      <c r="A385" s="54" t="s">
        <v>465</v>
      </c>
      <c r="B385" s="159" t="s">
        <v>1176</v>
      </c>
      <c r="C385" s="54" t="s">
        <v>466</v>
      </c>
      <c r="D385" s="54"/>
      <c r="E385" s="224">
        <v>658000</v>
      </c>
      <c r="F385" s="142">
        <v>658000</v>
      </c>
    </row>
    <row r="386" spans="1:6">
      <c r="A386" s="54" t="s">
        <v>254</v>
      </c>
      <c r="B386" s="159" t="s">
        <v>1176</v>
      </c>
      <c r="C386" s="54" t="s">
        <v>466</v>
      </c>
      <c r="D386" s="54" t="s">
        <v>510</v>
      </c>
      <c r="E386" s="224">
        <v>658000</v>
      </c>
      <c r="F386" s="142">
        <v>658000</v>
      </c>
    </row>
    <row r="387" spans="1:6" ht="63.75">
      <c r="A387" s="54" t="s">
        <v>520</v>
      </c>
      <c r="B387" s="159" t="s">
        <v>926</v>
      </c>
      <c r="C387" s="54"/>
      <c r="D387" s="54"/>
      <c r="E387" s="224">
        <v>262000</v>
      </c>
      <c r="F387" s="142">
        <v>262000</v>
      </c>
    </row>
    <row r="388" spans="1:6" ht="25.5">
      <c r="A388" s="54" t="s">
        <v>484</v>
      </c>
      <c r="B388" s="159" t="s">
        <v>926</v>
      </c>
      <c r="C388" s="54" t="s">
        <v>485</v>
      </c>
      <c r="D388" s="54"/>
      <c r="E388" s="139">
        <v>262000</v>
      </c>
      <c r="F388" s="142">
        <v>262000</v>
      </c>
    </row>
    <row r="389" spans="1:6">
      <c r="A389" s="54" t="s">
        <v>254</v>
      </c>
      <c r="B389" s="159" t="s">
        <v>926</v>
      </c>
      <c r="C389" s="54" t="s">
        <v>485</v>
      </c>
      <c r="D389" s="54" t="s">
        <v>510</v>
      </c>
      <c r="E389" s="139">
        <v>262000</v>
      </c>
      <c r="F389" s="142">
        <v>262000</v>
      </c>
    </row>
    <row r="390" spans="1:6" ht="76.5">
      <c r="A390" s="54" t="s">
        <v>519</v>
      </c>
      <c r="B390" s="159" t="s">
        <v>922</v>
      </c>
      <c r="C390" s="54"/>
      <c r="D390" s="54"/>
      <c r="E390" s="139">
        <v>1642519</v>
      </c>
      <c r="F390" s="142">
        <v>1642519</v>
      </c>
    </row>
    <row r="391" spans="1:6" ht="76.5">
      <c r="A391" s="54" t="s">
        <v>465</v>
      </c>
      <c r="B391" s="159" t="s">
        <v>922</v>
      </c>
      <c r="C391" s="54" t="s">
        <v>466</v>
      </c>
      <c r="D391" s="54"/>
      <c r="E391" s="139">
        <v>1612519</v>
      </c>
      <c r="F391" s="142">
        <v>1612519</v>
      </c>
    </row>
    <row r="392" spans="1:6">
      <c r="A392" s="54" t="s">
        <v>254</v>
      </c>
      <c r="B392" s="159" t="s">
        <v>922</v>
      </c>
      <c r="C392" s="54" t="s">
        <v>466</v>
      </c>
      <c r="D392" s="54" t="s">
        <v>510</v>
      </c>
      <c r="E392" s="139">
        <v>1612519</v>
      </c>
      <c r="F392" s="142">
        <v>1612519</v>
      </c>
    </row>
    <row r="393" spans="1:6" ht="25.5">
      <c r="A393" s="54" t="s">
        <v>484</v>
      </c>
      <c r="B393" s="141" t="s">
        <v>922</v>
      </c>
      <c r="C393" s="54" t="s">
        <v>485</v>
      </c>
      <c r="D393" s="54"/>
      <c r="E393" s="139">
        <v>30000</v>
      </c>
      <c r="F393" s="142">
        <v>30000</v>
      </c>
    </row>
    <row r="394" spans="1:6">
      <c r="A394" s="54" t="s">
        <v>254</v>
      </c>
      <c r="B394" s="141" t="s">
        <v>922</v>
      </c>
      <c r="C394" s="54" t="s">
        <v>485</v>
      </c>
      <c r="D394" s="54" t="s">
        <v>510</v>
      </c>
      <c r="E394" s="139">
        <v>30000</v>
      </c>
      <c r="F394" s="142">
        <v>30000</v>
      </c>
    </row>
    <row r="395" spans="1:6" ht="140.25">
      <c r="A395" s="54" t="s">
        <v>798</v>
      </c>
      <c r="B395" s="159" t="s">
        <v>923</v>
      </c>
      <c r="C395" s="54"/>
      <c r="D395" s="54"/>
      <c r="E395" s="139">
        <v>59843</v>
      </c>
      <c r="F395" s="142">
        <v>59843</v>
      </c>
    </row>
    <row r="396" spans="1:6" ht="76.5">
      <c r="A396" s="54" t="s">
        <v>465</v>
      </c>
      <c r="B396" s="159" t="s">
        <v>923</v>
      </c>
      <c r="C396" s="54" t="s">
        <v>466</v>
      </c>
      <c r="D396" s="54"/>
      <c r="E396" s="139">
        <v>59843</v>
      </c>
      <c r="F396" s="142">
        <v>59843</v>
      </c>
    </row>
    <row r="397" spans="1:6">
      <c r="A397" s="54" t="s">
        <v>254</v>
      </c>
      <c r="B397" s="159" t="s">
        <v>923</v>
      </c>
      <c r="C397" s="54" t="s">
        <v>466</v>
      </c>
      <c r="D397" s="54" t="s">
        <v>510</v>
      </c>
      <c r="E397" s="139">
        <v>59843</v>
      </c>
      <c r="F397" s="142">
        <v>59843</v>
      </c>
    </row>
    <row r="398" spans="1:6" ht="127.5">
      <c r="A398" s="216" t="s">
        <v>644</v>
      </c>
      <c r="B398" s="159" t="s">
        <v>924</v>
      </c>
      <c r="C398" s="54"/>
      <c r="D398" s="54"/>
      <c r="E398" s="139">
        <v>100000</v>
      </c>
      <c r="F398" s="142">
        <v>100000</v>
      </c>
    </row>
    <row r="399" spans="1:6" ht="25.5">
      <c r="A399" s="54" t="s">
        <v>484</v>
      </c>
      <c r="B399" s="159" t="s">
        <v>924</v>
      </c>
      <c r="C399" s="54" t="s">
        <v>485</v>
      </c>
      <c r="D399" s="54"/>
      <c r="E399" s="139">
        <v>100000</v>
      </c>
      <c r="F399" s="142">
        <v>100000</v>
      </c>
    </row>
    <row r="400" spans="1:6">
      <c r="A400" s="54" t="s">
        <v>254</v>
      </c>
      <c r="B400" s="159" t="s">
        <v>924</v>
      </c>
      <c r="C400" s="54" t="s">
        <v>485</v>
      </c>
      <c r="D400" s="54" t="s">
        <v>510</v>
      </c>
      <c r="E400" s="139">
        <v>100000</v>
      </c>
      <c r="F400" s="142">
        <v>100000</v>
      </c>
    </row>
    <row r="401" spans="1:6" ht="114.75">
      <c r="A401" s="216" t="s">
        <v>734</v>
      </c>
      <c r="B401" s="141" t="s">
        <v>925</v>
      </c>
      <c r="C401" s="54"/>
      <c r="D401" s="54"/>
      <c r="E401" s="139">
        <v>56634</v>
      </c>
      <c r="F401" s="142">
        <v>56634</v>
      </c>
    </row>
    <row r="402" spans="1:6" ht="76.5">
      <c r="A402" s="216" t="s">
        <v>465</v>
      </c>
      <c r="B402" s="159" t="s">
        <v>925</v>
      </c>
      <c r="C402" s="54" t="s">
        <v>466</v>
      </c>
      <c r="D402" s="54"/>
      <c r="E402" s="139">
        <v>56634</v>
      </c>
      <c r="F402" s="142">
        <v>56634</v>
      </c>
    </row>
    <row r="403" spans="1:6">
      <c r="A403" s="54" t="s">
        <v>254</v>
      </c>
      <c r="B403" s="159" t="s">
        <v>925</v>
      </c>
      <c r="C403" s="54" t="s">
        <v>466</v>
      </c>
      <c r="D403" s="54" t="s">
        <v>510</v>
      </c>
      <c r="E403" s="139">
        <v>56634</v>
      </c>
      <c r="F403" s="142">
        <v>56634</v>
      </c>
    </row>
    <row r="404" spans="1:6" ht="102">
      <c r="A404" s="156" t="s">
        <v>1177</v>
      </c>
      <c r="B404" s="159" t="s">
        <v>1178</v>
      </c>
      <c r="C404" s="156"/>
      <c r="D404" s="156"/>
      <c r="E404" s="139">
        <v>137214</v>
      </c>
      <c r="F404" s="142">
        <v>137214</v>
      </c>
    </row>
    <row r="405" spans="1:6" ht="76.5">
      <c r="A405" s="156" t="s">
        <v>465</v>
      </c>
      <c r="B405" s="141" t="s">
        <v>1178</v>
      </c>
      <c r="C405" s="156" t="s">
        <v>466</v>
      </c>
      <c r="D405" s="156"/>
      <c r="E405" s="139">
        <v>137214</v>
      </c>
      <c r="F405" s="142">
        <v>137214</v>
      </c>
    </row>
    <row r="406" spans="1:6">
      <c r="A406" s="216" t="s">
        <v>254</v>
      </c>
      <c r="B406" s="159" t="s">
        <v>1178</v>
      </c>
      <c r="C406" s="156" t="s">
        <v>466</v>
      </c>
      <c r="D406" s="156" t="s">
        <v>510</v>
      </c>
      <c r="E406" s="139">
        <v>137214</v>
      </c>
      <c r="F406" s="142">
        <v>137214</v>
      </c>
    </row>
    <row r="407" spans="1:6" ht="25.5">
      <c r="A407" s="156" t="s">
        <v>759</v>
      </c>
      <c r="B407" s="159" t="s">
        <v>1214</v>
      </c>
      <c r="C407" s="156"/>
      <c r="D407" s="156"/>
      <c r="E407" s="139">
        <v>87583921</v>
      </c>
      <c r="F407" s="142">
        <v>87583921</v>
      </c>
    </row>
    <row r="408" spans="1:6" ht="127.5">
      <c r="A408" s="156" t="s">
        <v>645</v>
      </c>
      <c r="B408" s="159" t="s">
        <v>929</v>
      </c>
      <c r="C408" s="156"/>
      <c r="D408" s="156"/>
      <c r="E408" s="139">
        <v>37194771</v>
      </c>
      <c r="F408" s="142">
        <v>37194771</v>
      </c>
    </row>
    <row r="409" spans="1:6" ht="76.5">
      <c r="A409" s="156" t="s">
        <v>465</v>
      </c>
      <c r="B409" s="141" t="s">
        <v>929</v>
      </c>
      <c r="C409" s="156" t="s">
        <v>466</v>
      </c>
      <c r="D409" s="156"/>
      <c r="E409" s="139">
        <v>37194771</v>
      </c>
      <c r="F409" s="142">
        <v>37194771</v>
      </c>
    </row>
    <row r="410" spans="1:6">
      <c r="A410" s="156" t="s">
        <v>254</v>
      </c>
      <c r="B410" s="159" t="s">
        <v>929</v>
      </c>
      <c r="C410" s="156" t="s">
        <v>466</v>
      </c>
      <c r="D410" s="156" t="s">
        <v>510</v>
      </c>
      <c r="E410" s="139">
        <v>37194771</v>
      </c>
      <c r="F410" s="142">
        <v>37194771</v>
      </c>
    </row>
    <row r="411" spans="1:6" ht="178.5">
      <c r="A411" s="156" t="s">
        <v>646</v>
      </c>
      <c r="B411" s="159" t="s">
        <v>930</v>
      </c>
      <c r="C411" s="156"/>
      <c r="D411" s="156"/>
      <c r="E411" s="139">
        <v>7662102</v>
      </c>
      <c r="F411" s="142">
        <v>7662102</v>
      </c>
    </row>
    <row r="412" spans="1:6" ht="76.5">
      <c r="A412" s="156" t="s">
        <v>465</v>
      </c>
      <c r="B412" s="159" t="s">
        <v>930</v>
      </c>
      <c r="C412" s="156" t="s">
        <v>466</v>
      </c>
      <c r="D412" s="156"/>
      <c r="E412" s="139">
        <v>7662102</v>
      </c>
      <c r="F412" s="142">
        <v>7662102</v>
      </c>
    </row>
    <row r="413" spans="1:6">
      <c r="A413" s="156" t="s">
        <v>254</v>
      </c>
      <c r="B413" s="159" t="s">
        <v>930</v>
      </c>
      <c r="C413" s="156" t="s">
        <v>466</v>
      </c>
      <c r="D413" s="156" t="s">
        <v>510</v>
      </c>
      <c r="E413" s="139">
        <v>7662102</v>
      </c>
      <c r="F413" s="142">
        <v>7662102</v>
      </c>
    </row>
    <row r="414" spans="1:6" ht="140.25">
      <c r="A414" s="156" t="s">
        <v>647</v>
      </c>
      <c r="B414" s="159" t="s">
        <v>931</v>
      </c>
      <c r="C414" s="156"/>
      <c r="D414" s="156"/>
      <c r="E414" s="139">
        <v>25900</v>
      </c>
      <c r="F414" s="142">
        <v>25900</v>
      </c>
    </row>
    <row r="415" spans="1:6" ht="76.5">
      <c r="A415" s="156" t="s">
        <v>465</v>
      </c>
      <c r="B415" s="159" t="s">
        <v>931</v>
      </c>
      <c r="C415" s="156" t="s">
        <v>466</v>
      </c>
      <c r="D415" s="156"/>
      <c r="E415" s="139">
        <v>25900</v>
      </c>
      <c r="F415" s="142">
        <v>25900</v>
      </c>
    </row>
    <row r="416" spans="1:6">
      <c r="A416" s="156" t="s">
        <v>254</v>
      </c>
      <c r="B416" s="159" t="s">
        <v>931</v>
      </c>
      <c r="C416" s="156" t="s">
        <v>466</v>
      </c>
      <c r="D416" s="156" t="s">
        <v>510</v>
      </c>
      <c r="E416" s="139">
        <v>25900</v>
      </c>
      <c r="F416" s="142">
        <v>25900</v>
      </c>
    </row>
    <row r="417" spans="1:6" ht="127.5">
      <c r="A417" s="54" t="s">
        <v>648</v>
      </c>
      <c r="B417" s="159" t="s">
        <v>932</v>
      </c>
      <c r="C417" s="54"/>
      <c r="D417" s="54"/>
      <c r="E417" s="139">
        <v>660000</v>
      </c>
      <c r="F417" s="142">
        <v>660000</v>
      </c>
    </row>
    <row r="418" spans="1:6" ht="25.5">
      <c r="A418" s="216" t="s">
        <v>484</v>
      </c>
      <c r="B418" s="159" t="s">
        <v>932</v>
      </c>
      <c r="C418" s="54" t="s">
        <v>485</v>
      </c>
      <c r="D418" s="54"/>
      <c r="E418" s="139">
        <v>660000</v>
      </c>
      <c r="F418" s="142">
        <v>660000</v>
      </c>
    </row>
    <row r="419" spans="1:6">
      <c r="A419" s="54" t="s">
        <v>254</v>
      </c>
      <c r="B419" s="159" t="s">
        <v>932</v>
      </c>
      <c r="C419" s="54" t="s">
        <v>485</v>
      </c>
      <c r="D419" s="54" t="s">
        <v>510</v>
      </c>
      <c r="E419" s="139">
        <v>660000</v>
      </c>
      <c r="F419" s="142">
        <v>660000</v>
      </c>
    </row>
    <row r="420" spans="1:6" ht="127.5">
      <c r="A420" s="54" t="s">
        <v>735</v>
      </c>
      <c r="B420" s="159" t="s">
        <v>933</v>
      </c>
      <c r="C420" s="54"/>
      <c r="D420" s="54"/>
      <c r="E420" s="139">
        <v>14015391</v>
      </c>
      <c r="F420" s="142">
        <v>14015391</v>
      </c>
    </row>
    <row r="421" spans="1:6" ht="76.5">
      <c r="A421" s="216" t="s">
        <v>465</v>
      </c>
      <c r="B421" s="141" t="s">
        <v>933</v>
      </c>
      <c r="C421" s="54" t="s">
        <v>466</v>
      </c>
      <c r="D421" s="54"/>
      <c r="E421" s="139">
        <v>14015391</v>
      </c>
      <c r="F421" s="142">
        <v>14015391</v>
      </c>
    </row>
    <row r="422" spans="1:6">
      <c r="A422" s="216" t="s">
        <v>254</v>
      </c>
      <c r="B422" s="141" t="s">
        <v>933</v>
      </c>
      <c r="C422" s="54" t="s">
        <v>466</v>
      </c>
      <c r="D422" s="54" t="s">
        <v>510</v>
      </c>
      <c r="E422" s="139">
        <v>14015391</v>
      </c>
      <c r="F422" s="142">
        <v>14015391</v>
      </c>
    </row>
    <row r="423" spans="1:6" ht="114.75">
      <c r="A423" s="54" t="s">
        <v>1179</v>
      </c>
      <c r="B423" s="159" t="s">
        <v>1180</v>
      </c>
      <c r="C423" s="54"/>
      <c r="D423" s="54"/>
      <c r="E423" s="139">
        <v>1562226</v>
      </c>
      <c r="F423" s="142">
        <v>1562226</v>
      </c>
    </row>
    <row r="424" spans="1:6" ht="76.5">
      <c r="A424" s="54" t="s">
        <v>465</v>
      </c>
      <c r="B424" s="159" t="s">
        <v>1180</v>
      </c>
      <c r="C424" s="54" t="s">
        <v>466</v>
      </c>
      <c r="D424" s="54"/>
      <c r="E424" s="139">
        <v>1562226</v>
      </c>
      <c r="F424" s="142">
        <v>1562226</v>
      </c>
    </row>
    <row r="425" spans="1:6">
      <c r="A425" s="54" t="s">
        <v>254</v>
      </c>
      <c r="B425" s="159" t="s">
        <v>1180</v>
      </c>
      <c r="C425" s="54" t="s">
        <v>466</v>
      </c>
      <c r="D425" s="54" t="s">
        <v>510</v>
      </c>
      <c r="E425" s="139">
        <v>1562226</v>
      </c>
      <c r="F425" s="142">
        <v>1562226</v>
      </c>
    </row>
    <row r="426" spans="1:6" ht="76.5">
      <c r="A426" s="54" t="s">
        <v>637</v>
      </c>
      <c r="B426" s="159" t="s">
        <v>911</v>
      </c>
      <c r="C426" s="54"/>
      <c r="D426" s="54"/>
      <c r="E426" s="139">
        <v>2591000</v>
      </c>
      <c r="F426" s="142">
        <v>2591000</v>
      </c>
    </row>
    <row r="427" spans="1:6" ht="25.5">
      <c r="A427" s="54" t="s">
        <v>484</v>
      </c>
      <c r="B427" s="159" t="s">
        <v>911</v>
      </c>
      <c r="C427" s="54" t="s">
        <v>485</v>
      </c>
      <c r="D427" s="54"/>
      <c r="E427" s="139">
        <v>2591000</v>
      </c>
      <c r="F427" s="142">
        <v>2591000</v>
      </c>
    </row>
    <row r="428" spans="1:6">
      <c r="A428" s="54" t="s">
        <v>1442</v>
      </c>
      <c r="B428" s="159" t="s">
        <v>911</v>
      </c>
      <c r="C428" s="54" t="s">
        <v>485</v>
      </c>
      <c r="D428" s="54" t="s">
        <v>1443</v>
      </c>
      <c r="E428" s="139">
        <v>194000</v>
      </c>
      <c r="F428" s="142">
        <v>194000</v>
      </c>
    </row>
    <row r="429" spans="1:6">
      <c r="A429" s="54" t="s">
        <v>254</v>
      </c>
      <c r="B429" s="159" t="s">
        <v>911</v>
      </c>
      <c r="C429" s="191" t="s">
        <v>485</v>
      </c>
      <c r="D429" s="191" t="s">
        <v>510</v>
      </c>
      <c r="E429" s="139">
        <v>2397000</v>
      </c>
      <c r="F429" s="139">
        <v>2397000</v>
      </c>
    </row>
    <row r="430" spans="1:6" ht="102">
      <c r="A430" s="54" t="s">
        <v>649</v>
      </c>
      <c r="B430" s="159" t="s">
        <v>934</v>
      </c>
      <c r="C430" s="191"/>
      <c r="D430" s="191"/>
      <c r="E430" s="139">
        <v>15120990</v>
      </c>
      <c r="F430" s="142">
        <v>15120990</v>
      </c>
    </row>
    <row r="431" spans="1:6" ht="76.5">
      <c r="A431" s="216" t="s">
        <v>465</v>
      </c>
      <c r="B431" s="141" t="s">
        <v>934</v>
      </c>
      <c r="C431" s="54" t="s">
        <v>466</v>
      </c>
      <c r="D431" s="54"/>
      <c r="E431" s="139">
        <v>15120990</v>
      </c>
      <c r="F431" s="142">
        <v>15120990</v>
      </c>
    </row>
    <row r="432" spans="1:6">
      <c r="A432" s="216" t="s">
        <v>254</v>
      </c>
      <c r="B432" s="159" t="s">
        <v>934</v>
      </c>
      <c r="C432" s="54" t="s">
        <v>466</v>
      </c>
      <c r="D432" s="54" t="s">
        <v>510</v>
      </c>
      <c r="E432" s="139">
        <v>15120990</v>
      </c>
      <c r="F432" s="142">
        <v>15120990</v>
      </c>
    </row>
    <row r="433" spans="1:6" ht="165.75">
      <c r="A433" s="54" t="s">
        <v>650</v>
      </c>
      <c r="B433" s="159" t="s">
        <v>935</v>
      </c>
      <c r="C433" s="54"/>
      <c r="D433" s="54"/>
      <c r="E433" s="139">
        <v>3262655</v>
      </c>
      <c r="F433" s="142">
        <v>3262655</v>
      </c>
    </row>
    <row r="434" spans="1:6" ht="76.5">
      <c r="A434" s="54" t="s">
        <v>465</v>
      </c>
      <c r="B434" s="159" t="s">
        <v>935</v>
      </c>
      <c r="C434" s="54" t="s">
        <v>466</v>
      </c>
      <c r="D434" s="54"/>
      <c r="E434" s="139">
        <v>3262655</v>
      </c>
      <c r="F434" s="142">
        <v>3262655</v>
      </c>
    </row>
    <row r="435" spans="1:6">
      <c r="A435" s="216" t="s">
        <v>254</v>
      </c>
      <c r="B435" s="159" t="s">
        <v>935</v>
      </c>
      <c r="C435" s="54" t="s">
        <v>466</v>
      </c>
      <c r="D435" s="54" t="s">
        <v>510</v>
      </c>
      <c r="E435" s="139">
        <v>3262655</v>
      </c>
      <c r="F435" s="142">
        <v>3262655</v>
      </c>
    </row>
    <row r="436" spans="1:6" ht="127.5">
      <c r="A436" s="54" t="s">
        <v>652</v>
      </c>
      <c r="B436" s="159" t="s">
        <v>937</v>
      </c>
      <c r="C436" s="54"/>
      <c r="D436" s="54"/>
      <c r="E436" s="139">
        <v>681270</v>
      </c>
      <c r="F436" s="142">
        <v>681270</v>
      </c>
    </row>
    <row r="437" spans="1:6" ht="25.5">
      <c r="A437" s="54" t="s">
        <v>484</v>
      </c>
      <c r="B437" s="159" t="s">
        <v>937</v>
      </c>
      <c r="C437" s="54" t="s">
        <v>485</v>
      </c>
      <c r="D437" s="54"/>
      <c r="E437" s="139">
        <v>681270</v>
      </c>
      <c r="F437" s="142">
        <v>681270</v>
      </c>
    </row>
    <row r="438" spans="1:6">
      <c r="A438" s="216" t="s">
        <v>254</v>
      </c>
      <c r="B438" s="159" t="s">
        <v>937</v>
      </c>
      <c r="C438" s="54" t="s">
        <v>485</v>
      </c>
      <c r="D438" s="54" t="s">
        <v>510</v>
      </c>
      <c r="E438" s="139">
        <v>681270</v>
      </c>
      <c r="F438" s="142">
        <v>681270</v>
      </c>
    </row>
    <row r="439" spans="1:6" ht="114.75">
      <c r="A439" s="54" t="s">
        <v>736</v>
      </c>
      <c r="B439" s="159" t="s">
        <v>938</v>
      </c>
      <c r="C439" s="54"/>
      <c r="D439" s="54"/>
      <c r="E439" s="139">
        <v>4220842</v>
      </c>
      <c r="F439" s="142">
        <v>4220842</v>
      </c>
    </row>
    <row r="440" spans="1:6" ht="76.5">
      <c r="A440" s="54" t="s">
        <v>465</v>
      </c>
      <c r="B440" s="159" t="s">
        <v>938</v>
      </c>
      <c r="C440" s="54" t="s">
        <v>466</v>
      </c>
      <c r="D440" s="54"/>
      <c r="E440" s="139">
        <v>4220842</v>
      </c>
      <c r="F440" s="142">
        <v>4220842</v>
      </c>
    </row>
    <row r="441" spans="1:6">
      <c r="A441" s="54" t="s">
        <v>254</v>
      </c>
      <c r="B441" s="141" t="s">
        <v>938</v>
      </c>
      <c r="C441" s="54" t="s">
        <v>466</v>
      </c>
      <c r="D441" s="54" t="s">
        <v>510</v>
      </c>
      <c r="E441" s="139">
        <v>4220842</v>
      </c>
      <c r="F441" s="142">
        <v>4220842</v>
      </c>
    </row>
    <row r="442" spans="1:6" ht="102">
      <c r="A442" s="54" t="s">
        <v>1181</v>
      </c>
      <c r="B442" s="141" t="s">
        <v>1182</v>
      </c>
      <c r="C442" s="54"/>
      <c r="D442" s="54"/>
      <c r="E442" s="139">
        <v>586774</v>
      </c>
      <c r="F442" s="142">
        <v>586774</v>
      </c>
    </row>
    <row r="443" spans="1:6" ht="76.5">
      <c r="A443" s="54" t="s">
        <v>465</v>
      </c>
      <c r="B443" s="159" t="s">
        <v>1182</v>
      </c>
      <c r="C443" s="54" t="s">
        <v>466</v>
      </c>
      <c r="D443" s="54"/>
      <c r="E443" s="139">
        <v>586774</v>
      </c>
      <c r="F443" s="142">
        <v>586774</v>
      </c>
    </row>
    <row r="444" spans="1:6">
      <c r="A444" s="54" t="s">
        <v>254</v>
      </c>
      <c r="B444" s="159" t="s">
        <v>1182</v>
      </c>
      <c r="C444" s="54" t="s">
        <v>466</v>
      </c>
      <c r="D444" s="54" t="s">
        <v>510</v>
      </c>
      <c r="E444" s="139">
        <v>586774</v>
      </c>
      <c r="F444" s="142">
        <v>586774</v>
      </c>
    </row>
    <row r="445" spans="1:6" ht="38.25">
      <c r="A445" s="54" t="s">
        <v>760</v>
      </c>
      <c r="B445" s="159" t="s">
        <v>1215</v>
      </c>
      <c r="C445" s="54"/>
      <c r="D445" s="54"/>
      <c r="E445" s="139">
        <v>52501133</v>
      </c>
      <c r="F445" s="142">
        <v>52501133</v>
      </c>
    </row>
    <row r="446" spans="1:6" ht="140.25">
      <c r="A446" s="54" t="s">
        <v>638</v>
      </c>
      <c r="B446" s="159" t="s">
        <v>912</v>
      </c>
      <c r="C446" s="54"/>
      <c r="D446" s="54"/>
      <c r="E446" s="139">
        <v>44761949</v>
      </c>
      <c r="F446" s="142">
        <v>44761949</v>
      </c>
    </row>
    <row r="447" spans="1:6">
      <c r="A447" s="54" t="s">
        <v>1603</v>
      </c>
      <c r="B447" s="159" t="s">
        <v>912</v>
      </c>
      <c r="C447" s="54" t="s">
        <v>460</v>
      </c>
      <c r="D447" s="54"/>
      <c r="E447" s="139">
        <v>9130402</v>
      </c>
      <c r="F447" s="142">
        <v>9130402</v>
      </c>
    </row>
    <row r="448" spans="1:6" ht="25.5">
      <c r="A448" s="216" t="s">
        <v>0</v>
      </c>
      <c r="B448" s="141" t="s">
        <v>912</v>
      </c>
      <c r="C448" s="54" t="s">
        <v>460</v>
      </c>
      <c r="D448" s="54" t="s">
        <v>522</v>
      </c>
      <c r="E448" s="139">
        <v>9130402</v>
      </c>
      <c r="F448" s="142">
        <v>9130402</v>
      </c>
    </row>
    <row r="449" spans="1:6" ht="25.5">
      <c r="A449" s="216" t="s">
        <v>1617</v>
      </c>
      <c r="B449" s="141" t="s">
        <v>912</v>
      </c>
      <c r="C449" s="54" t="s">
        <v>509</v>
      </c>
      <c r="D449" s="54"/>
      <c r="E449" s="139">
        <v>47100</v>
      </c>
      <c r="F449" s="142">
        <v>47100</v>
      </c>
    </row>
    <row r="450" spans="1:6" ht="25.5">
      <c r="A450" s="54" t="s">
        <v>0</v>
      </c>
      <c r="B450" s="141" t="s">
        <v>912</v>
      </c>
      <c r="C450" s="54" t="s">
        <v>509</v>
      </c>
      <c r="D450" s="54" t="s">
        <v>522</v>
      </c>
      <c r="E450" s="139">
        <v>47100</v>
      </c>
      <c r="F450" s="142">
        <v>47100</v>
      </c>
    </row>
    <row r="451" spans="1:6" ht="51">
      <c r="A451" s="54" t="s">
        <v>1604</v>
      </c>
      <c r="B451" s="141" t="s">
        <v>912</v>
      </c>
      <c r="C451" s="54" t="s">
        <v>1290</v>
      </c>
      <c r="D451" s="54"/>
      <c r="E451" s="139">
        <v>2757381</v>
      </c>
      <c r="F451" s="142">
        <v>2757381</v>
      </c>
    </row>
    <row r="452" spans="1:6" ht="25.5">
      <c r="A452" s="216" t="s">
        <v>0</v>
      </c>
      <c r="B452" s="141" t="s">
        <v>912</v>
      </c>
      <c r="C452" s="54" t="s">
        <v>1290</v>
      </c>
      <c r="D452" s="54" t="s">
        <v>522</v>
      </c>
      <c r="E452" s="139">
        <v>2757381</v>
      </c>
      <c r="F452" s="142">
        <v>2757381</v>
      </c>
    </row>
    <row r="453" spans="1:6" ht="38.25">
      <c r="A453" s="216" t="s">
        <v>445</v>
      </c>
      <c r="B453" s="159" t="s">
        <v>912</v>
      </c>
      <c r="C453" s="54" t="s">
        <v>446</v>
      </c>
      <c r="D453" s="54"/>
      <c r="E453" s="139">
        <v>1556650</v>
      </c>
      <c r="F453" s="142">
        <v>1556650</v>
      </c>
    </row>
    <row r="454" spans="1:6" ht="25.5">
      <c r="A454" s="54" t="s">
        <v>0</v>
      </c>
      <c r="B454" s="159" t="s">
        <v>912</v>
      </c>
      <c r="C454" s="54" t="s">
        <v>446</v>
      </c>
      <c r="D454" s="54" t="s">
        <v>522</v>
      </c>
      <c r="E454" s="139">
        <v>1556650</v>
      </c>
      <c r="F454" s="142">
        <v>1556650</v>
      </c>
    </row>
    <row r="455" spans="1:6" ht="76.5">
      <c r="A455" s="54" t="s">
        <v>465</v>
      </c>
      <c r="B455" s="159" t="s">
        <v>912</v>
      </c>
      <c r="C455" s="54" t="s">
        <v>466</v>
      </c>
      <c r="D455" s="54"/>
      <c r="E455" s="139">
        <v>31270416</v>
      </c>
      <c r="F455" s="142">
        <v>31270416</v>
      </c>
    </row>
    <row r="456" spans="1:6">
      <c r="A456" s="54" t="s">
        <v>1442</v>
      </c>
      <c r="B456" s="159" t="s">
        <v>912</v>
      </c>
      <c r="C456" s="54" t="s">
        <v>466</v>
      </c>
      <c r="D456" s="54" t="s">
        <v>1443</v>
      </c>
      <c r="E456" s="139">
        <v>31270416</v>
      </c>
      <c r="F456" s="142">
        <v>31270416</v>
      </c>
    </row>
    <row r="457" spans="1:6" ht="191.25">
      <c r="A457" s="54" t="s">
        <v>639</v>
      </c>
      <c r="B457" s="159" t="s">
        <v>913</v>
      </c>
      <c r="C457" s="54"/>
      <c r="D457" s="54"/>
      <c r="E457" s="139">
        <v>3737500</v>
      </c>
      <c r="F457" s="142">
        <v>3737500</v>
      </c>
    </row>
    <row r="458" spans="1:6">
      <c r="A458" s="54" t="s">
        <v>1603</v>
      </c>
      <c r="B458" s="141" t="s">
        <v>913</v>
      </c>
      <c r="C458" s="54" t="s">
        <v>460</v>
      </c>
      <c r="D458" s="54"/>
      <c r="E458" s="139">
        <v>291860</v>
      </c>
      <c r="F458" s="142">
        <v>291860</v>
      </c>
    </row>
    <row r="459" spans="1:6" ht="25.5">
      <c r="A459" s="54" t="s">
        <v>0</v>
      </c>
      <c r="B459" s="159" t="s">
        <v>913</v>
      </c>
      <c r="C459" s="54" t="s">
        <v>460</v>
      </c>
      <c r="D459" s="54" t="s">
        <v>522</v>
      </c>
      <c r="E459" s="139">
        <v>291860</v>
      </c>
      <c r="F459" s="142">
        <v>291860</v>
      </c>
    </row>
    <row r="460" spans="1:6" ht="51">
      <c r="A460" s="54" t="s">
        <v>1604</v>
      </c>
      <c r="B460" s="159" t="s">
        <v>913</v>
      </c>
      <c r="C460" s="54" t="s">
        <v>1290</v>
      </c>
      <c r="D460" s="54"/>
      <c r="E460" s="139">
        <v>88140</v>
      </c>
      <c r="F460" s="142">
        <v>88140</v>
      </c>
    </row>
    <row r="461" spans="1:6" ht="25.5">
      <c r="A461" s="54" t="s">
        <v>0</v>
      </c>
      <c r="B461" s="159" t="s">
        <v>913</v>
      </c>
      <c r="C461" s="54" t="s">
        <v>1290</v>
      </c>
      <c r="D461" s="54" t="s">
        <v>522</v>
      </c>
      <c r="E461" s="139">
        <v>88140</v>
      </c>
      <c r="F461" s="142">
        <v>88140</v>
      </c>
    </row>
    <row r="462" spans="1:6" ht="76.5">
      <c r="A462" s="54" t="s">
        <v>465</v>
      </c>
      <c r="B462" s="137" t="s">
        <v>913</v>
      </c>
      <c r="C462" s="54" t="s">
        <v>466</v>
      </c>
      <c r="D462" s="54"/>
      <c r="E462" s="139">
        <v>3357500</v>
      </c>
      <c r="F462" s="142">
        <v>3357500</v>
      </c>
    </row>
    <row r="463" spans="1:6">
      <c r="A463" s="54" t="s">
        <v>1442</v>
      </c>
      <c r="B463" s="137" t="s">
        <v>913</v>
      </c>
      <c r="C463" s="54" t="s">
        <v>466</v>
      </c>
      <c r="D463" s="54" t="s">
        <v>1443</v>
      </c>
      <c r="E463" s="139">
        <v>3357500</v>
      </c>
      <c r="F463" s="142">
        <v>3357500</v>
      </c>
    </row>
    <row r="464" spans="1:6" ht="153">
      <c r="A464" s="54" t="s">
        <v>731</v>
      </c>
      <c r="B464" s="137" t="s">
        <v>914</v>
      </c>
      <c r="C464" s="54"/>
      <c r="D464" s="54"/>
      <c r="E464" s="139">
        <v>174900</v>
      </c>
      <c r="F464" s="142">
        <v>174900</v>
      </c>
    </row>
    <row r="465" spans="1:6" ht="76.5">
      <c r="A465" s="54" t="s">
        <v>465</v>
      </c>
      <c r="B465" s="159" t="s">
        <v>914</v>
      </c>
      <c r="C465" s="54" t="s">
        <v>466</v>
      </c>
      <c r="D465" s="54"/>
      <c r="E465" s="139">
        <v>174900</v>
      </c>
      <c r="F465" s="142">
        <v>174900</v>
      </c>
    </row>
    <row r="466" spans="1:6">
      <c r="A466" s="54" t="s">
        <v>1442</v>
      </c>
      <c r="B466" s="159" t="s">
        <v>914</v>
      </c>
      <c r="C466" s="54" t="s">
        <v>466</v>
      </c>
      <c r="D466" s="54" t="s">
        <v>1443</v>
      </c>
      <c r="E466" s="139">
        <v>174900</v>
      </c>
      <c r="F466" s="142">
        <v>174900</v>
      </c>
    </row>
    <row r="467" spans="1:6" ht="127.5">
      <c r="A467" s="53" t="s">
        <v>640</v>
      </c>
      <c r="B467" s="159" t="s">
        <v>915</v>
      </c>
      <c r="C467" s="54"/>
      <c r="D467" s="54"/>
      <c r="E467" s="139">
        <v>822529</v>
      </c>
      <c r="F467" s="142">
        <v>822529</v>
      </c>
    </row>
    <row r="468" spans="1:6" ht="25.5">
      <c r="A468" s="54" t="s">
        <v>1617</v>
      </c>
      <c r="B468" s="141" t="s">
        <v>915</v>
      </c>
      <c r="C468" s="54" t="s">
        <v>509</v>
      </c>
      <c r="D468" s="54"/>
      <c r="E468" s="139">
        <v>393529</v>
      </c>
      <c r="F468" s="142">
        <v>393529</v>
      </c>
    </row>
    <row r="469" spans="1:6" ht="25.5">
      <c r="A469" s="54" t="s">
        <v>0</v>
      </c>
      <c r="B469" s="159" t="s">
        <v>915</v>
      </c>
      <c r="C469" s="54" t="s">
        <v>509</v>
      </c>
      <c r="D469" s="54" t="s">
        <v>522</v>
      </c>
      <c r="E469" s="139">
        <v>393529</v>
      </c>
      <c r="F469" s="142">
        <v>393529</v>
      </c>
    </row>
    <row r="470" spans="1:6" ht="25.5">
      <c r="A470" s="54" t="s">
        <v>484</v>
      </c>
      <c r="B470" s="159" t="s">
        <v>915</v>
      </c>
      <c r="C470" s="54" t="s">
        <v>485</v>
      </c>
      <c r="D470" s="54"/>
      <c r="E470" s="139">
        <v>429000</v>
      </c>
      <c r="F470" s="142">
        <v>429000</v>
      </c>
    </row>
    <row r="471" spans="1:6">
      <c r="A471" s="54" t="s">
        <v>1442</v>
      </c>
      <c r="B471" s="159" t="s">
        <v>915</v>
      </c>
      <c r="C471" s="54" t="s">
        <v>485</v>
      </c>
      <c r="D471" s="54" t="s">
        <v>1443</v>
      </c>
      <c r="E471" s="139">
        <v>429000</v>
      </c>
      <c r="F471" s="142">
        <v>429000</v>
      </c>
    </row>
    <row r="472" spans="1:6" ht="140.25">
      <c r="A472" s="54" t="s">
        <v>732</v>
      </c>
      <c r="B472" s="159" t="s">
        <v>916</v>
      </c>
      <c r="C472" s="54"/>
      <c r="D472" s="54"/>
      <c r="E472" s="139">
        <v>2508375</v>
      </c>
      <c r="F472" s="142">
        <v>2508375</v>
      </c>
    </row>
    <row r="473" spans="1:6" ht="38.25">
      <c r="A473" s="54" t="s">
        <v>445</v>
      </c>
      <c r="B473" s="159" t="s">
        <v>916</v>
      </c>
      <c r="C473" s="54" t="s">
        <v>446</v>
      </c>
      <c r="D473" s="54"/>
      <c r="E473" s="139">
        <v>304728</v>
      </c>
      <c r="F473" s="142">
        <v>304728</v>
      </c>
    </row>
    <row r="474" spans="1:6" ht="25.5">
      <c r="A474" s="54" t="s">
        <v>0</v>
      </c>
      <c r="B474" s="159" t="s">
        <v>916</v>
      </c>
      <c r="C474" s="54" t="s">
        <v>446</v>
      </c>
      <c r="D474" s="54" t="s">
        <v>522</v>
      </c>
      <c r="E474" s="139">
        <v>304728</v>
      </c>
      <c r="F474" s="142">
        <v>304728</v>
      </c>
    </row>
    <row r="475" spans="1:6" ht="76.5">
      <c r="A475" s="229" t="s">
        <v>465</v>
      </c>
      <c r="B475" s="275" t="s">
        <v>916</v>
      </c>
      <c r="C475" s="54" t="s">
        <v>466</v>
      </c>
      <c r="D475" s="54"/>
      <c r="E475" s="97">
        <v>2203647</v>
      </c>
      <c r="F475" s="142">
        <v>2203647</v>
      </c>
    </row>
    <row r="476" spans="1:6">
      <c r="A476" s="229" t="s">
        <v>1442</v>
      </c>
      <c r="B476" s="275" t="s">
        <v>916</v>
      </c>
      <c r="C476" s="275" t="s">
        <v>466</v>
      </c>
      <c r="D476" s="275" t="s">
        <v>1443</v>
      </c>
      <c r="E476" s="220">
        <v>2203647</v>
      </c>
      <c r="F476" s="142">
        <v>2203647</v>
      </c>
    </row>
    <row r="477" spans="1:6" ht="89.25">
      <c r="A477" s="229" t="s">
        <v>1183</v>
      </c>
      <c r="B477" s="275" t="s">
        <v>1184</v>
      </c>
      <c r="C477" s="275"/>
      <c r="D477" s="275"/>
      <c r="E477" s="220">
        <v>120000</v>
      </c>
      <c r="F477" s="142">
        <v>120000</v>
      </c>
    </row>
    <row r="478" spans="1:6" ht="38.25">
      <c r="A478" s="54" t="s">
        <v>445</v>
      </c>
      <c r="B478" s="159" t="s">
        <v>1184</v>
      </c>
      <c r="C478" s="54" t="s">
        <v>446</v>
      </c>
      <c r="D478" s="54"/>
      <c r="E478" s="139">
        <v>120000</v>
      </c>
      <c r="F478" s="142">
        <v>120000</v>
      </c>
    </row>
    <row r="479" spans="1:6" ht="25.5">
      <c r="A479" s="54" t="s">
        <v>0</v>
      </c>
      <c r="B479" s="159" t="s">
        <v>1184</v>
      </c>
      <c r="C479" s="54" t="s">
        <v>446</v>
      </c>
      <c r="D479" s="54" t="s">
        <v>522</v>
      </c>
      <c r="E479" s="139">
        <v>120000</v>
      </c>
      <c r="F479" s="142">
        <v>120000</v>
      </c>
    </row>
    <row r="480" spans="1:6" ht="127.5">
      <c r="A480" s="54" t="s">
        <v>1173</v>
      </c>
      <c r="B480" s="159" t="s">
        <v>1174</v>
      </c>
      <c r="C480" s="54"/>
      <c r="D480" s="54"/>
      <c r="E480" s="139">
        <v>375880</v>
      </c>
      <c r="F480" s="142">
        <v>375880</v>
      </c>
    </row>
    <row r="481" spans="1:6" ht="38.25">
      <c r="A481" s="54" t="s">
        <v>445</v>
      </c>
      <c r="B481" s="159" t="s">
        <v>1174</v>
      </c>
      <c r="C481" s="54" t="s">
        <v>446</v>
      </c>
      <c r="D481" s="54"/>
      <c r="E481" s="139">
        <v>101000</v>
      </c>
      <c r="F481" s="142">
        <v>101000</v>
      </c>
    </row>
    <row r="482" spans="1:6" ht="25.5">
      <c r="A482" s="54" t="s">
        <v>0</v>
      </c>
      <c r="B482" s="159" t="s">
        <v>1174</v>
      </c>
      <c r="C482" s="54" t="s">
        <v>446</v>
      </c>
      <c r="D482" s="54" t="s">
        <v>522</v>
      </c>
      <c r="E482" s="139">
        <v>101000</v>
      </c>
      <c r="F482" s="142">
        <v>101000</v>
      </c>
    </row>
    <row r="483" spans="1:6" ht="76.5">
      <c r="A483" s="54" t="s">
        <v>465</v>
      </c>
      <c r="B483" s="159" t="s">
        <v>1174</v>
      </c>
      <c r="C483" s="54" t="s">
        <v>466</v>
      </c>
      <c r="D483" s="54"/>
      <c r="E483" s="139">
        <v>274880</v>
      </c>
      <c r="F483" s="142">
        <v>274880</v>
      </c>
    </row>
    <row r="484" spans="1:6">
      <c r="A484" s="54" t="s">
        <v>1442</v>
      </c>
      <c r="B484" s="159" t="s">
        <v>1174</v>
      </c>
      <c r="C484" s="54" t="s">
        <v>466</v>
      </c>
      <c r="D484" s="54" t="s">
        <v>1443</v>
      </c>
      <c r="E484" s="139">
        <v>274880</v>
      </c>
      <c r="F484" s="142">
        <v>274880</v>
      </c>
    </row>
    <row r="485" spans="1:6" ht="25.5">
      <c r="A485" s="54" t="s">
        <v>593</v>
      </c>
      <c r="B485" s="159" t="s">
        <v>1216</v>
      </c>
      <c r="C485" s="54"/>
      <c r="D485" s="54"/>
      <c r="E485" s="139">
        <v>10305900</v>
      </c>
      <c r="F485" s="142">
        <v>10305900</v>
      </c>
    </row>
    <row r="486" spans="1:6" ht="38.25">
      <c r="A486" s="54" t="s">
        <v>594</v>
      </c>
      <c r="B486" s="159" t="s">
        <v>1217</v>
      </c>
      <c r="C486" s="54"/>
      <c r="D486" s="54"/>
      <c r="E486" s="139">
        <v>1138400</v>
      </c>
      <c r="F486" s="142">
        <v>1138400</v>
      </c>
    </row>
    <row r="487" spans="1:6" ht="63.75">
      <c r="A487" s="54" t="s">
        <v>1171</v>
      </c>
      <c r="B487" s="159" t="s">
        <v>1172</v>
      </c>
      <c r="C487" s="54"/>
      <c r="D487" s="54"/>
      <c r="E487" s="139">
        <v>164160</v>
      </c>
      <c r="F487" s="142">
        <v>164160</v>
      </c>
    </row>
    <row r="488" spans="1:6" ht="25.5">
      <c r="A488" s="54" t="s">
        <v>484</v>
      </c>
      <c r="B488" s="159" t="s">
        <v>1172</v>
      </c>
      <c r="C488" s="191" t="s">
        <v>485</v>
      </c>
      <c r="D488" s="54"/>
      <c r="E488" s="139">
        <v>164160</v>
      </c>
      <c r="F488" s="142">
        <v>164160</v>
      </c>
    </row>
    <row r="489" spans="1:6">
      <c r="A489" s="54" t="s">
        <v>1440</v>
      </c>
      <c r="B489" s="159" t="s">
        <v>1172</v>
      </c>
      <c r="C489" s="191" t="s">
        <v>485</v>
      </c>
      <c r="D489" s="54" t="s">
        <v>483</v>
      </c>
      <c r="E489" s="139">
        <v>164160</v>
      </c>
      <c r="F489" s="142">
        <v>164160</v>
      </c>
    </row>
    <row r="490" spans="1:6" ht="102">
      <c r="A490" s="216" t="s">
        <v>486</v>
      </c>
      <c r="B490" s="159" t="s">
        <v>891</v>
      </c>
      <c r="C490" s="54"/>
      <c r="D490" s="54"/>
      <c r="E490" s="139">
        <v>300000</v>
      </c>
      <c r="F490" s="142">
        <v>300000</v>
      </c>
    </row>
    <row r="491" spans="1:6" ht="25.5">
      <c r="A491" s="54" t="s">
        <v>484</v>
      </c>
      <c r="B491" s="159" t="s">
        <v>891</v>
      </c>
      <c r="C491" s="54" t="s">
        <v>485</v>
      </c>
      <c r="D491" s="54"/>
      <c r="E491" s="139">
        <v>300000</v>
      </c>
      <c r="F491" s="142">
        <v>300000</v>
      </c>
    </row>
    <row r="492" spans="1:6">
      <c r="A492" s="54" t="s">
        <v>1440</v>
      </c>
      <c r="B492" s="159" t="s">
        <v>891</v>
      </c>
      <c r="C492" s="54" t="s">
        <v>485</v>
      </c>
      <c r="D492" s="54" t="s">
        <v>483</v>
      </c>
      <c r="E492" s="139">
        <v>300000</v>
      </c>
      <c r="F492" s="142">
        <v>300000</v>
      </c>
    </row>
    <row r="493" spans="1:6" ht="89.25">
      <c r="A493" s="54" t="s">
        <v>556</v>
      </c>
      <c r="B493" s="159" t="s">
        <v>1008</v>
      </c>
      <c r="C493" s="54"/>
      <c r="D493" s="54"/>
      <c r="E493" s="139">
        <v>674240</v>
      </c>
      <c r="F493" s="142">
        <v>674240</v>
      </c>
    </row>
    <row r="494" spans="1:6">
      <c r="A494" s="54" t="s">
        <v>93</v>
      </c>
      <c r="B494" s="159" t="s">
        <v>1008</v>
      </c>
      <c r="C494" s="54" t="s">
        <v>550</v>
      </c>
      <c r="D494" s="54"/>
      <c r="E494" s="225">
        <v>674240</v>
      </c>
      <c r="F494" s="226">
        <v>674240</v>
      </c>
    </row>
    <row r="495" spans="1:6">
      <c r="A495" s="54" t="s">
        <v>1440</v>
      </c>
      <c r="B495" s="159" t="s">
        <v>1008</v>
      </c>
      <c r="C495" s="54" t="s">
        <v>550</v>
      </c>
      <c r="D495" s="54" t="s">
        <v>483</v>
      </c>
      <c r="E495" s="225">
        <v>674240</v>
      </c>
      <c r="F495" s="226">
        <v>674240</v>
      </c>
    </row>
    <row r="496" spans="1:6" ht="38.25">
      <c r="A496" s="216" t="s">
        <v>596</v>
      </c>
      <c r="B496" s="159" t="s">
        <v>1448</v>
      </c>
      <c r="C496" s="54"/>
      <c r="D496" s="54"/>
      <c r="E496" s="225">
        <v>430000</v>
      </c>
      <c r="F496" s="226">
        <v>430000</v>
      </c>
    </row>
    <row r="497" spans="1:6" ht="63.75">
      <c r="A497" s="54" t="s">
        <v>487</v>
      </c>
      <c r="B497" s="159" t="s">
        <v>892</v>
      </c>
      <c r="C497" s="54"/>
      <c r="D497" s="54"/>
      <c r="E497" s="225">
        <v>430000</v>
      </c>
      <c r="F497" s="226">
        <v>430000</v>
      </c>
    </row>
    <row r="498" spans="1:6" ht="25.5">
      <c r="A498" s="54" t="s">
        <v>484</v>
      </c>
      <c r="B498" s="159" t="s">
        <v>892</v>
      </c>
      <c r="C498" s="54" t="s">
        <v>485</v>
      </c>
      <c r="D498" s="54"/>
      <c r="E498" s="225">
        <v>430000</v>
      </c>
      <c r="F498" s="226">
        <v>430000</v>
      </c>
    </row>
    <row r="499" spans="1:6">
      <c r="A499" s="54" t="s">
        <v>1440</v>
      </c>
      <c r="B499" s="159" t="s">
        <v>892</v>
      </c>
      <c r="C499" s="54" t="s">
        <v>485</v>
      </c>
      <c r="D499" s="54" t="s">
        <v>483</v>
      </c>
      <c r="E499" s="225">
        <v>430000</v>
      </c>
      <c r="F499" s="226">
        <v>430000</v>
      </c>
    </row>
    <row r="500" spans="1:6" ht="25.5">
      <c r="A500" s="54" t="s">
        <v>598</v>
      </c>
      <c r="B500" s="159" t="s">
        <v>1218</v>
      </c>
      <c r="C500" s="54"/>
      <c r="D500" s="54"/>
      <c r="E500" s="225">
        <v>2555400</v>
      </c>
      <c r="F500" s="226">
        <v>2555400</v>
      </c>
    </row>
    <row r="501" spans="1:6" ht="114.75">
      <c r="A501" s="54" t="s">
        <v>526</v>
      </c>
      <c r="B501" s="159" t="s">
        <v>1311</v>
      </c>
      <c r="C501" s="54"/>
      <c r="D501" s="54"/>
      <c r="E501" s="225">
        <v>2555400</v>
      </c>
      <c r="F501" s="226">
        <v>2555400</v>
      </c>
    </row>
    <row r="502" spans="1:6" ht="25.5">
      <c r="A502" s="54" t="s">
        <v>768</v>
      </c>
      <c r="B502" s="159" t="s">
        <v>1311</v>
      </c>
      <c r="C502" s="54" t="s">
        <v>767</v>
      </c>
      <c r="D502" s="54"/>
      <c r="E502" s="225">
        <v>2555400</v>
      </c>
      <c r="F502" s="226">
        <v>2555400</v>
      </c>
    </row>
    <row r="503" spans="1:6">
      <c r="A503" s="54" t="s">
        <v>127</v>
      </c>
      <c r="B503" s="159" t="s">
        <v>1311</v>
      </c>
      <c r="C503" s="54" t="s">
        <v>767</v>
      </c>
      <c r="D503" s="54" t="s">
        <v>496</v>
      </c>
      <c r="E503" s="225">
        <v>2555400</v>
      </c>
      <c r="F503" s="226">
        <v>2555400</v>
      </c>
    </row>
    <row r="504" spans="1:6" ht="38.25">
      <c r="A504" s="54" t="s">
        <v>574</v>
      </c>
      <c r="B504" s="159" t="s">
        <v>1219</v>
      </c>
      <c r="C504" s="54"/>
      <c r="D504" s="54"/>
      <c r="E504" s="225">
        <v>6182100</v>
      </c>
      <c r="F504" s="226">
        <v>6182100</v>
      </c>
    </row>
    <row r="505" spans="1:6" ht="127.5">
      <c r="A505" s="54" t="s">
        <v>489</v>
      </c>
      <c r="B505" s="159" t="s">
        <v>894</v>
      </c>
      <c r="C505" s="54"/>
      <c r="D505" s="54"/>
      <c r="E505" s="225">
        <v>4917400</v>
      </c>
      <c r="F505" s="226">
        <v>4917400</v>
      </c>
    </row>
    <row r="506" spans="1:6" ht="76.5">
      <c r="A506" s="54" t="s">
        <v>465</v>
      </c>
      <c r="B506" s="159" t="s">
        <v>894</v>
      </c>
      <c r="C506" s="54" t="s">
        <v>466</v>
      </c>
      <c r="D506" s="54"/>
      <c r="E506" s="225">
        <v>4917400</v>
      </c>
      <c r="F506" s="226">
        <v>4917400</v>
      </c>
    </row>
    <row r="507" spans="1:6">
      <c r="A507" s="54" t="s">
        <v>1440</v>
      </c>
      <c r="B507" s="159" t="s">
        <v>894</v>
      </c>
      <c r="C507" s="54" t="s">
        <v>466</v>
      </c>
      <c r="D507" s="54" t="s">
        <v>483</v>
      </c>
      <c r="E507" s="225">
        <v>4917400</v>
      </c>
      <c r="F507" s="226">
        <v>4917400</v>
      </c>
    </row>
    <row r="508" spans="1:6" ht="178.5">
      <c r="A508" s="54" t="s">
        <v>490</v>
      </c>
      <c r="B508" s="159" t="s">
        <v>895</v>
      </c>
      <c r="C508" s="54"/>
      <c r="D508" s="54"/>
      <c r="E508" s="225">
        <v>420000</v>
      </c>
      <c r="F508" s="226">
        <v>420000</v>
      </c>
    </row>
    <row r="509" spans="1:6" ht="76.5">
      <c r="A509" s="54" t="s">
        <v>465</v>
      </c>
      <c r="B509" s="159" t="s">
        <v>895</v>
      </c>
      <c r="C509" s="54" t="s">
        <v>466</v>
      </c>
      <c r="D509" s="54"/>
      <c r="E509" s="225">
        <v>420000</v>
      </c>
      <c r="F509" s="226">
        <v>420000</v>
      </c>
    </row>
    <row r="510" spans="1:6">
      <c r="A510" s="54" t="s">
        <v>1440</v>
      </c>
      <c r="B510" s="159" t="s">
        <v>895</v>
      </c>
      <c r="C510" s="54" t="s">
        <v>466</v>
      </c>
      <c r="D510" s="54" t="s">
        <v>483</v>
      </c>
      <c r="E510" s="225">
        <v>420000</v>
      </c>
      <c r="F510" s="226">
        <v>420000</v>
      </c>
    </row>
    <row r="511" spans="1:6" ht="127.5">
      <c r="A511" s="54" t="s">
        <v>1118</v>
      </c>
      <c r="B511" s="159" t="s">
        <v>1117</v>
      </c>
      <c r="C511" s="54"/>
      <c r="D511" s="54"/>
      <c r="E511" s="225">
        <v>50000</v>
      </c>
      <c r="F511" s="226">
        <v>50000</v>
      </c>
    </row>
    <row r="512" spans="1:6" ht="25.5">
      <c r="A512" s="54" t="s">
        <v>484</v>
      </c>
      <c r="B512" s="159" t="s">
        <v>1117</v>
      </c>
      <c r="C512" s="54" t="s">
        <v>485</v>
      </c>
      <c r="D512" s="54"/>
      <c r="E512" s="225">
        <v>50000</v>
      </c>
      <c r="F512" s="226">
        <v>50000</v>
      </c>
    </row>
    <row r="513" spans="1:6">
      <c r="A513" s="54" t="s">
        <v>1440</v>
      </c>
      <c r="B513" s="159" t="s">
        <v>1117</v>
      </c>
      <c r="C513" s="54" t="s">
        <v>485</v>
      </c>
      <c r="D513" s="54" t="s">
        <v>483</v>
      </c>
      <c r="E513" s="225">
        <v>50000</v>
      </c>
      <c r="F513" s="226">
        <v>50000</v>
      </c>
    </row>
    <row r="514" spans="1:6" ht="76.5">
      <c r="A514" s="54" t="s">
        <v>488</v>
      </c>
      <c r="B514" s="159" t="s">
        <v>893</v>
      </c>
      <c r="C514" s="54"/>
      <c r="D514" s="54"/>
      <c r="E514" s="225">
        <v>794700</v>
      </c>
      <c r="F514" s="226">
        <v>794700</v>
      </c>
    </row>
    <row r="515" spans="1:6" ht="25.5">
      <c r="A515" s="54" t="s">
        <v>484</v>
      </c>
      <c r="B515" s="159" t="s">
        <v>893</v>
      </c>
      <c r="C515" s="54" t="s">
        <v>485</v>
      </c>
      <c r="D515" s="54"/>
      <c r="E515" s="225">
        <v>794700</v>
      </c>
      <c r="F515" s="226">
        <v>794700</v>
      </c>
    </row>
    <row r="516" spans="1:6">
      <c r="A516" s="54" t="s">
        <v>1440</v>
      </c>
      <c r="B516" s="159" t="s">
        <v>893</v>
      </c>
      <c r="C516" s="54" t="s">
        <v>485</v>
      </c>
      <c r="D516" s="54" t="s">
        <v>483</v>
      </c>
      <c r="E516" s="225">
        <v>794700</v>
      </c>
      <c r="F516" s="226">
        <v>794700</v>
      </c>
    </row>
    <row r="517" spans="1:6" ht="38.25">
      <c r="A517" s="54" t="s">
        <v>601</v>
      </c>
      <c r="B517" s="159" t="s">
        <v>1220</v>
      </c>
      <c r="C517" s="54"/>
      <c r="D517" s="54"/>
      <c r="E517" s="225">
        <v>1945700</v>
      </c>
      <c r="F517" s="226">
        <v>1945700</v>
      </c>
    </row>
    <row r="518" spans="1:6" ht="25.5">
      <c r="A518" s="54" t="s">
        <v>602</v>
      </c>
      <c r="B518" s="159" t="s">
        <v>1221</v>
      </c>
      <c r="C518" s="54"/>
      <c r="D518" s="54"/>
      <c r="E518" s="225">
        <v>1745700</v>
      </c>
      <c r="F518" s="226">
        <v>1745700</v>
      </c>
    </row>
    <row r="519" spans="1:6" ht="102">
      <c r="A519" s="54" t="s">
        <v>500</v>
      </c>
      <c r="B519" s="159" t="s">
        <v>897</v>
      </c>
      <c r="C519" s="54"/>
      <c r="D519" s="54"/>
      <c r="E519" s="225">
        <v>660700</v>
      </c>
      <c r="F519" s="226">
        <v>660700</v>
      </c>
    </row>
    <row r="520" spans="1:6" ht="63.75">
      <c r="A520" s="54" t="s">
        <v>1619</v>
      </c>
      <c r="B520" s="159" t="s">
        <v>897</v>
      </c>
      <c r="C520" s="54" t="s">
        <v>1295</v>
      </c>
      <c r="D520" s="54"/>
      <c r="E520" s="225">
        <v>20000</v>
      </c>
      <c r="F520" s="226">
        <v>20000</v>
      </c>
    </row>
    <row r="521" spans="1:6">
      <c r="A521" s="54" t="s">
        <v>258</v>
      </c>
      <c r="B521" s="159" t="s">
        <v>897</v>
      </c>
      <c r="C521" s="54" t="s">
        <v>1295</v>
      </c>
      <c r="D521" s="54" t="s">
        <v>499</v>
      </c>
      <c r="E521" s="225">
        <v>20000</v>
      </c>
      <c r="F521" s="226">
        <v>20000</v>
      </c>
    </row>
    <row r="522" spans="1:6" ht="38.25">
      <c r="A522" s="54" t="s">
        <v>445</v>
      </c>
      <c r="B522" s="159" t="s">
        <v>897</v>
      </c>
      <c r="C522" s="54" t="s">
        <v>446</v>
      </c>
      <c r="D522" s="54"/>
      <c r="E522" s="225">
        <v>640700</v>
      </c>
      <c r="F522" s="226">
        <v>640700</v>
      </c>
    </row>
    <row r="523" spans="1:6">
      <c r="A523" s="54" t="s">
        <v>258</v>
      </c>
      <c r="B523" s="159" t="s">
        <v>897</v>
      </c>
      <c r="C523" s="54" t="s">
        <v>446</v>
      </c>
      <c r="D523" s="54" t="s">
        <v>499</v>
      </c>
      <c r="E523" s="225">
        <v>640700</v>
      </c>
      <c r="F523" s="226">
        <v>640700</v>
      </c>
    </row>
    <row r="524" spans="1:6" ht="102">
      <c r="A524" s="54" t="s">
        <v>501</v>
      </c>
      <c r="B524" s="159" t="s">
        <v>898</v>
      </c>
      <c r="C524" s="54"/>
      <c r="D524" s="54"/>
      <c r="E524" s="225">
        <v>855000</v>
      </c>
      <c r="F524" s="226">
        <v>855000</v>
      </c>
    </row>
    <row r="525" spans="1:6" ht="25.5">
      <c r="A525" s="54" t="s">
        <v>1617</v>
      </c>
      <c r="B525" s="159" t="s">
        <v>898</v>
      </c>
      <c r="C525" s="54" t="s">
        <v>509</v>
      </c>
      <c r="D525" s="54"/>
      <c r="E525" s="225">
        <v>60000</v>
      </c>
      <c r="F525" s="226">
        <v>60000</v>
      </c>
    </row>
    <row r="526" spans="1:6">
      <c r="A526" s="54" t="s">
        <v>258</v>
      </c>
      <c r="B526" s="159" t="s">
        <v>898</v>
      </c>
      <c r="C526" s="54" t="s">
        <v>509</v>
      </c>
      <c r="D526" s="54" t="s">
        <v>499</v>
      </c>
      <c r="E526" s="225">
        <v>60000</v>
      </c>
      <c r="F526" s="226">
        <v>60000</v>
      </c>
    </row>
    <row r="527" spans="1:6" ht="63.75">
      <c r="A527" s="216" t="s">
        <v>1619</v>
      </c>
      <c r="B527" s="159" t="s">
        <v>898</v>
      </c>
      <c r="C527" s="54" t="s">
        <v>1295</v>
      </c>
      <c r="D527" s="54"/>
      <c r="E527" s="225">
        <v>700000</v>
      </c>
      <c r="F527" s="226">
        <v>700000</v>
      </c>
    </row>
    <row r="528" spans="1:6">
      <c r="A528" s="54" t="s">
        <v>258</v>
      </c>
      <c r="B528" s="159" t="s">
        <v>898</v>
      </c>
      <c r="C528" s="54" t="s">
        <v>1295</v>
      </c>
      <c r="D528" s="54" t="s">
        <v>499</v>
      </c>
      <c r="E528" s="225">
        <v>700000</v>
      </c>
      <c r="F528" s="226">
        <v>700000</v>
      </c>
    </row>
    <row r="529" spans="1:6" ht="38.25">
      <c r="A529" s="54" t="s">
        <v>445</v>
      </c>
      <c r="B529" s="159" t="s">
        <v>898</v>
      </c>
      <c r="C529" s="54" t="s">
        <v>446</v>
      </c>
      <c r="D529" s="54"/>
      <c r="E529" s="225">
        <v>95000</v>
      </c>
      <c r="F529" s="226">
        <v>95000</v>
      </c>
    </row>
    <row r="530" spans="1:6">
      <c r="A530" s="54" t="s">
        <v>258</v>
      </c>
      <c r="B530" s="159" t="s">
        <v>898</v>
      </c>
      <c r="C530" s="54" t="s">
        <v>446</v>
      </c>
      <c r="D530" s="54" t="s">
        <v>499</v>
      </c>
      <c r="E530" s="225">
        <v>95000</v>
      </c>
      <c r="F530" s="226">
        <v>95000</v>
      </c>
    </row>
    <row r="531" spans="1:6" ht="89.25">
      <c r="A531" s="54" t="s">
        <v>1620</v>
      </c>
      <c r="B531" s="159" t="s">
        <v>1621</v>
      </c>
      <c r="C531" s="54"/>
      <c r="D531" s="54"/>
      <c r="E531" s="225">
        <v>230000</v>
      </c>
      <c r="F531" s="226">
        <v>230000</v>
      </c>
    </row>
    <row r="532" spans="1:6" ht="38.25">
      <c r="A532" s="54" t="s">
        <v>445</v>
      </c>
      <c r="B532" s="159" t="s">
        <v>1621</v>
      </c>
      <c r="C532" s="54" t="s">
        <v>446</v>
      </c>
      <c r="D532" s="54"/>
      <c r="E532" s="225">
        <v>230000</v>
      </c>
      <c r="F532" s="226">
        <v>230000</v>
      </c>
    </row>
    <row r="533" spans="1:6">
      <c r="A533" s="54" t="s">
        <v>258</v>
      </c>
      <c r="B533" s="159" t="s">
        <v>1621</v>
      </c>
      <c r="C533" s="54" t="s">
        <v>446</v>
      </c>
      <c r="D533" s="54" t="s">
        <v>499</v>
      </c>
      <c r="E533" s="225">
        <v>230000</v>
      </c>
      <c r="F533" s="226">
        <v>230000</v>
      </c>
    </row>
    <row r="534" spans="1:6" ht="25.5">
      <c r="A534" s="54" t="s">
        <v>604</v>
      </c>
      <c r="B534" s="159" t="s">
        <v>1222</v>
      </c>
      <c r="C534" s="54"/>
      <c r="D534" s="54"/>
      <c r="E534" s="225">
        <v>200000</v>
      </c>
      <c r="F534" s="226">
        <v>200000</v>
      </c>
    </row>
    <row r="535" spans="1:6" ht="102">
      <c r="A535" s="54" t="s">
        <v>633</v>
      </c>
      <c r="B535" s="159" t="s">
        <v>899</v>
      </c>
      <c r="C535" s="54"/>
      <c r="D535" s="54"/>
      <c r="E535" s="225">
        <v>16900</v>
      </c>
      <c r="F535" s="226">
        <v>16900</v>
      </c>
    </row>
    <row r="536" spans="1:6" ht="25.5">
      <c r="A536" s="54" t="s">
        <v>484</v>
      </c>
      <c r="B536" s="159" t="s">
        <v>899</v>
      </c>
      <c r="C536" s="54" t="s">
        <v>485</v>
      </c>
      <c r="D536" s="54"/>
      <c r="E536" s="225">
        <v>16900</v>
      </c>
      <c r="F536" s="226">
        <v>16900</v>
      </c>
    </row>
    <row r="537" spans="1:6">
      <c r="A537" s="54" t="s">
        <v>258</v>
      </c>
      <c r="B537" s="159" t="s">
        <v>899</v>
      </c>
      <c r="C537" s="54" t="s">
        <v>485</v>
      </c>
      <c r="D537" s="54" t="s">
        <v>499</v>
      </c>
      <c r="E537" s="225">
        <v>16900</v>
      </c>
      <c r="F537" s="226">
        <v>16900</v>
      </c>
    </row>
    <row r="538" spans="1:6" ht="89.25">
      <c r="A538" s="54" t="s">
        <v>502</v>
      </c>
      <c r="B538" s="159" t="s">
        <v>900</v>
      </c>
      <c r="C538" s="54"/>
      <c r="D538" s="54"/>
      <c r="E538" s="225">
        <v>176400</v>
      </c>
      <c r="F538" s="226">
        <v>176400</v>
      </c>
    </row>
    <row r="539" spans="1:6" ht="25.5">
      <c r="A539" s="54" t="s">
        <v>484</v>
      </c>
      <c r="B539" s="159" t="s">
        <v>900</v>
      </c>
      <c r="C539" s="54" t="s">
        <v>485</v>
      </c>
      <c r="D539" s="54"/>
      <c r="E539" s="225">
        <v>176400</v>
      </c>
      <c r="F539" s="226">
        <v>176400</v>
      </c>
    </row>
    <row r="540" spans="1:6">
      <c r="A540" s="54" t="s">
        <v>258</v>
      </c>
      <c r="B540" s="159" t="s">
        <v>900</v>
      </c>
      <c r="C540" s="54" t="s">
        <v>485</v>
      </c>
      <c r="D540" s="54" t="s">
        <v>499</v>
      </c>
      <c r="E540" s="225">
        <v>176400</v>
      </c>
      <c r="F540" s="226">
        <v>176400</v>
      </c>
    </row>
    <row r="541" spans="1:6" ht="140.25">
      <c r="A541" s="54" t="s">
        <v>503</v>
      </c>
      <c r="B541" s="159" t="s">
        <v>901</v>
      </c>
      <c r="C541" s="54"/>
      <c r="D541" s="54"/>
      <c r="E541" s="225">
        <v>6700</v>
      </c>
      <c r="F541" s="226">
        <v>6700</v>
      </c>
    </row>
    <row r="542" spans="1:6" ht="25.5">
      <c r="A542" s="54" t="s">
        <v>484</v>
      </c>
      <c r="B542" s="159" t="s">
        <v>901</v>
      </c>
      <c r="C542" s="54" t="s">
        <v>485</v>
      </c>
      <c r="D542" s="54"/>
      <c r="E542" s="225">
        <v>6700</v>
      </c>
      <c r="F542" s="226">
        <v>6700</v>
      </c>
    </row>
    <row r="543" spans="1:6">
      <c r="A543" s="54" t="s">
        <v>258</v>
      </c>
      <c r="B543" s="159" t="s">
        <v>901</v>
      </c>
      <c r="C543" s="54" t="s">
        <v>485</v>
      </c>
      <c r="D543" s="54" t="s">
        <v>499</v>
      </c>
      <c r="E543" s="225">
        <v>6700</v>
      </c>
      <c r="F543" s="226">
        <v>6700</v>
      </c>
    </row>
    <row r="544" spans="1:6" ht="63.75">
      <c r="A544" s="54" t="s">
        <v>606</v>
      </c>
      <c r="B544" s="159" t="s">
        <v>1223</v>
      </c>
      <c r="C544" s="54"/>
      <c r="D544" s="54"/>
      <c r="E544" s="225">
        <v>1057000</v>
      </c>
      <c r="F544" s="226">
        <v>1057000</v>
      </c>
    </row>
    <row r="545" spans="1:6" ht="38.25">
      <c r="A545" s="54" t="s">
        <v>607</v>
      </c>
      <c r="B545" s="159" t="s">
        <v>1224</v>
      </c>
      <c r="C545" s="54"/>
      <c r="D545" s="54"/>
      <c r="E545" s="225">
        <v>1054000</v>
      </c>
      <c r="F545" s="226">
        <v>1054000</v>
      </c>
    </row>
    <row r="546" spans="1:6" ht="153">
      <c r="A546" s="54" t="s">
        <v>1606</v>
      </c>
      <c r="B546" s="159" t="s">
        <v>883</v>
      </c>
      <c r="C546" s="54"/>
      <c r="D546" s="54"/>
      <c r="E546" s="225">
        <v>1044000</v>
      </c>
      <c r="F546" s="226">
        <v>1044000</v>
      </c>
    </row>
    <row r="547" spans="1:6" ht="63.75">
      <c r="A547" s="54" t="s">
        <v>1740</v>
      </c>
      <c r="B547" s="159" t="s">
        <v>883</v>
      </c>
      <c r="C547" s="54" t="s">
        <v>1741</v>
      </c>
      <c r="D547" s="54"/>
      <c r="E547" s="225">
        <v>1044000</v>
      </c>
      <c r="F547" s="226">
        <v>1044000</v>
      </c>
    </row>
    <row r="548" spans="1:6" ht="25.5">
      <c r="A548" s="54" t="s">
        <v>180</v>
      </c>
      <c r="B548" s="159" t="s">
        <v>883</v>
      </c>
      <c r="C548" s="54" t="s">
        <v>1741</v>
      </c>
      <c r="D548" s="54" t="s">
        <v>478</v>
      </c>
      <c r="E548" s="225">
        <v>1044000</v>
      </c>
      <c r="F548" s="226">
        <v>1044000</v>
      </c>
    </row>
    <row r="549" spans="1:6" ht="140.25">
      <c r="A549" s="54" t="s">
        <v>479</v>
      </c>
      <c r="B549" s="159" t="s">
        <v>881</v>
      </c>
      <c r="C549" s="54"/>
      <c r="D549" s="54"/>
      <c r="E549" s="225">
        <v>10000</v>
      </c>
      <c r="F549" s="226">
        <v>10000</v>
      </c>
    </row>
    <row r="550" spans="1:6" ht="38.25">
      <c r="A550" s="54" t="s">
        <v>445</v>
      </c>
      <c r="B550" s="159" t="s">
        <v>881</v>
      </c>
      <c r="C550" s="54" t="s">
        <v>446</v>
      </c>
      <c r="D550" s="54"/>
      <c r="E550" s="225">
        <v>10000</v>
      </c>
      <c r="F550" s="226">
        <v>10000</v>
      </c>
    </row>
    <row r="551" spans="1:6" ht="25.5">
      <c r="A551" s="54" t="s">
        <v>180</v>
      </c>
      <c r="B551" s="159" t="s">
        <v>881</v>
      </c>
      <c r="C551" s="54" t="s">
        <v>446</v>
      </c>
      <c r="D551" s="54" t="s">
        <v>478</v>
      </c>
      <c r="E551" s="225">
        <v>10000</v>
      </c>
      <c r="F551" s="226">
        <v>10000</v>
      </c>
    </row>
    <row r="552" spans="1:6" ht="38.25">
      <c r="A552" s="54" t="s">
        <v>574</v>
      </c>
      <c r="B552" s="159" t="s">
        <v>1225</v>
      </c>
      <c r="C552" s="54"/>
      <c r="D552" s="54"/>
      <c r="E552" s="225">
        <v>3000</v>
      </c>
      <c r="F552" s="226">
        <v>3000</v>
      </c>
    </row>
    <row r="553" spans="1:6" ht="140.25">
      <c r="A553" s="54" t="s">
        <v>630</v>
      </c>
      <c r="B553" s="159" t="s">
        <v>884</v>
      </c>
      <c r="C553" s="54"/>
      <c r="D553" s="54"/>
      <c r="E553" s="225">
        <v>3000</v>
      </c>
      <c r="F553" s="226">
        <v>3000</v>
      </c>
    </row>
    <row r="554" spans="1:6" ht="38.25">
      <c r="A554" s="54" t="s">
        <v>445</v>
      </c>
      <c r="B554" s="159" t="s">
        <v>884</v>
      </c>
      <c r="C554" s="54" t="s">
        <v>446</v>
      </c>
      <c r="D554" s="54"/>
      <c r="E554" s="225">
        <v>3000</v>
      </c>
      <c r="F554" s="226">
        <v>3000</v>
      </c>
    </row>
    <row r="555" spans="1:6" ht="25.5">
      <c r="A555" s="54" t="s">
        <v>180</v>
      </c>
      <c r="B555" s="159" t="s">
        <v>884</v>
      </c>
      <c r="C555" s="54" t="s">
        <v>446</v>
      </c>
      <c r="D555" s="54" t="s">
        <v>478</v>
      </c>
      <c r="E555" s="225">
        <v>3000</v>
      </c>
      <c r="F555" s="226">
        <v>3000</v>
      </c>
    </row>
    <row r="556" spans="1:6" ht="38.25">
      <c r="A556" s="54" t="s">
        <v>610</v>
      </c>
      <c r="B556" s="159" t="s">
        <v>1226</v>
      </c>
      <c r="C556" s="54"/>
      <c r="D556" s="54"/>
      <c r="E556" s="225">
        <v>35042710</v>
      </c>
      <c r="F556" s="226">
        <v>35042710</v>
      </c>
    </row>
    <row r="557" spans="1:6" ht="25.5">
      <c r="A557" s="54" t="s">
        <v>611</v>
      </c>
      <c r="B557" s="159" t="s">
        <v>1227</v>
      </c>
      <c r="C557" s="54"/>
      <c r="D557" s="54"/>
      <c r="E557" s="225">
        <v>32700</v>
      </c>
      <c r="F557" s="226">
        <v>32700</v>
      </c>
    </row>
    <row r="558" spans="1:6" ht="63.75">
      <c r="A558" s="54" t="s">
        <v>477</v>
      </c>
      <c r="B558" s="159" t="s">
        <v>880</v>
      </c>
      <c r="C558" s="54"/>
      <c r="D558" s="54"/>
      <c r="E558" s="225">
        <v>32700</v>
      </c>
      <c r="F558" s="226">
        <v>32700</v>
      </c>
    </row>
    <row r="559" spans="1:6" ht="38.25">
      <c r="A559" s="54" t="s">
        <v>445</v>
      </c>
      <c r="B559" s="159" t="s">
        <v>880</v>
      </c>
      <c r="C559" s="54" t="s">
        <v>446</v>
      </c>
      <c r="D559" s="54"/>
      <c r="E559" s="225">
        <v>32700</v>
      </c>
      <c r="F559" s="226">
        <v>32700</v>
      </c>
    </row>
    <row r="560" spans="1:6">
      <c r="A560" s="54" t="s">
        <v>303</v>
      </c>
      <c r="B560" s="159" t="s">
        <v>880</v>
      </c>
      <c r="C560" s="54" t="s">
        <v>446</v>
      </c>
      <c r="D560" s="54" t="s">
        <v>476</v>
      </c>
      <c r="E560" s="225">
        <v>32700</v>
      </c>
      <c r="F560" s="226">
        <v>32700</v>
      </c>
    </row>
    <row r="561" spans="1:6" ht="25.5">
      <c r="A561" s="54" t="s">
        <v>613</v>
      </c>
      <c r="B561" s="159" t="s">
        <v>1228</v>
      </c>
      <c r="C561" s="54"/>
      <c r="D561" s="54"/>
      <c r="E561" s="225">
        <v>34957000</v>
      </c>
      <c r="F561" s="226">
        <v>34957000</v>
      </c>
    </row>
    <row r="562" spans="1:6" ht="89.25">
      <c r="A562" s="54" t="s">
        <v>1036</v>
      </c>
      <c r="B562" s="159" t="s">
        <v>1162</v>
      </c>
      <c r="C562" s="54"/>
      <c r="D562" s="54"/>
      <c r="E562" s="225">
        <v>304800</v>
      </c>
      <c r="F562" s="226">
        <v>304800</v>
      </c>
    </row>
    <row r="563" spans="1:6" ht="63.75">
      <c r="A563" s="54" t="s">
        <v>1740</v>
      </c>
      <c r="B563" s="159" t="s">
        <v>1162</v>
      </c>
      <c r="C563" s="54" t="s">
        <v>1741</v>
      </c>
      <c r="D563" s="54"/>
      <c r="E563" s="225">
        <v>304800</v>
      </c>
      <c r="F563" s="226">
        <v>304800</v>
      </c>
    </row>
    <row r="564" spans="1:6">
      <c r="A564" s="54" t="s">
        <v>224</v>
      </c>
      <c r="B564" s="159" t="s">
        <v>1162</v>
      </c>
      <c r="C564" s="54" t="s">
        <v>1741</v>
      </c>
      <c r="D564" s="54" t="s">
        <v>474</v>
      </c>
      <c r="E564" s="225">
        <v>304800</v>
      </c>
      <c r="F564" s="226">
        <v>304800</v>
      </c>
    </row>
    <row r="565" spans="1:6" ht="89.25">
      <c r="A565" s="54" t="s">
        <v>475</v>
      </c>
      <c r="B565" s="159" t="s">
        <v>879</v>
      </c>
      <c r="C565" s="54"/>
      <c r="D565" s="54"/>
      <c r="E565" s="225">
        <v>24252200</v>
      </c>
      <c r="F565" s="226">
        <v>34652200</v>
      </c>
    </row>
    <row r="566" spans="1:6" ht="63.75">
      <c r="A566" s="54" t="s">
        <v>1740</v>
      </c>
      <c r="B566" s="159" t="s">
        <v>879</v>
      </c>
      <c r="C566" s="54" t="s">
        <v>1741</v>
      </c>
      <c r="D566" s="54"/>
      <c r="E566" s="225">
        <v>24252200</v>
      </c>
      <c r="F566" s="226">
        <v>34652200</v>
      </c>
    </row>
    <row r="567" spans="1:6">
      <c r="A567" s="54" t="s">
        <v>224</v>
      </c>
      <c r="B567" s="159" t="s">
        <v>879</v>
      </c>
      <c r="C567" s="54" t="s">
        <v>1741</v>
      </c>
      <c r="D567" s="54" t="s">
        <v>474</v>
      </c>
      <c r="E567" s="225">
        <v>24252200</v>
      </c>
      <c r="F567" s="226">
        <v>34652200</v>
      </c>
    </row>
    <row r="568" spans="1:6" ht="102">
      <c r="A568" s="54" t="s">
        <v>1006</v>
      </c>
      <c r="B568" s="159" t="s">
        <v>1007</v>
      </c>
      <c r="C568" s="54"/>
      <c r="D568" s="54"/>
      <c r="E568" s="225">
        <v>10400000</v>
      </c>
      <c r="F568" s="226">
        <v>0</v>
      </c>
    </row>
    <row r="569" spans="1:6">
      <c r="A569" s="54" t="s">
        <v>93</v>
      </c>
      <c r="B569" s="159" t="s">
        <v>1007</v>
      </c>
      <c r="C569" s="54" t="s">
        <v>550</v>
      </c>
      <c r="D569" s="54"/>
      <c r="E569" s="225">
        <v>10400000</v>
      </c>
      <c r="F569" s="226">
        <v>0</v>
      </c>
    </row>
    <row r="570" spans="1:6">
      <c r="A570" s="54" t="s">
        <v>224</v>
      </c>
      <c r="B570" s="159" t="s">
        <v>1007</v>
      </c>
      <c r="C570" s="54" t="s">
        <v>550</v>
      </c>
      <c r="D570" s="54" t="s">
        <v>474</v>
      </c>
      <c r="E570" s="225">
        <v>10400000</v>
      </c>
      <c r="F570" s="226">
        <v>0</v>
      </c>
    </row>
    <row r="571" spans="1:6" ht="25.5">
      <c r="A571" s="54" t="s">
        <v>615</v>
      </c>
      <c r="B571" s="159" t="s">
        <v>1229</v>
      </c>
      <c r="C571" s="54"/>
      <c r="D571" s="54"/>
      <c r="E571" s="225">
        <v>53010</v>
      </c>
      <c r="F571" s="226">
        <v>53010</v>
      </c>
    </row>
    <row r="572" spans="1:6" ht="76.5">
      <c r="A572" s="54" t="s">
        <v>527</v>
      </c>
      <c r="B572" s="159" t="s">
        <v>975</v>
      </c>
      <c r="C572" s="54"/>
      <c r="D572" s="54"/>
      <c r="E572" s="225">
        <v>53010</v>
      </c>
      <c r="F572" s="226">
        <v>53010</v>
      </c>
    </row>
    <row r="573" spans="1:6" ht="25.5">
      <c r="A573" s="54" t="s">
        <v>1617</v>
      </c>
      <c r="B573" s="159" t="s">
        <v>975</v>
      </c>
      <c r="C573" s="54" t="s">
        <v>509</v>
      </c>
      <c r="D573" s="54"/>
      <c r="E573" s="225">
        <v>5220</v>
      </c>
      <c r="F573" s="226">
        <v>5220</v>
      </c>
    </row>
    <row r="574" spans="1:6">
      <c r="A574" s="54" t="s">
        <v>188</v>
      </c>
      <c r="B574" s="159" t="s">
        <v>975</v>
      </c>
      <c r="C574" s="54" t="s">
        <v>509</v>
      </c>
      <c r="D574" s="54" t="s">
        <v>515</v>
      </c>
      <c r="E574" s="225">
        <v>5220</v>
      </c>
      <c r="F574" s="226">
        <v>5220</v>
      </c>
    </row>
    <row r="575" spans="1:6" ht="63.75">
      <c r="A575" s="54" t="s">
        <v>1619</v>
      </c>
      <c r="B575" s="159" t="s">
        <v>975</v>
      </c>
      <c r="C575" s="54" t="s">
        <v>1295</v>
      </c>
      <c r="D575" s="54"/>
      <c r="E575" s="225">
        <v>6780</v>
      </c>
      <c r="F575" s="226">
        <v>6780</v>
      </c>
    </row>
    <row r="576" spans="1:6">
      <c r="A576" s="54" t="s">
        <v>188</v>
      </c>
      <c r="B576" s="159" t="s">
        <v>975</v>
      </c>
      <c r="C576" s="54" t="s">
        <v>1295</v>
      </c>
      <c r="D576" s="54" t="s">
        <v>515</v>
      </c>
      <c r="E576" s="225">
        <v>6780</v>
      </c>
      <c r="F576" s="226">
        <v>6780</v>
      </c>
    </row>
    <row r="577" spans="1:6" ht="38.25">
      <c r="A577" s="54" t="s">
        <v>445</v>
      </c>
      <c r="B577" s="159" t="s">
        <v>975</v>
      </c>
      <c r="C577" s="54" t="s">
        <v>446</v>
      </c>
      <c r="D577" s="54"/>
      <c r="E577" s="225">
        <v>41010</v>
      </c>
      <c r="F577" s="226">
        <v>41010</v>
      </c>
    </row>
    <row r="578" spans="1:6">
      <c r="A578" s="54" t="s">
        <v>188</v>
      </c>
      <c r="B578" s="159" t="s">
        <v>975</v>
      </c>
      <c r="C578" s="54" t="s">
        <v>446</v>
      </c>
      <c r="D578" s="54" t="s">
        <v>515</v>
      </c>
      <c r="E578" s="225">
        <v>41010</v>
      </c>
      <c r="F578" s="226">
        <v>41010</v>
      </c>
    </row>
    <row r="579" spans="1:6" ht="38.25">
      <c r="A579" s="54" t="s">
        <v>761</v>
      </c>
      <c r="B579" s="159" t="s">
        <v>1230</v>
      </c>
      <c r="C579" s="54"/>
      <c r="D579" s="54"/>
      <c r="E579" s="225">
        <v>0</v>
      </c>
      <c r="F579" s="226">
        <v>1000000</v>
      </c>
    </row>
    <row r="580" spans="1:6" ht="38.25">
      <c r="A580" s="54" t="s">
        <v>762</v>
      </c>
      <c r="B580" s="159" t="s">
        <v>1231</v>
      </c>
      <c r="C580" s="54"/>
      <c r="D580" s="54"/>
      <c r="E580" s="225">
        <v>0</v>
      </c>
      <c r="F580" s="226">
        <v>1000000</v>
      </c>
    </row>
    <row r="581" spans="1:6" ht="89.25">
      <c r="A581" s="54" t="s">
        <v>657</v>
      </c>
      <c r="B581" s="159" t="s">
        <v>945</v>
      </c>
      <c r="C581" s="54"/>
      <c r="D581" s="54"/>
      <c r="E581" s="225">
        <v>0</v>
      </c>
      <c r="F581" s="226">
        <v>1000000</v>
      </c>
    </row>
    <row r="582" spans="1:6" ht="51">
      <c r="A582" s="54" t="s">
        <v>524</v>
      </c>
      <c r="B582" s="159" t="s">
        <v>945</v>
      </c>
      <c r="C582" s="54" t="s">
        <v>525</v>
      </c>
      <c r="D582" s="54"/>
      <c r="E582" s="225">
        <v>0</v>
      </c>
      <c r="F582" s="226">
        <v>1000000</v>
      </c>
    </row>
    <row r="583" spans="1:6">
      <c r="A583" s="54" t="s">
        <v>3</v>
      </c>
      <c r="B583" s="159" t="s">
        <v>945</v>
      </c>
      <c r="C583" s="54" t="s">
        <v>525</v>
      </c>
      <c r="D583" s="54" t="s">
        <v>504</v>
      </c>
      <c r="E583" s="225">
        <v>0</v>
      </c>
      <c r="F583" s="226">
        <v>1000000</v>
      </c>
    </row>
    <row r="584" spans="1:6" ht="25.5">
      <c r="A584" s="54" t="s">
        <v>618</v>
      </c>
      <c r="B584" s="159" t="s">
        <v>1232</v>
      </c>
      <c r="C584" s="54"/>
      <c r="D584" s="54"/>
      <c r="E584" s="225">
        <v>55767700</v>
      </c>
      <c r="F584" s="226">
        <v>55767700</v>
      </c>
    </row>
    <row r="585" spans="1:6" ht="63.75">
      <c r="A585" s="54" t="s">
        <v>763</v>
      </c>
      <c r="B585" s="159" t="s">
        <v>1233</v>
      </c>
      <c r="C585" s="54"/>
      <c r="D585" s="54"/>
      <c r="E585" s="225">
        <v>43147200</v>
      </c>
      <c r="F585" s="226">
        <v>43147200</v>
      </c>
    </row>
    <row r="586" spans="1:6" ht="153">
      <c r="A586" s="54" t="s">
        <v>666</v>
      </c>
      <c r="B586" s="159" t="s">
        <v>1003</v>
      </c>
      <c r="C586" s="54"/>
      <c r="D586" s="54"/>
      <c r="E586" s="225">
        <v>178100</v>
      </c>
      <c r="F586" s="226">
        <v>178100</v>
      </c>
    </row>
    <row r="587" spans="1:6">
      <c r="A587" s="54" t="s">
        <v>554</v>
      </c>
      <c r="B587" s="159" t="s">
        <v>1003</v>
      </c>
      <c r="C587" s="54" t="s">
        <v>555</v>
      </c>
      <c r="D587" s="54"/>
      <c r="E587" s="225">
        <v>178100</v>
      </c>
      <c r="F587" s="226">
        <v>178100</v>
      </c>
    </row>
    <row r="588" spans="1:6">
      <c r="A588" s="54" t="s">
        <v>265</v>
      </c>
      <c r="B588" s="159" t="s">
        <v>1003</v>
      </c>
      <c r="C588" s="54" t="s">
        <v>555</v>
      </c>
      <c r="D588" s="54" t="s">
        <v>454</v>
      </c>
      <c r="E588" s="225">
        <v>178100</v>
      </c>
      <c r="F588" s="226">
        <v>178100</v>
      </c>
    </row>
    <row r="589" spans="1:6" ht="191.25">
      <c r="A589" s="54" t="s">
        <v>1314</v>
      </c>
      <c r="B589" s="159" t="s">
        <v>1010</v>
      </c>
      <c r="C589" s="54"/>
      <c r="D589" s="54"/>
      <c r="E589" s="225">
        <v>20969100</v>
      </c>
      <c r="F589" s="226">
        <v>20969100</v>
      </c>
    </row>
    <row r="590" spans="1:6" ht="25.5">
      <c r="A590" s="54" t="s">
        <v>680</v>
      </c>
      <c r="B590" s="159" t="s">
        <v>1010</v>
      </c>
      <c r="C590" s="54" t="s">
        <v>561</v>
      </c>
      <c r="D590" s="54"/>
      <c r="E590" s="225">
        <v>20969100</v>
      </c>
      <c r="F590" s="226">
        <v>20969100</v>
      </c>
    </row>
    <row r="591" spans="1:6" ht="51">
      <c r="A591" s="54" t="s">
        <v>259</v>
      </c>
      <c r="B591" s="159" t="s">
        <v>1010</v>
      </c>
      <c r="C591" s="54" t="s">
        <v>561</v>
      </c>
      <c r="D591" s="54" t="s">
        <v>560</v>
      </c>
      <c r="E591" s="225">
        <v>20969100</v>
      </c>
      <c r="F591" s="226">
        <v>20969100</v>
      </c>
    </row>
    <row r="592" spans="1:6" ht="127.5">
      <c r="A592" s="54" t="s">
        <v>669</v>
      </c>
      <c r="B592" s="159" t="s">
        <v>1011</v>
      </c>
      <c r="C592" s="54"/>
      <c r="D592" s="54"/>
      <c r="E592" s="225">
        <v>22000000</v>
      </c>
      <c r="F592" s="226">
        <v>22000000</v>
      </c>
    </row>
    <row r="593" spans="1:6" ht="25.5">
      <c r="A593" s="54" t="s">
        <v>680</v>
      </c>
      <c r="B593" s="159" t="s">
        <v>1011</v>
      </c>
      <c r="C593" s="54" t="s">
        <v>561</v>
      </c>
      <c r="D593" s="54"/>
      <c r="E593" s="225">
        <v>22000000</v>
      </c>
      <c r="F593" s="226">
        <v>22000000</v>
      </c>
    </row>
    <row r="594" spans="1:6" ht="51">
      <c r="A594" s="54" t="s">
        <v>259</v>
      </c>
      <c r="B594" s="159" t="s">
        <v>1011</v>
      </c>
      <c r="C594" s="54" t="s">
        <v>561</v>
      </c>
      <c r="D594" s="54" t="s">
        <v>560</v>
      </c>
      <c r="E594" s="225">
        <v>22000000</v>
      </c>
      <c r="F594" s="226">
        <v>22000000</v>
      </c>
    </row>
    <row r="595" spans="1:6" ht="25.5">
      <c r="A595" s="216" t="s">
        <v>619</v>
      </c>
      <c r="B595" s="159" t="s">
        <v>1234</v>
      </c>
      <c r="C595" s="54"/>
      <c r="D595" s="54"/>
      <c r="E595" s="225">
        <v>12620500</v>
      </c>
      <c r="F595" s="226">
        <v>12620500</v>
      </c>
    </row>
    <row r="596" spans="1:6" ht="89.25">
      <c r="A596" s="54" t="s">
        <v>545</v>
      </c>
      <c r="B596" s="159" t="s">
        <v>997</v>
      </c>
      <c r="C596" s="54"/>
      <c r="D596" s="54"/>
      <c r="E596" s="225">
        <v>9604534</v>
      </c>
      <c r="F596" s="226">
        <v>9604534</v>
      </c>
    </row>
    <row r="597" spans="1:6" ht="25.5">
      <c r="A597" s="54" t="s">
        <v>1165</v>
      </c>
      <c r="B597" s="159" t="s">
        <v>997</v>
      </c>
      <c r="C597" s="54" t="s">
        <v>440</v>
      </c>
      <c r="D597" s="54"/>
      <c r="E597" s="225">
        <v>6101515</v>
      </c>
      <c r="F597" s="226">
        <v>6101515</v>
      </c>
    </row>
    <row r="598" spans="1:6" ht="51">
      <c r="A598" s="54" t="s">
        <v>264</v>
      </c>
      <c r="B598" s="159" t="s">
        <v>997</v>
      </c>
      <c r="C598" s="54" t="s">
        <v>440</v>
      </c>
      <c r="D598" s="54" t="s">
        <v>448</v>
      </c>
      <c r="E598" s="225">
        <v>6101515</v>
      </c>
      <c r="F598" s="226">
        <v>6101515</v>
      </c>
    </row>
    <row r="599" spans="1:6" ht="51">
      <c r="A599" s="54" t="s">
        <v>441</v>
      </c>
      <c r="B599" s="159" t="s">
        <v>997</v>
      </c>
      <c r="C599" s="54" t="s">
        <v>442</v>
      </c>
      <c r="D599" s="54"/>
      <c r="E599" s="225">
        <v>65700</v>
      </c>
      <c r="F599" s="226">
        <v>65700</v>
      </c>
    </row>
    <row r="600" spans="1:6" ht="51">
      <c r="A600" s="54" t="s">
        <v>264</v>
      </c>
      <c r="B600" s="159" t="s">
        <v>997</v>
      </c>
      <c r="C600" s="54" t="s">
        <v>442</v>
      </c>
      <c r="D600" s="54" t="s">
        <v>448</v>
      </c>
      <c r="E600" s="225">
        <v>65700</v>
      </c>
      <c r="F600" s="226">
        <v>65700</v>
      </c>
    </row>
    <row r="601" spans="1:6" ht="63.75">
      <c r="A601" s="54" t="s">
        <v>1288</v>
      </c>
      <c r="B601" s="159" t="s">
        <v>997</v>
      </c>
      <c r="C601" s="54" t="s">
        <v>1289</v>
      </c>
      <c r="D601" s="54"/>
      <c r="E601" s="225">
        <v>1842658</v>
      </c>
      <c r="F601" s="226">
        <v>1842658</v>
      </c>
    </row>
    <row r="602" spans="1:6" ht="51">
      <c r="A602" s="54" t="s">
        <v>264</v>
      </c>
      <c r="B602" s="159" t="s">
        <v>997</v>
      </c>
      <c r="C602" s="54" t="s">
        <v>1289</v>
      </c>
      <c r="D602" s="54" t="s">
        <v>448</v>
      </c>
      <c r="E602" s="225">
        <v>1842658</v>
      </c>
      <c r="F602" s="226">
        <v>1842658</v>
      </c>
    </row>
    <row r="603" spans="1:6" ht="38.25">
      <c r="A603" s="54" t="s">
        <v>445</v>
      </c>
      <c r="B603" s="159" t="s">
        <v>997</v>
      </c>
      <c r="C603" s="54" t="s">
        <v>446</v>
      </c>
      <c r="D603" s="54"/>
      <c r="E603" s="225">
        <v>1569161</v>
      </c>
      <c r="F603" s="226">
        <v>1569161</v>
      </c>
    </row>
    <row r="604" spans="1:6" ht="51">
      <c r="A604" s="54" t="s">
        <v>264</v>
      </c>
      <c r="B604" s="159" t="s">
        <v>997</v>
      </c>
      <c r="C604" s="54" t="s">
        <v>446</v>
      </c>
      <c r="D604" s="54" t="s">
        <v>448</v>
      </c>
      <c r="E604" s="225">
        <v>1569161</v>
      </c>
      <c r="F604" s="226">
        <v>1569161</v>
      </c>
    </row>
    <row r="605" spans="1:6">
      <c r="A605" s="54" t="s">
        <v>1168</v>
      </c>
      <c r="B605" s="159" t="s">
        <v>997</v>
      </c>
      <c r="C605" s="54" t="s">
        <v>626</v>
      </c>
      <c r="D605" s="54"/>
      <c r="E605" s="225">
        <v>25000</v>
      </c>
      <c r="F605" s="226">
        <v>25000</v>
      </c>
    </row>
    <row r="606" spans="1:6" ht="51">
      <c r="A606" s="54" t="s">
        <v>264</v>
      </c>
      <c r="B606" s="159" t="s">
        <v>997</v>
      </c>
      <c r="C606" s="54" t="s">
        <v>626</v>
      </c>
      <c r="D606" s="54" t="s">
        <v>448</v>
      </c>
      <c r="E606" s="225">
        <v>25000</v>
      </c>
      <c r="F606" s="226">
        <v>25000</v>
      </c>
    </row>
    <row r="607" spans="1:6">
      <c r="A607" s="54" t="s">
        <v>1293</v>
      </c>
      <c r="B607" s="159" t="s">
        <v>997</v>
      </c>
      <c r="C607" s="54" t="s">
        <v>1294</v>
      </c>
      <c r="D607" s="54"/>
      <c r="E607" s="225">
        <v>500</v>
      </c>
      <c r="F607" s="226">
        <v>500</v>
      </c>
    </row>
    <row r="608" spans="1:6" ht="51">
      <c r="A608" s="54" t="s">
        <v>264</v>
      </c>
      <c r="B608" s="159" t="s">
        <v>997</v>
      </c>
      <c r="C608" s="54" t="s">
        <v>1294</v>
      </c>
      <c r="D608" s="54" t="s">
        <v>448</v>
      </c>
      <c r="E608" s="225">
        <v>500</v>
      </c>
      <c r="F608" s="226">
        <v>500</v>
      </c>
    </row>
    <row r="609" spans="1:6" ht="127.5">
      <c r="A609" s="54" t="s">
        <v>664</v>
      </c>
      <c r="B609" s="159" t="s">
        <v>998</v>
      </c>
      <c r="C609" s="54"/>
      <c r="D609" s="54"/>
      <c r="E609" s="225">
        <v>284000</v>
      </c>
      <c r="F609" s="226">
        <v>284000</v>
      </c>
    </row>
    <row r="610" spans="1:6" ht="25.5">
      <c r="A610" s="54" t="s">
        <v>1165</v>
      </c>
      <c r="B610" s="159" t="s">
        <v>998</v>
      </c>
      <c r="C610" s="54" t="s">
        <v>440</v>
      </c>
      <c r="D610" s="54"/>
      <c r="E610" s="225">
        <v>218126</v>
      </c>
      <c r="F610" s="226">
        <v>218126</v>
      </c>
    </row>
    <row r="611" spans="1:6" ht="51">
      <c r="A611" s="54" t="s">
        <v>264</v>
      </c>
      <c r="B611" s="159" t="s">
        <v>998</v>
      </c>
      <c r="C611" s="54" t="s">
        <v>440</v>
      </c>
      <c r="D611" s="54" t="s">
        <v>448</v>
      </c>
      <c r="E611" s="225">
        <v>218126</v>
      </c>
      <c r="F611" s="226">
        <v>218126</v>
      </c>
    </row>
    <row r="612" spans="1:6" ht="63.75">
      <c r="A612" s="54" t="s">
        <v>1288</v>
      </c>
      <c r="B612" s="159" t="s">
        <v>998</v>
      </c>
      <c r="C612" s="54" t="s">
        <v>1289</v>
      </c>
      <c r="D612" s="54"/>
      <c r="E612" s="225">
        <v>65874</v>
      </c>
      <c r="F612" s="226">
        <v>65874</v>
      </c>
    </row>
    <row r="613" spans="1:6" ht="51">
      <c r="A613" s="54" t="s">
        <v>264</v>
      </c>
      <c r="B613" s="159" t="s">
        <v>998</v>
      </c>
      <c r="C613" s="54" t="s">
        <v>1289</v>
      </c>
      <c r="D613" s="54" t="s">
        <v>448</v>
      </c>
      <c r="E613" s="225">
        <v>65874</v>
      </c>
      <c r="F613" s="226">
        <v>65874</v>
      </c>
    </row>
    <row r="614" spans="1:6" ht="114.75">
      <c r="A614" s="54" t="s">
        <v>750</v>
      </c>
      <c r="B614" s="159" t="s">
        <v>999</v>
      </c>
      <c r="C614" s="54"/>
      <c r="D614" s="54"/>
      <c r="E614" s="225">
        <v>330000</v>
      </c>
      <c r="F614" s="226">
        <v>330000</v>
      </c>
    </row>
    <row r="615" spans="1:6" ht="51">
      <c r="A615" s="54" t="s">
        <v>441</v>
      </c>
      <c r="B615" s="159" t="s">
        <v>999</v>
      </c>
      <c r="C615" s="54" t="s">
        <v>442</v>
      </c>
      <c r="D615" s="54"/>
      <c r="E615" s="225">
        <v>330000</v>
      </c>
      <c r="F615" s="226">
        <v>330000</v>
      </c>
    </row>
    <row r="616" spans="1:6" ht="51">
      <c r="A616" s="54" t="s">
        <v>264</v>
      </c>
      <c r="B616" s="159" t="s">
        <v>999</v>
      </c>
      <c r="C616" s="54" t="s">
        <v>442</v>
      </c>
      <c r="D616" s="54" t="s">
        <v>448</v>
      </c>
      <c r="E616" s="225">
        <v>330000</v>
      </c>
      <c r="F616" s="226">
        <v>330000</v>
      </c>
    </row>
    <row r="617" spans="1:6" ht="102">
      <c r="A617" s="54" t="s">
        <v>1144</v>
      </c>
      <c r="B617" s="159" t="s">
        <v>1143</v>
      </c>
      <c r="C617" s="54"/>
      <c r="D617" s="54"/>
      <c r="E617" s="225">
        <v>1498166</v>
      </c>
      <c r="F617" s="226">
        <v>1498166</v>
      </c>
    </row>
    <row r="618" spans="1:6" ht="25.5">
      <c r="A618" s="54" t="s">
        <v>1165</v>
      </c>
      <c r="B618" s="159" t="s">
        <v>1143</v>
      </c>
      <c r="C618" s="54" t="s">
        <v>440</v>
      </c>
      <c r="D618" s="54"/>
      <c r="E618" s="225">
        <v>1150665</v>
      </c>
      <c r="F618" s="226">
        <v>1150665</v>
      </c>
    </row>
    <row r="619" spans="1:6" ht="51">
      <c r="A619" s="54" t="s">
        <v>264</v>
      </c>
      <c r="B619" s="159" t="s">
        <v>1143</v>
      </c>
      <c r="C619" s="54" t="s">
        <v>440</v>
      </c>
      <c r="D619" s="54" t="s">
        <v>448</v>
      </c>
      <c r="E619" s="225">
        <v>1150665</v>
      </c>
      <c r="F619" s="226">
        <v>1150665</v>
      </c>
    </row>
    <row r="620" spans="1:6" ht="63.75">
      <c r="A620" s="54" t="s">
        <v>1288</v>
      </c>
      <c r="B620" s="159" t="s">
        <v>1143</v>
      </c>
      <c r="C620" s="54" t="s">
        <v>1289</v>
      </c>
      <c r="D620" s="54"/>
      <c r="E620" s="225">
        <v>347501</v>
      </c>
      <c r="F620" s="226">
        <v>347501</v>
      </c>
    </row>
    <row r="621" spans="1:6" ht="51">
      <c r="A621" s="54" t="s">
        <v>264</v>
      </c>
      <c r="B621" s="159" t="s">
        <v>1143</v>
      </c>
      <c r="C621" s="54" t="s">
        <v>1289</v>
      </c>
      <c r="D621" s="54" t="s">
        <v>448</v>
      </c>
      <c r="E621" s="225">
        <v>347501</v>
      </c>
      <c r="F621" s="226">
        <v>347501</v>
      </c>
    </row>
    <row r="622" spans="1:6" ht="76.5">
      <c r="A622" s="54" t="s">
        <v>751</v>
      </c>
      <c r="B622" s="159" t="s">
        <v>1000</v>
      </c>
      <c r="C622" s="54"/>
      <c r="D622" s="54"/>
      <c r="E622" s="225">
        <v>369449</v>
      </c>
      <c r="F622" s="226">
        <v>369449</v>
      </c>
    </row>
    <row r="623" spans="1:6" ht="38.25">
      <c r="A623" s="54" t="s">
        <v>445</v>
      </c>
      <c r="B623" s="159" t="s">
        <v>1000</v>
      </c>
      <c r="C623" s="54" t="s">
        <v>446</v>
      </c>
      <c r="D623" s="54"/>
      <c r="E623" s="225">
        <v>369449</v>
      </c>
      <c r="F623" s="226">
        <v>369449</v>
      </c>
    </row>
    <row r="624" spans="1:6" ht="51">
      <c r="A624" s="54" t="s">
        <v>264</v>
      </c>
      <c r="B624" s="159" t="s">
        <v>1000</v>
      </c>
      <c r="C624" s="54" t="s">
        <v>446</v>
      </c>
      <c r="D624" s="54" t="s">
        <v>448</v>
      </c>
      <c r="E624" s="225">
        <v>369449</v>
      </c>
      <c r="F624" s="226">
        <v>369449</v>
      </c>
    </row>
    <row r="625" spans="1:6" ht="63.75">
      <c r="A625" s="54" t="s">
        <v>1195</v>
      </c>
      <c r="B625" s="159" t="s">
        <v>1196</v>
      </c>
      <c r="C625" s="54"/>
      <c r="D625" s="54"/>
      <c r="E625" s="225">
        <v>149860</v>
      </c>
      <c r="F625" s="226">
        <v>149860</v>
      </c>
    </row>
    <row r="626" spans="1:6" ht="38.25">
      <c r="A626" s="54" t="s">
        <v>445</v>
      </c>
      <c r="B626" s="159" t="s">
        <v>1196</v>
      </c>
      <c r="C626" s="54" t="s">
        <v>446</v>
      </c>
      <c r="D626" s="54"/>
      <c r="E626" s="225">
        <v>149860</v>
      </c>
      <c r="F626" s="226">
        <v>149860</v>
      </c>
    </row>
    <row r="627" spans="1:6" ht="51">
      <c r="A627" s="54" t="s">
        <v>264</v>
      </c>
      <c r="B627" s="159" t="s">
        <v>1196</v>
      </c>
      <c r="C627" s="54" t="s">
        <v>446</v>
      </c>
      <c r="D627" s="54" t="s">
        <v>448</v>
      </c>
      <c r="E627" s="225">
        <v>149860</v>
      </c>
      <c r="F627" s="226">
        <v>149860</v>
      </c>
    </row>
    <row r="628" spans="1:6" ht="89.25">
      <c r="A628" s="216" t="s">
        <v>665</v>
      </c>
      <c r="B628" s="159" t="s">
        <v>1001</v>
      </c>
      <c r="C628" s="54"/>
      <c r="D628" s="54"/>
      <c r="E628" s="225">
        <v>384491</v>
      </c>
      <c r="F628" s="226">
        <v>384491</v>
      </c>
    </row>
    <row r="629" spans="1:6" ht="25.5">
      <c r="A629" s="54" t="s">
        <v>1165</v>
      </c>
      <c r="B629" s="159" t="s">
        <v>1001</v>
      </c>
      <c r="C629" s="54" t="s">
        <v>440</v>
      </c>
      <c r="D629" s="54"/>
      <c r="E629" s="225">
        <v>295308</v>
      </c>
      <c r="F629" s="226">
        <v>295308</v>
      </c>
    </row>
    <row r="630" spans="1:6" ht="51">
      <c r="A630" s="54" t="s">
        <v>264</v>
      </c>
      <c r="B630" s="159" t="s">
        <v>1001</v>
      </c>
      <c r="C630" s="54" t="s">
        <v>440</v>
      </c>
      <c r="D630" s="54" t="s">
        <v>448</v>
      </c>
      <c r="E630" s="225">
        <v>295308</v>
      </c>
      <c r="F630" s="226">
        <v>295308</v>
      </c>
    </row>
    <row r="631" spans="1:6" ht="63.75">
      <c r="A631" s="54" t="s">
        <v>1288</v>
      </c>
      <c r="B631" s="159" t="s">
        <v>1001</v>
      </c>
      <c r="C631" s="54" t="s">
        <v>1289</v>
      </c>
      <c r="D631" s="54"/>
      <c r="E631" s="225">
        <v>89183</v>
      </c>
      <c r="F631" s="226">
        <v>89183</v>
      </c>
    </row>
    <row r="632" spans="1:6" ht="51">
      <c r="A632" s="54" t="s">
        <v>264</v>
      </c>
      <c r="B632" s="159" t="s">
        <v>1001</v>
      </c>
      <c r="C632" s="54" t="s">
        <v>1289</v>
      </c>
      <c r="D632" s="54" t="s">
        <v>448</v>
      </c>
      <c r="E632" s="225">
        <v>89183</v>
      </c>
      <c r="F632" s="226">
        <v>89183</v>
      </c>
    </row>
    <row r="633" spans="1:6" ht="38.25">
      <c r="A633" s="216" t="s">
        <v>620</v>
      </c>
      <c r="B633" s="159" t="s">
        <v>1235</v>
      </c>
      <c r="C633" s="54"/>
      <c r="D633" s="54"/>
      <c r="E633" s="225">
        <v>1781800</v>
      </c>
      <c r="F633" s="226">
        <v>1781500</v>
      </c>
    </row>
    <row r="634" spans="1:6" ht="25.5">
      <c r="A634" s="54" t="s">
        <v>621</v>
      </c>
      <c r="B634" s="159" t="s">
        <v>1236</v>
      </c>
      <c r="C634" s="54"/>
      <c r="D634" s="54"/>
      <c r="E634" s="225">
        <v>2500</v>
      </c>
      <c r="F634" s="226">
        <v>2200</v>
      </c>
    </row>
    <row r="635" spans="1:6" ht="102">
      <c r="A635" s="54" t="s">
        <v>1291</v>
      </c>
      <c r="B635" s="159" t="s">
        <v>1292</v>
      </c>
      <c r="C635" s="54"/>
      <c r="D635" s="54"/>
      <c r="E635" s="225">
        <v>2500</v>
      </c>
      <c r="F635" s="226">
        <v>2200</v>
      </c>
    </row>
    <row r="636" spans="1:6" ht="63.75">
      <c r="A636" s="54" t="s">
        <v>1740</v>
      </c>
      <c r="B636" s="159" t="s">
        <v>1292</v>
      </c>
      <c r="C636" s="54" t="s">
        <v>1741</v>
      </c>
      <c r="D636" s="54"/>
      <c r="E636" s="225">
        <v>2500</v>
      </c>
      <c r="F636" s="226">
        <v>2200</v>
      </c>
    </row>
    <row r="637" spans="1:6">
      <c r="A637" s="54" t="s">
        <v>223</v>
      </c>
      <c r="B637" s="159" t="s">
        <v>1292</v>
      </c>
      <c r="C637" s="54" t="s">
        <v>1741</v>
      </c>
      <c r="D637" s="54" t="s">
        <v>470</v>
      </c>
      <c r="E637" s="225">
        <v>2500</v>
      </c>
      <c r="F637" s="226">
        <v>2200</v>
      </c>
    </row>
    <row r="638" spans="1:6" ht="25.5">
      <c r="A638" s="54" t="s">
        <v>622</v>
      </c>
      <c r="B638" s="159" t="s">
        <v>1237</v>
      </c>
      <c r="C638" s="54"/>
      <c r="D638" s="54"/>
      <c r="E638" s="225">
        <v>617800</v>
      </c>
      <c r="F638" s="226">
        <v>617800</v>
      </c>
    </row>
    <row r="639" spans="1:6" ht="127.5">
      <c r="A639" s="54" t="s">
        <v>480</v>
      </c>
      <c r="B639" s="159" t="s">
        <v>885</v>
      </c>
      <c r="C639" s="54"/>
      <c r="D639" s="54"/>
      <c r="E639" s="225">
        <v>617800</v>
      </c>
      <c r="F639" s="226">
        <v>617800</v>
      </c>
    </row>
    <row r="640" spans="1:6" ht="38.25">
      <c r="A640" s="54" t="s">
        <v>445</v>
      </c>
      <c r="B640" s="159" t="s">
        <v>885</v>
      </c>
      <c r="C640" s="54" t="s">
        <v>446</v>
      </c>
      <c r="D640" s="54"/>
      <c r="E640" s="225">
        <v>617800</v>
      </c>
      <c r="F640" s="226">
        <v>617800</v>
      </c>
    </row>
    <row r="641" spans="1:6" ht="25.5">
      <c r="A641" s="54" t="s">
        <v>180</v>
      </c>
      <c r="B641" s="159" t="s">
        <v>885</v>
      </c>
      <c r="C641" s="54" t="s">
        <v>446</v>
      </c>
      <c r="D641" s="54" t="s">
        <v>478</v>
      </c>
      <c r="E641" s="225">
        <v>617800</v>
      </c>
      <c r="F641" s="226">
        <v>617800</v>
      </c>
    </row>
    <row r="642" spans="1:6" ht="38.25">
      <c r="A642" s="54" t="s">
        <v>574</v>
      </c>
      <c r="B642" s="159" t="s">
        <v>1238</v>
      </c>
      <c r="C642" s="54"/>
      <c r="D642" s="54"/>
      <c r="E642" s="225">
        <v>1161500</v>
      </c>
      <c r="F642" s="226">
        <v>1161500</v>
      </c>
    </row>
    <row r="643" spans="1:6" ht="114.75">
      <c r="A643" s="54" t="s">
        <v>473</v>
      </c>
      <c r="B643" s="159" t="s">
        <v>878</v>
      </c>
      <c r="C643" s="54"/>
      <c r="D643" s="54"/>
      <c r="E643" s="225">
        <v>1161500</v>
      </c>
      <c r="F643" s="226">
        <v>1161500</v>
      </c>
    </row>
    <row r="644" spans="1:6" ht="25.5">
      <c r="A644" s="216" t="s">
        <v>1165</v>
      </c>
      <c r="B644" s="159" t="s">
        <v>878</v>
      </c>
      <c r="C644" s="54" t="s">
        <v>440</v>
      </c>
      <c r="D644" s="54"/>
      <c r="E644" s="225">
        <v>741928</v>
      </c>
      <c r="F644" s="226">
        <v>741928</v>
      </c>
    </row>
    <row r="645" spans="1:6">
      <c r="A645" s="54" t="s">
        <v>223</v>
      </c>
      <c r="B645" s="159" t="s">
        <v>878</v>
      </c>
      <c r="C645" s="54" t="s">
        <v>440</v>
      </c>
      <c r="D645" s="54" t="s">
        <v>470</v>
      </c>
      <c r="E645" s="225">
        <v>741928</v>
      </c>
      <c r="F645" s="226">
        <v>741928</v>
      </c>
    </row>
    <row r="646" spans="1:6" ht="51">
      <c r="A646" s="54" t="s">
        <v>441</v>
      </c>
      <c r="B646" s="159" t="s">
        <v>878</v>
      </c>
      <c r="C646" s="54" t="s">
        <v>442</v>
      </c>
      <c r="D646" s="54"/>
      <c r="E646" s="225">
        <v>114710</v>
      </c>
      <c r="F646" s="226">
        <v>114710</v>
      </c>
    </row>
    <row r="647" spans="1:6">
      <c r="A647" s="216" t="s">
        <v>223</v>
      </c>
      <c r="B647" s="159" t="s">
        <v>878</v>
      </c>
      <c r="C647" s="54" t="s">
        <v>442</v>
      </c>
      <c r="D647" s="54" t="s">
        <v>470</v>
      </c>
      <c r="E647" s="225">
        <v>114710</v>
      </c>
      <c r="F647" s="226">
        <v>114710</v>
      </c>
    </row>
    <row r="648" spans="1:6" ht="63.75">
      <c r="A648" s="54" t="s">
        <v>1288</v>
      </c>
      <c r="B648" s="159" t="s">
        <v>878</v>
      </c>
      <c r="C648" s="54" t="s">
        <v>1289</v>
      </c>
      <c r="D648" s="54"/>
      <c r="E648" s="225">
        <v>224062</v>
      </c>
      <c r="F648" s="226">
        <v>224062</v>
      </c>
    </row>
    <row r="649" spans="1:6">
      <c r="A649" s="54" t="s">
        <v>223</v>
      </c>
      <c r="B649" s="159" t="s">
        <v>878</v>
      </c>
      <c r="C649" s="54" t="s">
        <v>1289</v>
      </c>
      <c r="D649" s="54" t="s">
        <v>470</v>
      </c>
      <c r="E649" s="225">
        <v>224062</v>
      </c>
      <c r="F649" s="226">
        <v>224062</v>
      </c>
    </row>
    <row r="650" spans="1:6" ht="38.25">
      <c r="A650" s="54" t="s">
        <v>445</v>
      </c>
      <c r="B650" s="159" t="s">
        <v>878</v>
      </c>
      <c r="C650" s="54" t="s">
        <v>446</v>
      </c>
      <c r="D650" s="54"/>
      <c r="E650" s="225">
        <v>80800</v>
      </c>
      <c r="F650" s="226">
        <v>80800</v>
      </c>
    </row>
    <row r="651" spans="1:6">
      <c r="A651" s="54" t="s">
        <v>223</v>
      </c>
      <c r="B651" s="298" t="s">
        <v>878</v>
      </c>
      <c r="C651" s="6" t="s">
        <v>446</v>
      </c>
      <c r="D651" s="6" t="s">
        <v>470</v>
      </c>
      <c r="E651" s="225">
        <v>80800</v>
      </c>
      <c r="F651" s="226">
        <v>80800</v>
      </c>
    </row>
    <row r="652" spans="1:6" ht="38.25">
      <c r="A652" s="54" t="s">
        <v>764</v>
      </c>
      <c r="B652" s="298" t="s">
        <v>1239</v>
      </c>
      <c r="C652" s="6"/>
      <c r="D652" s="6"/>
      <c r="E652" s="225">
        <v>23371181</v>
      </c>
      <c r="F652" s="226">
        <v>25680626</v>
      </c>
    </row>
    <row r="653" spans="1:6" ht="63.75">
      <c r="A653" s="54" t="s">
        <v>439</v>
      </c>
      <c r="B653" s="298" t="s">
        <v>1240</v>
      </c>
      <c r="C653" s="6"/>
      <c r="D653" s="6"/>
      <c r="E653" s="225">
        <v>1274246</v>
      </c>
      <c r="F653" s="226">
        <v>1274246</v>
      </c>
    </row>
    <row r="654" spans="1:6" ht="63.75">
      <c r="A654" s="54" t="s">
        <v>439</v>
      </c>
      <c r="B654" s="298" t="s">
        <v>853</v>
      </c>
      <c r="C654" s="6"/>
      <c r="D654" s="6"/>
      <c r="E654" s="225">
        <v>1274246</v>
      </c>
      <c r="F654" s="226">
        <v>1274246</v>
      </c>
    </row>
    <row r="655" spans="1:6" ht="25.5">
      <c r="A655" s="54" t="s">
        <v>1165</v>
      </c>
      <c r="B655" s="298" t="s">
        <v>853</v>
      </c>
      <c r="C655" s="6" t="s">
        <v>440</v>
      </c>
      <c r="D655" s="6"/>
      <c r="E655" s="225">
        <v>973860</v>
      </c>
      <c r="F655" s="226">
        <v>973860</v>
      </c>
    </row>
    <row r="656" spans="1:6" ht="51">
      <c r="A656" s="54" t="s">
        <v>1601</v>
      </c>
      <c r="B656" s="298" t="s">
        <v>853</v>
      </c>
      <c r="C656" s="6" t="s">
        <v>440</v>
      </c>
      <c r="D656" s="6" t="s">
        <v>438</v>
      </c>
      <c r="E656" s="225">
        <v>973860</v>
      </c>
      <c r="F656" s="226">
        <v>973860</v>
      </c>
    </row>
    <row r="657" spans="1:6" ht="51">
      <c r="A657" s="54" t="s">
        <v>441</v>
      </c>
      <c r="B657" s="298" t="s">
        <v>853</v>
      </c>
      <c r="C657" s="6" t="s">
        <v>442</v>
      </c>
      <c r="D657" s="6"/>
      <c r="E657" s="225">
        <v>41400</v>
      </c>
      <c r="F657" s="226">
        <v>41400</v>
      </c>
    </row>
    <row r="658" spans="1:6" ht="51">
      <c r="A658" s="54" t="s">
        <v>1601</v>
      </c>
      <c r="B658" s="298" t="s">
        <v>853</v>
      </c>
      <c r="C658" s="6" t="s">
        <v>442</v>
      </c>
      <c r="D658" s="6" t="s">
        <v>438</v>
      </c>
      <c r="E658" s="225">
        <v>41400</v>
      </c>
      <c r="F658" s="226">
        <v>41400</v>
      </c>
    </row>
    <row r="659" spans="1:6" ht="63.75">
      <c r="A659" s="54" t="s">
        <v>1288</v>
      </c>
      <c r="B659" s="298" t="s">
        <v>853</v>
      </c>
      <c r="C659" s="6" t="s">
        <v>1289</v>
      </c>
      <c r="D659" s="6"/>
      <c r="E659" s="225">
        <v>258986</v>
      </c>
      <c r="F659" s="226">
        <v>258986</v>
      </c>
    </row>
    <row r="660" spans="1:6" ht="51">
      <c r="A660" s="54" t="s">
        <v>1601</v>
      </c>
      <c r="B660" s="298" t="s">
        <v>853</v>
      </c>
      <c r="C660" s="6" t="s">
        <v>1289</v>
      </c>
      <c r="D660" s="6" t="s">
        <v>438</v>
      </c>
      <c r="E660" s="225">
        <v>258986</v>
      </c>
      <c r="F660" s="226">
        <v>258986</v>
      </c>
    </row>
    <row r="661" spans="1:6" ht="51">
      <c r="A661" s="54" t="s">
        <v>765</v>
      </c>
      <c r="B661" s="298" t="s">
        <v>1241</v>
      </c>
      <c r="C661" s="6"/>
      <c r="D661" s="6"/>
      <c r="E661" s="225">
        <v>19801141</v>
      </c>
      <c r="F661" s="226">
        <v>21110586</v>
      </c>
    </row>
    <row r="662" spans="1:6" ht="51">
      <c r="A662" s="54" t="s">
        <v>444</v>
      </c>
      <c r="B662" s="298" t="s">
        <v>847</v>
      </c>
      <c r="C662" s="6"/>
      <c r="D662" s="6"/>
      <c r="E662" s="225">
        <v>11927704</v>
      </c>
      <c r="F662" s="226">
        <v>12014223</v>
      </c>
    </row>
    <row r="663" spans="1:6" ht="25.5">
      <c r="A663" s="54" t="s">
        <v>1165</v>
      </c>
      <c r="B663" s="298" t="s">
        <v>847</v>
      </c>
      <c r="C663" s="6" t="s">
        <v>440</v>
      </c>
      <c r="D663" s="6"/>
      <c r="E663" s="225">
        <v>2413334</v>
      </c>
      <c r="F663" s="226">
        <v>2499853</v>
      </c>
    </row>
    <row r="664" spans="1:6" ht="63.75">
      <c r="A664" s="54" t="s">
        <v>92</v>
      </c>
      <c r="B664" s="298" t="s">
        <v>847</v>
      </c>
      <c r="C664" s="6" t="s">
        <v>440</v>
      </c>
      <c r="D664" s="6" t="s">
        <v>443</v>
      </c>
      <c r="E664" s="225">
        <v>1199404</v>
      </c>
      <c r="F664" s="226">
        <v>1199404</v>
      </c>
    </row>
    <row r="665" spans="1:6" ht="76.5">
      <c r="A665" s="54" t="s">
        <v>284</v>
      </c>
      <c r="B665" s="298" t="s">
        <v>847</v>
      </c>
      <c r="C665" s="6" t="s">
        <v>440</v>
      </c>
      <c r="D665" s="6" t="s">
        <v>450</v>
      </c>
      <c r="E665" s="225">
        <v>814128</v>
      </c>
      <c r="F665" s="226">
        <v>900647</v>
      </c>
    </row>
    <row r="666" spans="1:6" ht="51">
      <c r="A666" s="54" t="s">
        <v>264</v>
      </c>
      <c r="B666" s="298" t="s">
        <v>847</v>
      </c>
      <c r="C666" s="6" t="s">
        <v>440</v>
      </c>
      <c r="D666" s="6" t="s">
        <v>448</v>
      </c>
      <c r="E666" s="225">
        <v>399802</v>
      </c>
      <c r="F666" s="226">
        <v>399802</v>
      </c>
    </row>
    <row r="667" spans="1:6" ht="51">
      <c r="A667" s="54" t="s">
        <v>441</v>
      </c>
      <c r="B667" s="298" t="s">
        <v>847</v>
      </c>
      <c r="C667" s="6" t="s">
        <v>442</v>
      </c>
      <c r="D667" s="6"/>
      <c r="E667" s="225">
        <v>688800</v>
      </c>
      <c r="F667" s="226">
        <v>688800</v>
      </c>
    </row>
    <row r="668" spans="1:6" ht="63.75">
      <c r="A668" s="54" t="s">
        <v>92</v>
      </c>
      <c r="B668" s="298" t="s">
        <v>847</v>
      </c>
      <c r="C668" s="6" t="s">
        <v>442</v>
      </c>
      <c r="D668" s="6" t="s">
        <v>443</v>
      </c>
      <c r="E668" s="225">
        <v>90000</v>
      </c>
      <c r="F668" s="226">
        <v>90000</v>
      </c>
    </row>
    <row r="669" spans="1:6" ht="76.5">
      <c r="A669" s="54" t="s">
        <v>284</v>
      </c>
      <c r="B669" s="298" t="s">
        <v>847</v>
      </c>
      <c r="C669" s="6" t="s">
        <v>442</v>
      </c>
      <c r="D669" s="6" t="s">
        <v>450</v>
      </c>
      <c r="E669" s="225">
        <v>581400</v>
      </c>
      <c r="F669" s="226">
        <v>581400</v>
      </c>
    </row>
    <row r="670" spans="1:6" ht="51">
      <c r="A670" s="54" t="s">
        <v>264</v>
      </c>
      <c r="B670" s="298" t="s">
        <v>847</v>
      </c>
      <c r="C670" s="6" t="s">
        <v>442</v>
      </c>
      <c r="D670" s="6" t="s">
        <v>448</v>
      </c>
      <c r="E670" s="225">
        <v>17400</v>
      </c>
      <c r="F670" s="226">
        <v>17400</v>
      </c>
    </row>
    <row r="671" spans="1:6" ht="63.75">
      <c r="A671" s="54" t="s">
        <v>1288</v>
      </c>
      <c r="B671" s="298" t="s">
        <v>847</v>
      </c>
      <c r="C671" s="6" t="s">
        <v>1289</v>
      </c>
      <c r="D671" s="6"/>
      <c r="E671" s="225">
        <v>871782</v>
      </c>
      <c r="F671" s="226">
        <v>871782</v>
      </c>
    </row>
    <row r="672" spans="1:6" ht="63.75">
      <c r="A672" s="54" t="s">
        <v>92</v>
      </c>
      <c r="B672" s="298" t="s">
        <v>847</v>
      </c>
      <c r="C672" s="6" t="s">
        <v>1289</v>
      </c>
      <c r="D672" s="6" t="s">
        <v>443</v>
      </c>
      <c r="E672" s="225">
        <v>362220</v>
      </c>
      <c r="F672" s="226">
        <v>362220</v>
      </c>
    </row>
    <row r="673" spans="1:6" ht="76.5">
      <c r="A673" s="54" t="s">
        <v>284</v>
      </c>
      <c r="B673" s="298" t="s">
        <v>847</v>
      </c>
      <c r="C673" s="6" t="s">
        <v>1289</v>
      </c>
      <c r="D673" s="6" t="s">
        <v>450</v>
      </c>
      <c r="E673" s="225">
        <v>388822</v>
      </c>
      <c r="F673" s="226">
        <v>388822</v>
      </c>
    </row>
    <row r="674" spans="1:6" ht="51">
      <c r="A674" s="54" t="s">
        <v>264</v>
      </c>
      <c r="B674" s="298" t="s">
        <v>847</v>
      </c>
      <c r="C674" s="6" t="s">
        <v>1289</v>
      </c>
      <c r="D674" s="6" t="s">
        <v>448</v>
      </c>
      <c r="E674" s="225">
        <v>120740</v>
      </c>
      <c r="F674" s="226">
        <v>120740</v>
      </c>
    </row>
    <row r="675" spans="1:6" ht="38.25">
      <c r="A675" s="54" t="s">
        <v>445</v>
      </c>
      <c r="B675" s="298" t="s">
        <v>847</v>
      </c>
      <c r="C675" s="6" t="s">
        <v>446</v>
      </c>
      <c r="D675" s="6"/>
      <c r="E675" s="225">
        <v>7740583</v>
      </c>
      <c r="F675" s="226">
        <v>7740583</v>
      </c>
    </row>
    <row r="676" spans="1:6" ht="63.75">
      <c r="A676" s="54" t="s">
        <v>92</v>
      </c>
      <c r="B676" s="298" t="s">
        <v>847</v>
      </c>
      <c r="C676" s="6" t="s">
        <v>446</v>
      </c>
      <c r="D676" s="6" t="s">
        <v>443</v>
      </c>
      <c r="E676" s="225">
        <v>284132</v>
      </c>
      <c r="F676" s="226">
        <v>284132</v>
      </c>
    </row>
    <row r="677" spans="1:6" ht="76.5">
      <c r="A677" s="54" t="s">
        <v>284</v>
      </c>
      <c r="B677" s="298" t="s">
        <v>847</v>
      </c>
      <c r="C677" s="6" t="s">
        <v>446</v>
      </c>
      <c r="D677" s="6" t="s">
        <v>450</v>
      </c>
      <c r="E677" s="225">
        <v>7417658</v>
      </c>
      <c r="F677" s="226">
        <v>7417658</v>
      </c>
    </row>
    <row r="678" spans="1:6" ht="51">
      <c r="A678" s="54" t="s">
        <v>264</v>
      </c>
      <c r="B678" s="298" t="s">
        <v>847</v>
      </c>
      <c r="C678" s="6" t="s">
        <v>446</v>
      </c>
      <c r="D678" s="6" t="s">
        <v>448</v>
      </c>
      <c r="E678" s="225">
        <v>38793</v>
      </c>
      <c r="F678" s="226">
        <v>38793</v>
      </c>
    </row>
    <row r="679" spans="1:6">
      <c r="A679" s="54" t="s">
        <v>1168</v>
      </c>
      <c r="B679" s="298" t="s">
        <v>847</v>
      </c>
      <c r="C679" s="6" t="s">
        <v>626</v>
      </c>
      <c r="D679" s="6"/>
      <c r="E679" s="225">
        <v>40000</v>
      </c>
      <c r="F679" s="226">
        <v>40000</v>
      </c>
    </row>
    <row r="680" spans="1:6" ht="76.5">
      <c r="A680" s="54" t="s">
        <v>284</v>
      </c>
      <c r="B680" s="298" t="s">
        <v>847</v>
      </c>
      <c r="C680" s="6" t="s">
        <v>626</v>
      </c>
      <c r="D680" s="6" t="s">
        <v>450</v>
      </c>
      <c r="E680" s="225">
        <v>40000</v>
      </c>
      <c r="F680" s="226">
        <v>40000</v>
      </c>
    </row>
    <row r="681" spans="1:6">
      <c r="A681" s="54" t="s">
        <v>1293</v>
      </c>
      <c r="B681" s="298" t="s">
        <v>847</v>
      </c>
      <c r="C681" s="6" t="s">
        <v>1294</v>
      </c>
      <c r="D681" s="6"/>
      <c r="E681" s="225">
        <v>173205</v>
      </c>
      <c r="F681" s="226">
        <v>173205</v>
      </c>
    </row>
    <row r="682" spans="1:6" ht="76.5">
      <c r="A682" s="54" t="s">
        <v>284</v>
      </c>
      <c r="B682" s="298" t="s">
        <v>847</v>
      </c>
      <c r="C682" s="6" t="s">
        <v>1294</v>
      </c>
      <c r="D682" s="6" t="s">
        <v>450</v>
      </c>
      <c r="E682" s="225">
        <v>173205</v>
      </c>
      <c r="F682" s="226">
        <v>173205</v>
      </c>
    </row>
    <row r="683" spans="1:6" ht="102">
      <c r="A683" s="54" t="s">
        <v>725</v>
      </c>
      <c r="B683" s="298" t="s">
        <v>857</v>
      </c>
      <c r="C683" s="6"/>
      <c r="D683" s="6"/>
      <c r="E683" s="225">
        <v>503136</v>
      </c>
      <c r="F683" s="226">
        <v>503136</v>
      </c>
    </row>
    <row r="684" spans="1:6" ht="25.5">
      <c r="A684" s="54" t="s">
        <v>1165</v>
      </c>
      <c r="B684" s="298" t="s">
        <v>857</v>
      </c>
      <c r="C684" s="6" t="s">
        <v>440</v>
      </c>
      <c r="D684" s="6"/>
      <c r="E684" s="225">
        <v>386433</v>
      </c>
      <c r="F684" s="226">
        <v>386433</v>
      </c>
    </row>
    <row r="685" spans="1:6" ht="76.5">
      <c r="A685" s="54" t="s">
        <v>284</v>
      </c>
      <c r="B685" s="298" t="s">
        <v>857</v>
      </c>
      <c r="C685" s="6" t="s">
        <v>440</v>
      </c>
      <c r="D685" s="6" t="s">
        <v>450</v>
      </c>
      <c r="E685" s="225">
        <v>386433</v>
      </c>
      <c r="F685" s="226">
        <v>386433</v>
      </c>
    </row>
    <row r="686" spans="1:6" ht="63.75">
      <c r="A686" s="54" t="s">
        <v>1288</v>
      </c>
      <c r="B686" s="298" t="s">
        <v>857</v>
      </c>
      <c r="C686" s="6" t="s">
        <v>1289</v>
      </c>
      <c r="D686" s="6"/>
      <c r="E686" s="225">
        <v>116703</v>
      </c>
      <c r="F686" s="226">
        <v>116703</v>
      </c>
    </row>
    <row r="687" spans="1:6" ht="76.5">
      <c r="A687" s="54" t="s">
        <v>284</v>
      </c>
      <c r="B687" s="298" t="s">
        <v>857</v>
      </c>
      <c r="C687" s="6" t="s">
        <v>1289</v>
      </c>
      <c r="D687" s="6" t="s">
        <v>450</v>
      </c>
      <c r="E687" s="225">
        <v>116703</v>
      </c>
      <c r="F687" s="226">
        <v>116703</v>
      </c>
    </row>
    <row r="688" spans="1:6" ht="76.5">
      <c r="A688" s="54" t="s">
        <v>723</v>
      </c>
      <c r="B688" s="298" t="s">
        <v>848</v>
      </c>
      <c r="C688" s="6"/>
      <c r="D688" s="6"/>
      <c r="E688" s="225">
        <v>1080000</v>
      </c>
      <c r="F688" s="226">
        <v>1080000</v>
      </c>
    </row>
    <row r="689" spans="1:6" ht="51">
      <c r="A689" s="54" t="s">
        <v>441</v>
      </c>
      <c r="B689" s="298" t="s">
        <v>848</v>
      </c>
      <c r="C689" s="6" t="s">
        <v>442</v>
      </c>
      <c r="D689" s="6"/>
      <c r="E689" s="225">
        <v>1080000</v>
      </c>
      <c r="F689" s="226">
        <v>1080000</v>
      </c>
    </row>
    <row r="690" spans="1:6" ht="63.75">
      <c r="A690" s="54" t="s">
        <v>92</v>
      </c>
      <c r="B690" s="298" t="s">
        <v>848</v>
      </c>
      <c r="C690" s="6" t="s">
        <v>442</v>
      </c>
      <c r="D690" s="6" t="s">
        <v>443</v>
      </c>
      <c r="E690" s="225">
        <v>50000</v>
      </c>
      <c r="F690" s="226">
        <v>50000</v>
      </c>
    </row>
    <row r="691" spans="1:6" ht="76.5">
      <c r="A691" s="54" t="s">
        <v>284</v>
      </c>
      <c r="B691" s="298" t="s">
        <v>848</v>
      </c>
      <c r="C691" s="6" t="s">
        <v>442</v>
      </c>
      <c r="D691" s="6" t="s">
        <v>450</v>
      </c>
      <c r="E691" s="225">
        <v>1000000</v>
      </c>
      <c r="F691" s="226">
        <v>1000000</v>
      </c>
    </row>
    <row r="692" spans="1:6" ht="51">
      <c r="A692" s="54" t="s">
        <v>264</v>
      </c>
      <c r="B692" s="298" t="s">
        <v>848</v>
      </c>
      <c r="C692" s="6" t="s">
        <v>442</v>
      </c>
      <c r="D692" s="6" t="s">
        <v>448</v>
      </c>
      <c r="E692" s="225">
        <v>30000</v>
      </c>
      <c r="F692" s="226">
        <v>30000</v>
      </c>
    </row>
    <row r="693" spans="1:6" ht="76.5">
      <c r="A693" s="54" t="s">
        <v>726</v>
      </c>
      <c r="B693" s="298" t="s">
        <v>858</v>
      </c>
      <c r="C693" s="6"/>
      <c r="D693" s="6"/>
      <c r="E693" s="225">
        <v>965673</v>
      </c>
      <c r="F693" s="226">
        <v>2188599</v>
      </c>
    </row>
    <row r="694" spans="1:6" ht="25.5">
      <c r="A694" s="54" t="s">
        <v>1165</v>
      </c>
      <c r="B694" s="298" t="s">
        <v>858</v>
      </c>
      <c r="C694" s="6" t="s">
        <v>440</v>
      </c>
      <c r="D694" s="6"/>
      <c r="E694" s="225">
        <v>530223</v>
      </c>
      <c r="F694" s="226">
        <v>753149</v>
      </c>
    </row>
    <row r="695" spans="1:6" ht="76.5">
      <c r="A695" s="54" t="s">
        <v>284</v>
      </c>
      <c r="B695" s="298" t="s">
        <v>858</v>
      </c>
      <c r="C695" s="6" t="s">
        <v>440</v>
      </c>
      <c r="D695" s="6" t="s">
        <v>450</v>
      </c>
      <c r="E695" s="225">
        <v>530223</v>
      </c>
      <c r="F695" s="226">
        <v>753149</v>
      </c>
    </row>
    <row r="696" spans="1:6" ht="63.75">
      <c r="A696" s="54" t="s">
        <v>1288</v>
      </c>
      <c r="B696" s="298" t="s">
        <v>858</v>
      </c>
      <c r="C696" s="6" t="s">
        <v>1289</v>
      </c>
      <c r="D696" s="6"/>
      <c r="E696" s="225">
        <v>435450</v>
      </c>
      <c r="F696" s="226">
        <v>1435450</v>
      </c>
    </row>
    <row r="697" spans="1:6" ht="76.5">
      <c r="A697" s="54" t="s">
        <v>284</v>
      </c>
      <c r="B697" s="298" t="s">
        <v>858</v>
      </c>
      <c r="C697" s="6" t="s">
        <v>1289</v>
      </c>
      <c r="D697" s="6" t="s">
        <v>450</v>
      </c>
      <c r="E697" s="225">
        <v>435450</v>
      </c>
      <c r="F697" s="226">
        <v>1435450</v>
      </c>
    </row>
    <row r="698" spans="1:6" ht="51">
      <c r="A698" s="54" t="s">
        <v>1169</v>
      </c>
      <c r="B698" s="298" t="s">
        <v>1170</v>
      </c>
      <c r="C698" s="6"/>
      <c r="D698" s="6"/>
      <c r="E698" s="225">
        <v>2382800</v>
      </c>
      <c r="F698" s="226">
        <v>2382800</v>
      </c>
    </row>
    <row r="699" spans="1:6" ht="38.25">
      <c r="A699" s="54" t="s">
        <v>445</v>
      </c>
      <c r="B699" s="298" t="s">
        <v>1170</v>
      </c>
      <c r="C699" s="6" t="s">
        <v>446</v>
      </c>
      <c r="D699" s="6"/>
      <c r="E699" s="225">
        <v>2382800</v>
      </c>
      <c r="F699" s="226">
        <v>2382800</v>
      </c>
    </row>
    <row r="700" spans="1:6" ht="76.5">
      <c r="A700" s="54" t="s">
        <v>284</v>
      </c>
      <c r="B700" s="298" t="s">
        <v>1170</v>
      </c>
      <c r="C700" s="6" t="s">
        <v>446</v>
      </c>
      <c r="D700" s="6" t="s">
        <v>450</v>
      </c>
      <c r="E700" s="225">
        <v>2382800</v>
      </c>
      <c r="F700" s="226">
        <v>2382800</v>
      </c>
    </row>
    <row r="701" spans="1:6" ht="51">
      <c r="A701" s="54" t="s">
        <v>1166</v>
      </c>
      <c r="B701" s="298" t="s">
        <v>1167</v>
      </c>
      <c r="C701" s="6"/>
      <c r="D701" s="6"/>
      <c r="E701" s="225">
        <v>38493</v>
      </c>
      <c r="F701" s="226">
        <v>38493</v>
      </c>
    </row>
    <row r="702" spans="1:6" ht="38.25">
      <c r="A702" s="54" t="s">
        <v>445</v>
      </c>
      <c r="B702" s="298" t="s">
        <v>1167</v>
      </c>
      <c r="C702" s="6" t="s">
        <v>446</v>
      </c>
      <c r="D702" s="6"/>
      <c r="E702" s="225">
        <v>38493</v>
      </c>
      <c r="F702" s="226">
        <v>38493</v>
      </c>
    </row>
    <row r="703" spans="1:6" ht="63.75">
      <c r="A703" s="54" t="s">
        <v>92</v>
      </c>
      <c r="B703" s="298" t="s">
        <v>1167</v>
      </c>
      <c r="C703" s="6" t="s">
        <v>446</v>
      </c>
      <c r="D703" s="6" t="s">
        <v>443</v>
      </c>
      <c r="E703" s="225">
        <v>31000</v>
      </c>
      <c r="F703" s="226">
        <v>31000</v>
      </c>
    </row>
    <row r="704" spans="1:6" ht="51">
      <c r="A704" s="54" t="s">
        <v>264</v>
      </c>
      <c r="B704" s="298" t="s">
        <v>1167</v>
      </c>
      <c r="C704" s="6" t="s">
        <v>446</v>
      </c>
      <c r="D704" s="6" t="s">
        <v>448</v>
      </c>
      <c r="E704" s="225">
        <v>7493</v>
      </c>
      <c r="F704" s="226">
        <v>7493</v>
      </c>
    </row>
    <row r="705" spans="1:6" ht="38.25">
      <c r="A705" s="54" t="s">
        <v>1438</v>
      </c>
      <c r="B705" s="298" t="s">
        <v>1439</v>
      </c>
      <c r="C705" s="6"/>
      <c r="D705" s="6"/>
      <c r="E705" s="225">
        <v>750540</v>
      </c>
      <c r="F705" s="226">
        <v>750540</v>
      </c>
    </row>
    <row r="706" spans="1:6" ht="38.25">
      <c r="A706" s="54" t="s">
        <v>445</v>
      </c>
      <c r="B706" s="298" t="s">
        <v>1439</v>
      </c>
      <c r="C706" s="6" t="s">
        <v>446</v>
      </c>
      <c r="D706" s="6"/>
      <c r="E706" s="225">
        <v>750540</v>
      </c>
      <c r="F706" s="226">
        <v>750540</v>
      </c>
    </row>
    <row r="707" spans="1:6" ht="76.5">
      <c r="A707" s="54" t="s">
        <v>284</v>
      </c>
      <c r="B707" s="298" t="s">
        <v>1439</v>
      </c>
      <c r="C707" s="6" t="s">
        <v>446</v>
      </c>
      <c r="D707" s="6" t="s">
        <v>450</v>
      </c>
      <c r="E707" s="225">
        <v>750540</v>
      </c>
      <c r="F707" s="226">
        <v>750540</v>
      </c>
    </row>
    <row r="708" spans="1:6" ht="102">
      <c r="A708" s="54" t="s">
        <v>671</v>
      </c>
      <c r="B708" s="298" t="s">
        <v>862</v>
      </c>
      <c r="C708" s="6"/>
      <c r="D708" s="6"/>
      <c r="E708" s="225">
        <v>51000</v>
      </c>
      <c r="F708" s="226">
        <v>51000</v>
      </c>
    </row>
    <row r="709" spans="1:6" ht="25.5">
      <c r="A709" s="54" t="s">
        <v>1165</v>
      </c>
      <c r="B709" s="298" t="s">
        <v>862</v>
      </c>
      <c r="C709" s="6" t="s">
        <v>440</v>
      </c>
      <c r="D709" s="6"/>
      <c r="E709" s="225">
        <v>37097</v>
      </c>
      <c r="F709" s="226">
        <v>37097</v>
      </c>
    </row>
    <row r="710" spans="1:6">
      <c r="A710" s="54" t="s">
        <v>265</v>
      </c>
      <c r="B710" s="298" t="s">
        <v>862</v>
      </c>
      <c r="C710" s="6" t="s">
        <v>440</v>
      </c>
      <c r="D710" s="6" t="s">
        <v>454</v>
      </c>
      <c r="E710" s="225">
        <v>37097</v>
      </c>
      <c r="F710" s="226">
        <v>37097</v>
      </c>
    </row>
    <row r="711" spans="1:6" ht="63.75">
      <c r="A711" s="54" t="s">
        <v>1288</v>
      </c>
      <c r="B711" s="298" t="s">
        <v>862</v>
      </c>
      <c r="C711" s="6" t="s">
        <v>1289</v>
      </c>
      <c r="D711" s="6"/>
      <c r="E711" s="225">
        <v>11203</v>
      </c>
      <c r="F711" s="226">
        <v>11203</v>
      </c>
    </row>
    <row r="712" spans="1:6">
      <c r="A712" s="54" t="s">
        <v>265</v>
      </c>
      <c r="B712" s="298" t="s">
        <v>862</v>
      </c>
      <c r="C712" s="6" t="s">
        <v>1289</v>
      </c>
      <c r="D712" s="6" t="s">
        <v>454</v>
      </c>
      <c r="E712" s="225">
        <v>11203</v>
      </c>
      <c r="F712" s="226">
        <v>11203</v>
      </c>
    </row>
    <row r="713" spans="1:6" ht="38.25">
      <c r="A713" s="54" t="s">
        <v>445</v>
      </c>
      <c r="B713" s="298" t="s">
        <v>862</v>
      </c>
      <c r="C713" s="6" t="s">
        <v>446</v>
      </c>
      <c r="D713" s="6"/>
      <c r="E713" s="225">
        <v>2700</v>
      </c>
      <c r="F713" s="226">
        <v>2700</v>
      </c>
    </row>
    <row r="714" spans="1:6">
      <c r="A714" s="54" t="s">
        <v>265</v>
      </c>
      <c r="B714" s="298" t="s">
        <v>862</v>
      </c>
      <c r="C714" s="6" t="s">
        <v>446</v>
      </c>
      <c r="D714" s="6" t="s">
        <v>454</v>
      </c>
      <c r="E714" s="225">
        <v>2700</v>
      </c>
      <c r="F714" s="226">
        <v>2700</v>
      </c>
    </row>
    <row r="715" spans="1:6" ht="102">
      <c r="A715" s="54" t="s">
        <v>452</v>
      </c>
      <c r="B715" s="298" t="s">
        <v>855</v>
      </c>
      <c r="C715" s="6"/>
      <c r="D715" s="6"/>
      <c r="E715" s="225">
        <v>525200</v>
      </c>
      <c r="F715" s="226">
        <v>525200</v>
      </c>
    </row>
    <row r="716" spans="1:6" ht="25.5">
      <c r="A716" s="54" t="s">
        <v>1165</v>
      </c>
      <c r="B716" s="298" t="s">
        <v>855</v>
      </c>
      <c r="C716" s="6" t="s">
        <v>440</v>
      </c>
      <c r="D716" s="6"/>
      <c r="E716" s="225">
        <v>370964</v>
      </c>
      <c r="F716" s="226">
        <v>370964</v>
      </c>
    </row>
    <row r="717" spans="1:6" ht="76.5">
      <c r="A717" s="54" t="s">
        <v>284</v>
      </c>
      <c r="B717" s="298" t="s">
        <v>855</v>
      </c>
      <c r="C717" s="6" t="s">
        <v>440</v>
      </c>
      <c r="D717" s="6" t="s">
        <v>450</v>
      </c>
      <c r="E717" s="225">
        <v>370964</v>
      </c>
      <c r="F717" s="226">
        <v>370964</v>
      </c>
    </row>
    <row r="718" spans="1:6" ht="51">
      <c r="A718" s="54" t="s">
        <v>441</v>
      </c>
      <c r="B718" s="298" t="s">
        <v>855</v>
      </c>
      <c r="C718" s="6" t="s">
        <v>442</v>
      </c>
      <c r="D718" s="6"/>
      <c r="E718" s="225">
        <v>7000</v>
      </c>
      <c r="F718" s="226">
        <v>7000</v>
      </c>
    </row>
    <row r="719" spans="1:6" ht="76.5">
      <c r="A719" s="54" t="s">
        <v>284</v>
      </c>
      <c r="B719" s="298" t="s">
        <v>855</v>
      </c>
      <c r="C719" s="6" t="s">
        <v>442</v>
      </c>
      <c r="D719" s="6" t="s">
        <v>450</v>
      </c>
      <c r="E719" s="225">
        <v>7000</v>
      </c>
      <c r="F719" s="226">
        <v>7000</v>
      </c>
    </row>
    <row r="720" spans="1:6" ht="63.75">
      <c r="A720" s="54" t="s">
        <v>1288</v>
      </c>
      <c r="B720" s="298" t="s">
        <v>855</v>
      </c>
      <c r="C720" s="6" t="s">
        <v>1289</v>
      </c>
      <c r="D720" s="6"/>
      <c r="E720" s="225">
        <v>112031</v>
      </c>
      <c r="F720" s="226">
        <v>112031</v>
      </c>
    </row>
    <row r="721" spans="1:6" ht="76.5">
      <c r="A721" s="54" t="s">
        <v>284</v>
      </c>
      <c r="B721" s="298" t="s">
        <v>855</v>
      </c>
      <c r="C721" s="6" t="s">
        <v>1289</v>
      </c>
      <c r="D721" s="6" t="s">
        <v>450</v>
      </c>
      <c r="E721" s="225">
        <v>112031</v>
      </c>
      <c r="F721" s="226">
        <v>112031</v>
      </c>
    </row>
    <row r="722" spans="1:6" ht="38.25">
      <c r="A722" s="54" t="s">
        <v>445</v>
      </c>
      <c r="B722" s="298" t="s">
        <v>855</v>
      </c>
      <c r="C722" s="6" t="s">
        <v>446</v>
      </c>
      <c r="D722" s="6"/>
      <c r="E722" s="225">
        <v>35205</v>
      </c>
      <c r="F722" s="226">
        <v>35205</v>
      </c>
    </row>
    <row r="723" spans="1:6" ht="76.5">
      <c r="A723" s="54" t="s">
        <v>284</v>
      </c>
      <c r="B723" s="298" t="s">
        <v>855</v>
      </c>
      <c r="C723" s="6" t="s">
        <v>446</v>
      </c>
      <c r="D723" s="6" t="s">
        <v>450</v>
      </c>
      <c r="E723" s="225">
        <v>35205</v>
      </c>
      <c r="F723" s="226">
        <v>35205</v>
      </c>
    </row>
    <row r="724" spans="1:6" ht="51">
      <c r="A724" s="54" t="s">
        <v>455</v>
      </c>
      <c r="B724" s="298" t="s">
        <v>863</v>
      </c>
      <c r="C724" s="6"/>
      <c r="D724" s="6"/>
      <c r="E724" s="225">
        <v>69600</v>
      </c>
      <c r="F724" s="226">
        <v>69600</v>
      </c>
    </row>
    <row r="725" spans="1:6" ht="25.5">
      <c r="A725" s="54" t="s">
        <v>1165</v>
      </c>
      <c r="B725" s="298" t="s">
        <v>863</v>
      </c>
      <c r="C725" s="6" t="s">
        <v>440</v>
      </c>
      <c r="D725" s="6"/>
      <c r="E725" s="225">
        <v>44218</v>
      </c>
      <c r="F725" s="226">
        <v>44218</v>
      </c>
    </row>
    <row r="726" spans="1:6">
      <c r="A726" s="54" t="s">
        <v>265</v>
      </c>
      <c r="B726" s="298" t="s">
        <v>863</v>
      </c>
      <c r="C726" s="6" t="s">
        <v>440</v>
      </c>
      <c r="D726" s="6" t="s">
        <v>454</v>
      </c>
      <c r="E726" s="225">
        <v>44218</v>
      </c>
      <c r="F726" s="226">
        <v>44218</v>
      </c>
    </row>
    <row r="727" spans="1:6" ht="63.75">
      <c r="A727" s="54" t="s">
        <v>1288</v>
      </c>
      <c r="B727" s="298" t="s">
        <v>863</v>
      </c>
      <c r="C727" s="6" t="s">
        <v>1289</v>
      </c>
      <c r="D727" s="6"/>
      <c r="E727" s="225">
        <v>13354</v>
      </c>
      <c r="F727" s="226">
        <v>13354</v>
      </c>
    </row>
    <row r="728" spans="1:6">
      <c r="A728" s="54" t="s">
        <v>265</v>
      </c>
      <c r="B728" s="298" t="s">
        <v>863</v>
      </c>
      <c r="C728" s="6" t="s">
        <v>1289</v>
      </c>
      <c r="D728" s="6" t="s">
        <v>454</v>
      </c>
      <c r="E728" s="225">
        <v>13354</v>
      </c>
      <c r="F728" s="226">
        <v>13354</v>
      </c>
    </row>
    <row r="729" spans="1:6" ht="38.25">
      <c r="A729" s="54" t="s">
        <v>445</v>
      </c>
      <c r="B729" s="298" t="s">
        <v>863</v>
      </c>
      <c r="C729" s="6" t="s">
        <v>446</v>
      </c>
      <c r="D729" s="6"/>
      <c r="E729" s="225">
        <v>12028</v>
      </c>
      <c r="F729" s="226">
        <v>12028</v>
      </c>
    </row>
    <row r="730" spans="1:6">
      <c r="A730" s="54" t="s">
        <v>265</v>
      </c>
      <c r="B730" s="298" t="s">
        <v>863</v>
      </c>
      <c r="C730" s="6" t="s">
        <v>446</v>
      </c>
      <c r="D730" s="6" t="s">
        <v>454</v>
      </c>
      <c r="E730" s="225">
        <v>12028</v>
      </c>
      <c r="F730" s="226">
        <v>12028</v>
      </c>
    </row>
    <row r="731" spans="1:6" ht="76.5">
      <c r="A731" s="54" t="s">
        <v>453</v>
      </c>
      <c r="B731" s="298" t="s">
        <v>856</v>
      </c>
      <c r="C731" s="6"/>
      <c r="D731" s="6"/>
      <c r="E731" s="225">
        <v>1024000</v>
      </c>
      <c r="F731" s="226">
        <v>1024000</v>
      </c>
    </row>
    <row r="732" spans="1:6" ht="25.5">
      <c r="A732" s="54" t="s">
        <v>1165</v>
      </c>
      <c r="B732" s="298" t="s">
        <v>856</v>
      </c>
      <c r="C732" s="6" t="s">
        <v>440</v>
      </c>
      <c r="D732" s="6"/>
      <c r="E732" s="225">
        <v>741928</v>
      </c>
      <c r="F732" s="226">
        <v>741928</v>
      </c>
    </row>
    <row r="733" spans="1:6" ht="76.5">
      <c r="A733" s="54" t="s">
        <v>284</v>
      </c>
      <c r="B733" s="298" t="s">
        <v>856</v>
      </c>
      <c r="C733" s="6" t="s">
        <v>440</v>
      </c>
      <c r="D733" s="6" t="s">
        <v>450</v>
      </c>
      <c r="E733" s="225">
        <v>741928</v>
      </c>
      <c r="F733" s="226">
        <v>741928</v>
      </c>
    </row>
    <row r="734" spans="1:6" ht="51">
      <c r="A734" s="54" t="s">
        <v>441</v>
      </c>
      <c r="B734" s="298" t="s">
        <v>856</v>
      </c>
      <c r="C734" s="6" t="s">
        <v>442</v>
      </c>
      <c r="D734" s="6"/>
      <c r="E734" s="225">
        <v>18000</v>
      </c>
      <c r="F734" s="226">
        <v>18000</v>
      </c>
    </row>
    <row r="735" spans="1:6" ht="76.5">
      <c r="A735" s="54" t="s">
        <v>284</v>
      </c>
      <c r="B735" s="298" t="s">
        <v>856</v>
      </c>
      <c r="C735" s="6" t="s">
        <v>442</v>
      </c>
      <c r="D735" s="6" t="s">
        <v>450</v>
      </c>
      <c r="E735" s="225">
        <v>18000</v>
      </c>
      <c r="F735" s="226">
        <v>18000</v>
      </c>
    </row>
    <row r="736" spans="1:6" ht="63.75">
      <c r="A736" s="54" t="s">
        <v>1288</v>
      </c>
      <c r="B736" s="298" t="s">
        <v>856</v>
      </c>
      <c r="C736" s="6" t="s">
        <v>1289</v>
      </c>
      <c r="D736" s="6"/>
      <c r="E736" s="225">
        <v>224062</v>
      </c>
      <c r="F736" s="226">
        <v>224062</v>
      </c>
    </row>
    <row r="737" spans="1:6" ht="76.5">
      <c r="A737" s="54" t="s">
        <v>284</v>
      </c>
      <c r="B737" s="298" t="s">
        <v>856</v>
      </c>
      <c r="C737" s="6" t="s">
        <v>1289</v>
      </c>
      <c r="D737" s="6" t="s">
        <v>450</v>
      </c>
      <c r="E737" s="225">
        <v>224062</v>
      </c>
      <c r="F737" s="226">
        <v>224062</v>
      </c>
    </row>
    <row r="738" spans="1:6" ht="38.25">
      <c r="A738" s="54" t="s">
        <v>445</v>
      </c>
      <c r="B738" s="298" t="s">
        <v>856</v>
      </c>
      <c r="C738" s="6" t="s">
        <v>446</v>
      </c>
      <c r="D738" s="6"/>
      <c r="E738" s="225">
        <v>40010</v>
      </c>
      <c r="F738" s="226">
        <v>40010</v>
      </c>
    </row>
    <row r="739" spans="1:6" ht="76.5">
      <c r="A739" s="54" t="s">
        <v>284</v>
      </c>
      <c r="B739" s="298" t="s">
        <v>856</v>
      </c>
      <c r="C739" s="6" t="s">
        <v>446</v>
      </c>
      <c r="D739" s="6" t="s">
        <v>450</v>
      </c>
      <c r="E739" s="225">
        <v>40010</v>
      </c>
      <c r="F739" s="226">
        <v>40010</v>
      </c>
    </row>
    <row r="740" spans="1:6" ht="267.75">
      <c r="A740" s="54" t="s">
        <v>627</v>
      </c>
      <c r="B740" s="298" t="s">
        <v>859</v>
      </c>
      <c r="C740" s="6"/>
      <c r="D740" s="6"/>
      <c r="E740" s="225">
        <v>482995</v>
      </c>
      <c r="F740" s="226">
        <v>482995</v>
      </c>
    </row>
    <row r="741" spans="1:6" ht="25.5">
      <c r="A741" s="54" t="s">
        <v>1165</v>
      </c>
      <c r="B741" s="298" t="s">
        <v>859</v>
      </c>
      <c r="C741" s="6" t="s">
        <v>440</v>
      </c>
      <c r="D741" s="6"/>
      <c r="E741" s="225">
        <v>370965</v>
      </c>
      <c r="F741" s="226">
        <v>370965</v>
      </c>
    </row>
    <row r="742" spans="1:6" ht="76.5">
      <c r="A742" s="54" t="s">
        <v>284</v>
      </c>
      <c r="B742" s="298" t="s">
        <v>859</v>
      </c>
      <c r="C742" s="6" t="s">
        <v>440</v>
      </c>
      <c r="D742" s="6" t="s">
        <v>450</v>
      </c>
      <c r="E742" s="225">
        <v>370965</v>
      </c>
      <c r="F742" s="226">
        <v>370965</v>
      </c>
    </row>
    <row r="743" spans="1:6" ht="63.75">
      <c r="A743" s="54" t="s">
        <v>1288</v>
      </c>
      <c r="B743" s="298" t="s">
        <v>859</v>
      </c>
      <c r="C743" s="6" t="s">
        <v>1289</v>
      </c>
      <c r="D743" s="6"/>
      <c r="E743" s="225">
        <v>112030</v>
      </c>
      <c r="F743" s="226">
        <v>112030</v>
      </c>
    </row>
    <row r="744" spans="1:6" ht="76.5">
      <c r="A744" s="54" t="s">
        <v>284</v>
      </c>
      <c r="B744" s="298" t="s">
        <v>859</v>
      </c>
      <c r="C744" s="6" t="s">
        <v>1289</v>
      </c>
      <c r="D744" s="6" t="s">
        <v>450</v>
      </c>
      <c r="E744" s="225">
        <v>112030</v>
      </c>
      <c r="F744" s="226">
        <v>112030</v>
      </c>
    </row>
    <row r="745" spans="1:6" ht="63.75">
      <c r="A745" s="54" t="s">
        <v>447</v>
      </c>
      <c r="B745" s="298" t="s">
        <v>1242</v>
      </c>
      <c r="C745" s="6"/>
      <c r="D745" s="6"/>
      <c r="E745" s="225">
        <v>1503954</v>
      </c>
      <c r="F745" s="226">
        <v>2503954</v>
      </c>
    </row>
    <row r="746" spans="1:6" ht="63.75">
      <c r="A746" s="54" t="s">
        <v>447</v>
      </c>
      <c r="B746" s="298" t="s">
        <v>849</v>
      </c>
      <c r="C746" s="6"/>
      <c r="D746" s="6"/>
      <c r="E746" s="225">
        <v>1441810</v>
      </c>
      <c r="F746" s="226">
        <v>2441810</v>
      </c>
    </row>
    <row r="747" spans="1:6" ht="25.5">
      <c r="A747" s="54" t="s">
        <v>1165</v>
      </c>
      <c r="B747" s="298" t="s">
        <v>849</v>
      </c>
      <c r="C747" s="6" t="s">
        <v>440</v>
      </c>
      <c r="D747" s="6"/>
      <c r="E747" s="225">
        <v>875046</v>
      </c>
      <c r="F747" s="226">
        <v>1675046</v>
      </c>
    </row>
    <row r="748" spans="1:6" ht="63.75">
      <c r="A748" s="54" t="s">
        <v>92</v>
      </c>
      <c r="B748" s="298" t="s">
        <v>849</v>
      </c>
      <c r="C748" s="6" t="s">
        <v>440</v>
      </c>
      <c r="D748" s="6" t="s">
        <v>443</v>
      </c>
      <c r="E748" s="225">
        <v>875046</v>
      </c>
      <c r="F748" s="226">
        <v>1675046</v>
      </c>
    </row>
    <row r="749" spans="1:6" ht="51">
      <c r="A749" s="54" t="s">
        <v>441</v>
      </c>
      <c r="B749" s="298" t="s">
        <v>849</v>
      </c>
      <c r="C749" s="6" t="s">
        <v>442</v>
      </c>
      <c r="D749" s="6"/>
      <c r="E749" s="225">
        <v>73752</v>
      </c>
      <c r="F749" s="226">
        <v>73752</v>
      </c>
    </row>
    <row r="750" spans="1:6" ht="63.75">
      <c r="A750" s="54" t="s">
        <v>92</v>
      </c>
      <c r="B750" s="298" t="s">
        <v>849</v>
      </c>
      <c r="C750" s="6" t="s">
        <v>442</v>
      </c>
      <c r="D750" s="6" t="s">
        <v>443</v>
      </c>
      <c r="E750" s="225">
        <v>73752</v>
      </c>
      <c r="F750" s="226">
        <v>73752</v>
      </c>
    </row>
    <row r="751" spans="1:6" ht="76.5">
      <c r="A751" s="54" t="s">
        <v>1599</v>
      </c>
      <c r="B751" s="298" t="s">
        <v>849</v>
      </c>
      <c r="C751" s="6" t="s">
        <v>623</v>
      </c>
      <c r="D751" s="6"/>
      <c r="E751" s="225">
        <v>208800</v>
      </c>
      <c r="F751" s="226">
        <v>208800</v>
      </c>
    </row>
    <row r="752" spans="1:6" ht="63.75">
      <c r="A752" s="54" t="s">
        <v>92</v>
      </c>
      <c r="B752" s="298" t="s">
        <v>849</v>
      </c>
      <c r="C752" s="6" t="s">
        <v>623</v>
      </c>
      <c r="D752" s="6" t="s">
        <v>443</v>
      </c>
      <c r="E752" s="225">
        <v>208800</v>
      </c>
      <c r="F752" s="226">
        <v>208800</v>
      </c>
    </row>
    <row r="753" spans="1:6" ht="63.75">
      <c r="A753" s="54" t="s">
        <v>1288</v>
      </c>
      <c r="B753" s="298" t="s">
        <v>849</v>
      </c>
      <c r="C753" s="6" t="s">
        <v>1289</v>
      </c>
      <c r="D753" s="6"/>
      <c r="E753" s="225">
        <v>284212</v>
      </c>
      <c r="F753" s="226">
        <v>484212</v>
      </c>
    </row>
    <row r="754" spans="1:6" ht="63.75">
      <c r="A754" s="54" t="s">
        <v>92</v>
      </c>
      <c r="B754" s="298" t="s">
        <v>849</v>
      </c>
      <c r="C754" s="6" t="s">
        <v>1289</v>
      </c>
      <c r="D754" s="6" t="s">
        <v>443</v>
      </c>
      <c r="E754" s="225">
        <v>284212</v>
      </c>
      <c r="F754" s="226">
        <v>484212</v>
      </c>
    </row>
    <row r="755" spans="1:6" ht="76.5">
      <c r="A755" s="54" t="s">
        <v>1600</v>
      </c>
      <c r="B755" s="298" t="s">
        <v>850</v>
      </c>
      <c r="C755" s="6"/>
      <c r="D755" s="6"/>
      <c r="E755" s="225">
        <v>62144</v>
      </c>
      <c r="F755" s="226">
        <v>62144</v>
      </c>
    </row>
    <row r="756" spans="1:6" ht="51">
      <c r="A756" s="54" t="s">
        <v>441</v>
      </c>
      <c r="B756" s="298" t="s">
        <v>850</v>
      </c>
      <c r="C756" s="6" t="s">
        <v>442</v>
      </c>
      <c r="D756" s="6"/>
      <c r="E756" s="225">
        <v>62144</v>
      </c>
      <c r="F756" s="226">
        <v>62144</v>
      </c>
    </row>
    <row r="757" spans="1:6" ht="63.75">
      <c r="A757" s="54" t="s">
        <v>92</v>
      </c>
      <c r="B757" s="298" t="s">
        <v>850</v>
      </c>
      <c r="C757" s="6" t="s">
        <v>442</v>
      </c>
      <c r="D757" s="6" t="s">
        <v>443</v>
      </c>
      <c r="E757" s="225">
        <v>62144</v>
      </c>
      <c r="F757" s="226">
        <v>62144</v>
      </c>
    </row>
    <row r="758" spans="1:6" ht="76.5">
      <c r="A758" s="54" t="s">
        <v>449</v>
      </c>
      <c r="B758" s="298" t="s">
        <v>1243</v>
      </c>
      <c r="C758" s="6"/>
      <c r="D758" s="6"/>
      <c r="E758" s="225">
        <v>791840</v>
      </c>
      <c r="F758" s="226">
        <v>791840</v>
      </c>
    </row>
    <row r="759" spans="1:6" ht="76.5">
      <c r="A759" s="54" t="s">
        <v>449</v>
      </c>
      <c r="B759" s="298" t="s">
        <v>851</v>
      </c>
      <c r="C759" s="6"/>
      <c r="D759" s="6"/>
      <c r="E759" s="225">
        <v>761840</v>
      </c>
      <c r="F759" s="226">
        <v>761840</v>
      </c>
    </row>
    <row r="760" spans="1:6" ht="25.5">
      <c r="A760" s="54" t="s">
        <v>1165</v>
      </c>
      <c r="B760" s="298" t="s">
        <v>851</v>
      </c>
      <c r="C760" s="6" t="s">
        <v>440</v>
      </c>
      <c r="D760" s="6"/>
      <c r="E760" s="225">
        <v>571766</v>
      </c>
      <c r="F760" s="226">
        <v>571766</v>
      </c>
    </row>
    <row r="761" spans="1:6" ht="51">
      <c r="A761" s="54" t="s">
        <v>264</v>
      </c>
      <c r="B761" s="298" t="s">
        <v>851</v>
      </c>
      <c r="C761" s="6" t="s">
        <v>440</v>
      </c>
      <c r="D761" s="6" t="s">
        <v>448</v>
      </c>
      <c r="E761" s="225">
        <v>571766</v>
      </c>
      <c r="F761" s="226">
        <v>571766</v>
      </c>
    </row>
    <row r="762" spans="1:6" ht="51">
      <c r="A762" s="54" t="s">
        <v>441</v>
      </c>
      <c r="B762" s="298" t="s">
        <v>851</v>
      </c>
      <c r="C762" s="6" t="s">
        <v>442</v>
      </c>
      <c r="D762" s="6"/>
      <c r="E762" s="225">
        <v>17400</v>
      </c>
      <c r="F762" s="226">
        <v>17400</v>
      </c>
    </row>
    <row r="763" spans="1:6" ht="51">
      <c r="A763" s="54" t="s">
        <v>264</v>
      </c>
      <c r="B763" s="298" t="s">
        <v>851</v>
      </c>
      <c r="C763" s="6" t="s">
        <v>442</v>
      </c>
      <c r="D763" s="6" t="s">
        <v>448</v>
      </c>
      <c r="E763" s="225">
        <v>17400</v>
      </c>
      <c r="F763" s="226">
        <v>17400</v>
      </c>
    </row>
    <row r="764" spans="1:6" ht="63.75">
      <c r="A764" s="54" t="s">
        <v>1288</v>
      </c>
      <c r="B764" s="298" t="s">
        <v>851</v>
      </c>
      <c r="C764" s="6" t="s">
        <v>1289</v>
      </c>
      <c r="D764" s="6"/>
      <c r="E764" s="225">
        <v>172674</v>
      </c>
      <c r="F764" s="226">
        <v>172674</v>
      </c>
    </row>
    <row r="765" spans="1:6" ht="51">
      <c r="A765" s="54" t="s">
        <v>264</v>
      </c>
      <c r="B765" s="298" t="s">
        <v>851</v>
      </c>
      <c r="C765" s="6" t="s">
        <v>1289</v>
      </c>
      <c r="D765" s="6" t="s">
        <v>448</v>
      </c>
      <c r="E765" s="225">
        <v>172674</v>
      </c>
      <c r="F765" s="226">
        <v>172674</v>
      </c>
    </row>
    <row r="766" spans="1:6" ht="89.25">
      <c r="A766" s="54" t="s">
        <v>724</v>
      </c>
      <c r="B766" s="298" t="s">
        <v>852</v>
      </c>
      <c r="C766" s="6"/>
      <c r="D766" s="6"/>
      <c r="E766" s="225">
        <v>30000</v>
      </c>
      <c r="F766" s="226">
        <v>30000</v>
      </c>
    </row>
    <row r="767" spans="1:6" ht="51">
      <c r="A767" s="54" t="s">
        <v>441</v>
      </c>
      <c r="B767" s="298" t="s">
        <v>852</v>
      </c>
      <c r="C767" s="6" t="s">
        <v>442</v>
      </c>
      <c r="D767" s="6"/>
      <c r="E767" s="225">
        <v>30000</v>
      </c>
      <c r="F767" s="226">
        <v>30000</v>
      </c>
    </row>
    <row r="768" spans="1:6" ht="51">
      <c r="A768" s="54" t="s">
        <v>264</v>
      </c>
      <c r="B768" s="298" t="s">
        <v>852</v>
      </c>
      <c r="C768" s="6" t="s">
        <v>442</v>
      </c>
      <c r="D768" s="6" t="s">
        <v>448</v>
      </c>
      <c r="E768" s="225">
        <v>30000</v>
      </c>
      <c r="F768" s="226">
        <v>30000</v>
      </c>
    </row>
    <row r="769" spans="1:6" ht="25.5">
      <c r="A769" s="54" t="s">
        <v>766</v>
      </c>
      <c r="B769" s="298" t="s">
        <v>1244</v>
      </c>
      <c r="C769" s="6"/>
      <c r="D769" s="6"/>
      <c r="E769" s="225">
        <v>8444685</v>
      </c>
      <c r="F769" s="226">
        <v>9393890</v>
      </c>
    </row>
    <row r="770" spans="1:6" ht="51">
      <c r="A770" s="54" t="s">
        <v>547</v>
      </c>
      <c r="B770" s="298" t="s">
        <v>1245</v>
      </c>
      <c r="C770" s="6"/>
      <c r="D770" s="6"/>
      <c r="E770" s="225">
        <v>2000000</v>
      </c>
      <c r="F770" s="226">
        <v>2000000</v>
      </c>
    </row>
    <row r="771" spans="1:6" ht="51">
      <c r="A771" s="54" t="s">
        <v>547</v>
      </c>
      <c r="B771" s="298" t="s">
        <v>1002</v>
      </c>
      <c r="C771" s="6"/>
      <c r="D771" s="6"/>
      <c r="E771" s="225">
        <v>2000000</v>
      </c>
      <c r="F771" s="226">
        <v>2000000</v>
      </c>
    </row>
    <row r="772" spans="1:6">
      <c r="A772" s="54" t="s">
        <v>548</v>
      </c>
      <c r="B772" s="298" t="s">
        <v>1002</v>
      </c>
      <c r="C772" s="6" t="s">
        <v>549</v>
      </c>
      <c r="D772" s="6"/>
      <c r="E772" s="225">
        <v>2000000</v>
      </c>
      <c r="F772" s="226">
        <v>2000000</v>
      </c>
    </row>
    <row r="773" spans="1:6">
      <c r="A773" s="54" t="s">
        <v>69</v>
      </c>
      <c r="B773" s="298" t="s">
        <v>1002</v>
      </c>
      <c r="C773" s="6" t="s">
        <v>549</v>
      </c>
      <c r="D773" s="6" t="s">
        <v>546</v>
      </c>
      <c r="E773" s="225">
        <v>2000000</v>
      </c>
      <c r="F773" s="226">
        <v>2000000</v>
      </c>
    </row>
    <row r="774" spans="1:6" ht="51">
      <c r="A774" s="54" t="s">
        <v>508</v>
      </c>
      <c r="B774" s="298" t="s">
        <v>1246</v>
      </c>
      <c r="C774" s="6"/>
      <c r="D774" s="6"/>
      <c r="E774" s="225">
        <v>1544150</v>
      </c>
      <c r="F774" s="226">
        <v>1544150</v>
      </c>
    </row>
    <row r="775" spans="1:6" ht="51">
      <c r="A775" s="54" t="s">
        <v>508</v>
      </c>
      <c r="B775" s="298" t="s">
        <v>903</v>
      </c>
      <c r="C775" s="6"/>
      <c r="D775" s="6"/>
      <c r="E775" s="225">
        <v>1414150</v>
      </c>
      <c r="F775" s="226">
        <v>1414150</v>
      </c>
    </row>
    <row r="776" spans="1:6">
      <c r="A776" s="54" t="s">
        <v>1603</v>
      </c>
      <c r="B776" s="298" t="s">
        <v>903</v>
      </c>
      <c r="C776" s="6" t="s">
        <v>460</v>
      </c>
      <c r="D776" s="6"/>
      <c r="E776" s="225">
        <v>1250700</v>
      </c>
      <c r="F776" s="226">
        <v>1250700</v>
      </c>
    </row>
    <row r="777" spans="1:6" ht="25.5">
      <c r="A777" s="54" t="s">
        <v>186</v>
      </c>
      <c r="B777" s="298" t="s">
        <v>903</v>
      </c>
      <c r="C777" s="6" t="s">
        <v>460</v>
      </c>
      <c r="D777" s="6" t="s">
        <v>507</v>
      </c>
      <c r="E777" s="225">
        <v>1250700</v>
      </c>
      <c r="F777" s="226">
        <v>1250700</v>
      </c>
    </row>
    <row r="778" spans="1:6" ht="25.5">
      <c r="A778" s="54" t="s">
        <v>1617</v>
      </c>
      <c r="B778" s="298" t="s">
        <v>903</v>
      </c>
      <c r="C778" s="6" t="s">
        <v>509</v>
      </c>
      <c r="D778" s="6"/>
      <c r="E778" s="225">
        <v>80000</v>
      </c>
      <c r="F778" s="226">
        <v>80000</v>
      </c>
    </row>
    <row r="779" spans="1:6" ht="25.5">
      <c r="A779" s="54" t="s">
        <v>186</v>
      </c>
      <c r="B779" s="298" t="s">
        <v>903</v>
      </c>
      <c r="C779" s="6" t="s">
        <v>509</v>
      </c>
      <c r="D779" s="6" t="s">
        <v>507</v>
      </c>
      <c r="E779" s="225">
        <v>80000</v>
      </c>
      <c r="F779" s="226">
        <v>80000</v>
      </c>
    </row>
    <row r="780" spans="1:6" ht="38.25">
      <c r="A780" s="54" t="s">
        <v>445</v>
      </c>
      <c r="B780" s="298" t="s">
        <v>903</v>
      </c>
      <c r="C780" s="6" t="s">
        <v>446</v>
      </c>
      <c r="D780" s="6"/>
      <c r="E780" s="225">
        <v>83450</v>
      </c>
      <c r="F780" s="226">
        <v>83450</v>
      </c>
    </row>
    <row r="781" spans="1:6" ht="25.5">
      <c r="A781" s="54" t="s">
        <v>186</v>
      </c>
      <c r="B781" s="298" t="s">
        <v>903</v>
      </c>
      <c r="C781" s="6" t="s">
        <v>446</v>
      </c>
      <c r="D781" s="6" t="s">
        <v>507</v>
      </c>
      <c r="E781" s="225">
        <v>83450</v>
      </c>
      <c r="F781" s="226">
        <v>83450</v>
      </c>
    </row>
    <row r="782" spans="1:6" ht="76.5">
      <c r="A782" s="54" t="s">
        <v>728</v>
      </c>
      <c r="B782" s="298" t="s">
        <v>904</v>
      </c>
      <c r="C782" s="6"/>
      <c r="D782" s="6"/>
      <c r="E782" s="225">
        <v>130000</v>
      </c>
      <c r="F782" s="226">
        <v>130000</v>
      </c>
    </row>
    <row r="783" spans="1:6" ht="25.5">
      <c r="A783" s="54" t="s">
        <v>1617</v>
      </c>
      <c r="B783" s="298" t="s">
        <v>904</v>
      </c>
      <c r="C783" s="6" t="s">
        <v>509</v>
      </c>
      <c r="D783" s="6"/>
      <c r="E783" s="225">
        <v>130000</v>
      </c>
      <c r="F783" s="226">
        <v>130000</v>
      </c>
    </row>
    <row r="784" spans="1:6" ht="25.5">
      <c r="A784" s="54" t="s">
        <v>186</v>
      </c>
      <c r="B784" s="298" t="s">
        <v>904</v>
      </c>
      <c r="C784" s="6" t="s">
        <v>509</v>
      </c>
      <c r="D784" s="6" t="s">
        <v>507</v>
      </c>
      <c r="E784" s="225">
        <v>130000</v>
      </c>
      <c r="F784" s="226">
        <v>130000</v>
      </c>
    </row>
    <row r="785" spans="1:6" ht="63.75">
      <c r="A785" s="54" t="s">
        <v>629</v>
      </c>
      <c r="B785" s="298" t="s">
        <v>1247</v>
      </c>
      <c r="C785" s="6"/>
      <c r="D785" s="6"/>
      <c r="E785" s="225">
        <v>60000</v>
      </c>
      <c r="F785" s="226">
        <v>60000</v>
      </c>
    </row>
    <row r="786" spans="1:6" ht="63.75">
      <c r="A786" s="54" t="s">
        <v>629</v>
      </c>
      <c r="B786" s="298" t="s">
        <v>864</v>
      </c>
      <c r="C786" s="6"/>
      <c r="D786" s="6"/>
      <c r="E786" s="225">
        <v>60000</v>
      </c>
      <c r="F786" s="226">
        <v>60000</v>
      </c>
    </row>
    <row r="787" spans="1:6" ht="25.5">
      <c r="A787" s="54" t="s">
        <v>456</v>
      </c>
      <c r="B787" s="298" t="s">
        <v>864</v>
      </c>
      <c r="C787" s="6" t="s">
        <v>457</v>
      </c>
      <c r="D787" s="6"/>
      <c r="E787" s="225">
        <v>60000</v>
      </c>
      <c r="F787" s="226">
        <v>60000</v>
      </c>
    </row>
    <row r="788" spans="1:6">
      <c r="A788" s="54" t="s">
        <v>265</v>
      </c>
      <c r="B788" s="298" t="s">
        <v>864</v>
      </c>
      <c r="C788" s="6" t="s">
        <v>457</v>
      </c>
      <c r="D788" s="6" t="s">
        <v>454</v>
      </c>
      <c r="E788" s="225">
        <v>60000</v>
      </c>
      <c r="F788" s="226">
        <v>60000</v>
      </c>
    </row>
    <row r="789" spans="1:6" ht="38.25">
      <c r="A789" s="54" t="s">
        <v>1316</v>
      </c>
      <c r="B789" s="298" t="s">
        <v>1317</v>
      </c>
      <c r="C789" s="6"/>
      <c r="D789" s="6"/>
      <c r="E789" s="225">
        <v>3885100</v>
      </c>
      <c r="F789" s="226">
        <v>3885100</v>
      </c>
    </row>
    <row r="790" spans="1:6" ht="38.25">
      <c r="A790" s="54" t="s">
        <v>1316</v>
      </c>
      <c r="B790" s="298" t="s">
        <v>1441</v>
      </c>
      <c r="C790" s="6"/>
      <c r="D790" s="6"/>
      <c r="E790" s="225">
        <v>199982</v>
      </c>
      <c r="F790" s="226">
        <v>199982</v>
      </c>
    </row>
    <row r="791" spans="1:6" ht="38.25">
      <c r="A791" s="54" t="s">
        <v>445</v>
      </c>
      <c r="B791" s="298" t="s">
        <v>1441</v>
      </c>
      <c r="C791" s="6" t="s">
        <v>446</v>
      </c>
      <c r="D791" s="6"/>
      <c r="E791" s="225">
        <v>199982</v>
      </c>
      <c r="F791" s="226">
        <v>199982</v>
      </c>
    </row>
    <row r="792" spans="1:6">
      <c r="A792" s="54" t="s">
        <v>265</v>
      </c>
      <c r="B792" s="298" t="s">
        <v>1441</v>
      </c>
      <c r="C792" s="6" t="s">
        <v>446</v>
      </c>
      <c r="D792" s="6" t="s">
        <v>454</v>
      </c>
      <c r="E792" s="225">
        <v>199982</v>
      </c>
      <c r="F792" s="226">
        <v>199982</v>
      </c>
    </row>
    <row r="793" spans="1:6" ht="63.75">
      <c r="A793" s="54" t="s">
        <v>1611</v>
      </c>
      <c r="B793" s="298" t="s">
        <v>1612</v>
      </c>
      <c r="C793" s="6"/>
      <c r="D793" s="6"/>
      <c r="E793" s="225">
        <v>260000</v>
      </c>
      <c r="F793" s="226">
        <v>260000</v>
      </c>
    </row>
    <row r="794" spans="1:6" ht="51">
      <c r="A794" s="54" t="s">
        <v>441</v>
      </c>
      <c r="B794" s="298" t="s">
        <v>1612</v>
      </c>
      <c r="C794" s="6" t="s">
        <v>442</v>
      </c>
      <c r="D794" s="6"/>
      <c r="E794" s="6">
        <v>260000</v>
      </c>
      <c r="F794" s="335">
        <v>260000</v>
      </c>
    </row>
    <row r="795" spans="1:6">
      <c r="A795" s="54" t="s">
        <v>265</v>
      </c>
      <c r="B795" s="298" t="s">
        <v>1612</v>
      </c>
      <c r="C795" s="6" t="s">
        <v>442</v>
      </c>
      <c r="D795" s="6" t="s">
        <v>454</v>
      </c>
      <c r="E795" s="6">
        <v>260000</v>
      </c>
      <c r="F795" s="335">
        <v>260000</v>
      </c>
    </row>
    <row r="796" spans="1:6" ht="63.75">
      <c r="A796" s="54" t="s">
        <v>1613</v>
      </c>
      <c r="B796" s="298" t="s">
        <v>1614</v>
      </c>
      <c r="C796" s="6"/>
      <c r="D796" s="6"/>
      <c r="E796" s="6">
        <v>3425118</v>
      </c>
      <c r="F796" s="335">
        <v>3425118</v>
      </c>
    </row>
    <row r="797" spans="1:6" ht="25.5">
      <c r="A797" s="54" t="s">
        <v>1165</v>
      </c>
      <c r="B797" s="298" t="s">
        <v>1614</v>
      </c>
      <c r="C797" s="6" t="s">
        <v>440</v>
      </c>
      <c r="D797" s="6"/>
      <c r="E797" s="6">
        <v>2630659</v>
      </c>
      <c r="F797" s="335">
        <v>2630659</v>
      </c>
    </row>
    <row r="798" spans="1:6">
      <c r="A798" s="54" t="s">
        <v>265</v>
      </c>
      <c r="B798" s="298" t="s">
        <v>1614</v>
      </c>
      <c r="C798" s="6" t="s">
        <v>440</v>
      </c>
      <c r="D798" s="6" t="s">
        <v>454</v>
      </c>
      <c r="E798" s="6">
        <v>2630659</v>
      </c>
      <c r="F798" s="335">
        <v>2630659</v>
      </c>
    </row>
    <row r="799" spans="1:6" ht="63.75">
      <c r="A799" s="54" t="s">
        <v>1288</v>
      </c>
      <c r="B799" s="298" t="s">
        <v>1614</v>
      </c>
      <c r="C799" s="6" t="s">
        <v>1289</v>
      </c>
      <c r="D799" s="6"/>
      <c r="E799" s="6">
        <v>794459</v>
      </c>
      <c r="F799" s="335">
        <v>794459</v>
      </c>
    </row>
    <row r="800" spans="1:6">
      <c r="A800" s="54" t="s">
        <v>265</v>
      </c>
      <c r="B800" s="298" t="s">
        <v>1614</v>
      </c>
      <c r="C800" s="6" t="s">
        <v>1289</v>
      </c>
      <c r="D800" s="6" t="s">
        <v>454</v>
      </c>
      <c r="E800" s="6">
        <v>794459</v>
      </c>
      <c r="F800" s="335">
        <v>794459</v>
      </c>
    </row>
    <row r="801" spans="1:6" ht="38.25">
      <c r="A801" s="54" t="s">
        <v>551</v>
      </c>
      <c r="B801" s="298" t="s">
        <v>1248</v>
      </c>
      <c r="C801" s="6"/>
      <c r="D801" s="6"/>
      <c r="E801" s="6">
        <v>955435</v>
      </c>
      <c r="F801" s="335">
        <v>1904640</v>
      </c>
    </row>
    <row r="802" spans="1:6" ht="63.75">
      <c r="A802" s="54" t="s">
        <v>492</v>
      </c>
      <c r="B802" s="298" t="s">
        <v>1009</v>
      </c>
      <c r="C802" s="6"/>
      <c r="D802" s="6"/>
      <c r="E802" s="6">
        <v>64000</v>
      </c>
      <c r="F802" s="335">
        <v>64000</v>
      </c>
    </row>
    <row r="803" spans="1:6">
      <c r="A803" s="54" t="s">
        <v>93</v>
      </c>
      <c r="B803" s="298" t="s">
        <v>1009</v>
      </c>
      <c r="C803" s="6" t="s">
        <v>550</v>
      </c>
      <c r="D803" s="6"/>
      <c r="E803" s="6">
        <v>64000</v>
      </c>
      <c r="F803" s="335">
        <v>64000</v>
      </c>
    </row>
    <row r="804" spans="1:6" ht="25.5">
      <c r="A804" s="54" t="s">
        <v>1632</v>
      </c>
      <c r="B804" s="298" t="s">
        <v>1009</v>
      </c>
      <c r="C804" s="6" t="s">
        <v>550</v>
      </c>
      <c r="D804" s="6" t="s">
        <v>491</v>
      </c>
      <c r="E804" s="6">
        <v>64000</v>
      </c>
      <c r="F804" s="335">
        <v>64000</v>
      </c>
    </row>
    <row r="805" spans="1:6" ht="38.25">
      <c r="A805" s="54" t="s">
        <v>551</v>
      </c>
      <c r="B805" s="298" t="s">
        <v>1004</v>
      </c>
      <c r="C805" s="6"/>
      <c r="D805" s="6"/>
      <c r="E805" s="6">
        <v>153535</v>
      </c>
      <c r="F805" s="335">
        <v>102740</v>
      </c>
    </row>
    <row r="806" spans="1:6">
      <c r="A806" s="54" t="s">
        <v>558</v>
      </c>
      <c r="B806" s="298" t="s">
        <v>1004</v>
      </c>
      <c r="C806" s="6" t="s">
        <v>559</v>
      </c>
      <c r="D806" s="6"/>
      <c r="E806" s="6">
        <v>53535</v>
      </c>
      <c r="F806" s="335">
        <v>2740</v>
      </c>
    </row>
    <row r="807" spans="1:6" ht="25.5">
      <c r="A807" s="54" t="s">
        <v>300</v>
      </c>
      <c r="B807" s="298" t="s">
        <v>1004</v>
      </c>
      <c r="C807" s="6" t="s">
        <v>559</v>
      </c>
      <c r="D807" s="6" t="s">
        <v>557</v>
      </c>
      <c r="E807" s="6">
        <v>53535</v>
      </c>
      <c r="F807" s="335">
        <v>2740</v>
      </c>
    </row>
    <row r="808" spans="1:6" ht="38.25">
      <c r="A808" s="54" t="s">
        <v>1758</v>
      </c>
      <c r="B808" s="298" t="s">
        <v>1004</v>
      </c>
      <c r="C808" s="6" t="s">
        <v>552</v>
      </c>
      <c r="D808" s="6"/>
      <c r="E808" s="6">
        <v>100000</v>
      </c>
      <c r="F808" s="335">
        <v>100000</v>
      </c>
    </row>
    <row r="809" spans="1:6">
      <c r="A809" s="54" t="s">
        <v>265</v>
      </c>
      <c r="B809" s="298" t="s">
        <v>1004</v>
      </c>
      <c r="C809" s="6" t="s">
        <v>552</v>
      </c>
      <c r="D809" s="6" t="s">
        <v>454</v>
      </c>
      <c r="E809" s="6">
        <v>100000</v>
      </c>
      <c r="F809" s="335">
        <v>100000</v>
      </c>
    </row>
    <row r="810" spans="1:6" ht="63.75">
      <c r="A810" s="54" t="s">
        <v>656</v>
      </c>
      <c r="B810" s="298" t="s">
        <v>943</v>
      </c>
      <c r="C810" s="6"/>
      <c r="D810" s="6"/>
      <c r="E810" s="225">
        <v>200000</v>
      </c>
      <c r="F810" s="226">
        <v>1200000</v>
      </c>
    </row>
    <row r="811" spans="1:6" ht="38.25">
      <c r="A811" s="54" t="s">
        <v>445</v>
      </c>
      <c r="B811" s="298" t="s">
        <v>943</v>
      </c>
      <c r="C811" s="6" t="s">
        <v>446</v>
      </c>
      <c r="D811" s="6"/>
      <c r="E811" s="6">
        <v>200000</v>
      </c>
      <c r="F811" s="335">
        <v>1200000</v>
      </c>
    </row>
    <row r="812" spans="1:6">
      <c r="A812" s="54" t="s">
        <v>265</v>
      </c>
      <c r="B812" s="298" t="s">
        <v>943</v>
      </c>
      <c r="C812" s="6" t="s">
        <v>446</v>
      </c>
      <c r="D812" s="6" t="s">
        <v>454</v>
      </c>
      <c r="E812" s="6">
        <v>200000</v>
      </c>
      <c r="F812" s="335">
        <v>1200000</v>
      </c>
    </row>
    <row r="813" spans="1:6" ht="63.75">
      <c r="A813" s="54" t="s">
        <v>523</v>
      </c>
      <c r="B813" s="298" t="s">
        <v>944</v>
      </c>
      <c r="C813" s="6"/>
      <c r="D813" s="6"/>
      <c r="E813" s="6">
        <v>500000</v>
      </c>
      <c r="F813" s="335">
        <v>500000</v>
      </c>
    </row>
    <row r="814" spans="1:6" ht="38.25">
      <c r="A814" s="54" t="s">
        <v>445</v>
      </c>
      <c r="B814" s="298" t="s">
        <v>944</v>
      </c>
      <c r="C814" s="6" t="s">
        <v>446</v>
      </c>
      <c r="D814" s="6"/>
      <c r="E814" s="6">
        <v>500000</v>
      </c>
      <c r="F814" s="335">
        <v>500000</v>
      </c>
    </row>
    <row r="815" spans="1:6" ht="25.5">
      <c r="A815" s="54" t="s">
        <v>180</v>
      </c>
      <c r="B815" s="298" t="s">
        <v>944</v>
      </c>
      <c r="C815" s="6" t="s">
        <v>446</v>
      </c>
      <c r="D815" s="6" t="s">
        <v>478</v>
      </c>
      <c r="E815" s="6">
        <v>500000</v>
      </c>
      <c r="F815" s="335">
        <v>500000</v>
      </c>
    </row>
    <row r="816" spans="1:6" ht="63.75">
      <c r="A816" s="54" t="s">
        <v>889</v>
      </c>
      <c r="B816" s="298" t="s">
        <v>890</v>
      </c>
      <c r="C816" s="6"/>
      <c r="D816" s="6"/>
      <c r="E816" s="6">
        <v>37900</v>
      </c>
      <c r="F816" s="335">
        <v>37900</v>
      </c>
    </row>
    <row r="817" spans="1:6" ht="38.25">
      <c r="A817" s="54" t="s">
        <v>445</v>
      </c>
      <c r="B817" s="298" t="s">
        <v>890</v>
      </c>
      <c r="C817" s="6" t="s">
        <v>446</v>
      </c>
      <c r="D817" s="6"/>
      <c r="E817" s="6">
        <v>37900</v>
      </c>
      <c r="F817" s="335">
        <v>37900</v>
      </c>
    </row>
    <row r="818" spans="1:6">
      <c r="A818" s="54" t="s">
        <v>181</v>
      </c>
      <c r="B818" s="298" t="s">
        <v>890</v>
      </c>
      <c r="C818" s="6" t="s">
        <v>446</v>
      </c>
      <c r="D818" s="6" t="s">
        <v>482</v>
      </c>
      <c r="E818" s="6">
        <v>37900</v>
      </c>
      <c r="F818" s="335">
        <v>37900</v>
      </c>
    </row>
    <row r="819" spans="1:6">
      <c r="A819" s="54" t="s">
        <v>1030</v>
      </c>
      <c r="B819" s="298" t="s">
        <v>1016</v>
      </c>
      <c r="C819" s="6" t="s">
        <v>197</v>
      </c>
      <c r="D819" s="6" t="s">
        <v>161</v>
      </c>
      <c r="E819" s="225">
        <v>18100000</v>
      </c>
      <c r="F819" s="226">
        <v>37370000</v>
      </c>
    </row>
    <row r="829" spans="1:6">
      <c r="A829" s="336"/>
      <c r="B829" s="337"/>
      <c r="C829" s="338"/>
      <c r="D829" s="338"/>
      <c r="E829" s="334"/>
      <c r="F829" s="339"/>
    </row>
  </sheetData>
  <autoFilter ref="A6:F793">
    <filterColumn colId="2"/>
  </autoFilter>
  <mergeCells count="8">
    <mergeCell ref="A1:F1"/>
    <mergeCell ref="A7:D7"/>
    <mergeCell ref="A2:F2"/>
    <mergeCell ref="A3:F3"/>
    <mergeCell ref="A5:A6"/>
    <mergeCell ref="B5:D5"/>
    <mergeCell ref="E5:E6"/>
    <mergeCell ref="F5:F6"/>
  </mergeCells>
  <pageMargins left="0.70866141732283472" right="0.31496062992125984" top="0.55118110236220474" bottom="0.55118110236220474"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sheetPr codeName="Лист19">
    <tabColor rgb="FF92D050"/>
  </sheetPr>
  <dimension ref="A1:M11"/>
  <sheetViews>
    <sheetView workbookViewId="0">
      <selection activeCell="A3" sqref="A3"/>
    </sheetView>
  </sheetViews>
  <sheetFormatPr defaultRowHeight="14.25"/>
  <cols>
    <col min="1" max="1" width="4.140625" style="30" customWidth="1"/>
    <col min="2" max="2" width="47.42578125" style="34" customWidth="1"/>
    <col min="3" max="3" width="16.28515625" style="34" hidden="1" customWidth="1"/>
    <col min="4" max="6" width="13.42578125" style="35" customWidth="1"/>
    <col min="7" max="7" width="13.42578125" style="35" hidden="1" customWidth="1"/>
    <col min="8" max="8" width="16" style="35" hidden="1" customWidth="1"/>
    <col min="9" max="9" width="14.5703125" style="30" hidden="1" customWidth="1"/>
    <col min="10" max="10" width="13" style="30" hidden="1" customWidth="1"/>
    <col min="11" max="11" width="14" style="30" hidden="1" customWidth="1"/>
    <col min="12" max="12" width="12.42578125" style="30" hidden="1" customWidth="1"/>
    <col min="13" max="13" width="12.5703125" style="30" hidden="1" customWidth="1"/>
    <col min="14" max="14" width="0" style="30" hidden="1" customWidth="1"/>
    <col min="15" max="16384" width="9.140625" style="30"/>
  </cols>
  <sheetData>
    <row r="1" spans="1:13" s="100" customFormat="1" ht="47.25" customHeight="1">
      <c r="A1" s="508" t="str">
        <f>"Приложение №"&amp;Н1Публ&amp;" к решению
Богучанского районного Совета депутатов
от "&amp;Р1дата&amp;" года №"&amp;Р1номер</f>
        <v>Приложение №6 к решению
Богучанского районного Совета депутатов
от     " " 2018 года №</v>
      </c>
      <c r="B1" s="508"/>
      <c r="C1" s="508"/>
      <c r="D1" s="508"/>
      <c r="E1" s="508"/>
      <c r="F1" s="508"/>
      <c r="G1" s="107"/>
      <c r="H1" s="107"/>
    </row>
    <row r="2" spans="1:13" s="25" customFormat="1" ht="67.5" customHeight="1">
      <c r="A2" s="509" t="str">
        <f>"Перечень публичных нормативных обязательств районного бюджета за "&amp;год&amp;" год"</f>
        <v>Перечень публичных нормативных обязательств районного бюджета за 2017 год</v>
      </c>
      <c r="B2" s="509"/>
      <c r="C2" s="509"/>
      <c r="D2" s="509"/>
      <c r="E2" s="509"/>
      <c r="F2" s="509"/>
      <c r="G2" s="106"/>
      <c r="H2" s="106"/>
    </row>
    <row r="3" spans="1:13" s="25" customFormat="1" ht="13.5" customHeight="1">
      <c r="B3" s="24"/>
      <c r="C3" s="24"/>
      <c r="E3" s="11"/>
      <c r="F3" s="11" t="s">
        <v>94</v>
      </c>
      <c r="G3" s="11"/>
      <c r="H3" s="11"/>
    </row>
    <row r="4" spans="1:13" s="27" customFormat="1" ht="36" customHeight="1">
      <c r="A4" s="26"/>
      <c r="B4" s="26" t="s">
        <v>28</v>
      </c>
      <c r="C4" s="26" t="s">
        <v>22</v>
      </c>
      <c r="D4" s="26" t="s">
        <v>2456</v>
      </c>
      <c r="E4" s="26" t="s">
        <v>2554</v>
      </c>
      <c r="F4" s="26" t="s">
        <v>2194</v>
      </c>
      <c r="G4" s="110"/>
      <c r="H4" s="113" t="s">
        <v>312</v>
      </c>
      <c r="I4" s="111" t="s">
        <v>721</v>
      </c>
      <c r="J4" s="111" t="s">
        <v>495</v>
      </c>
      <c r="K4" s="111" t="s">
        <v>767</v>
      </c>
      <c r="L4" s="111" t="s">
        <v>722</v>
      </c>
      <c r="M4" s="111" t="s">
        <v>457</v>
      </c>
    </row>
    <row r="5" spans="1:13" s="27" customFormat="1" ht="57">
      <c r="A5" s="47">
        <v>1</v>
      </c>
      <c r="B5" s="48" t="s">
        <v>1444</v>
      </c>
      <c r="C5" s="49"/>
      <c r="D5" s="50">
        <f>D6</f>
        <v>120000</v>
      </c>
      <c r="E5" s="50">
        <f>E6</f>
        <v>120000</v>
      </c>
      <c r="F5" s="50">
        <f>E5/D5*100</f>
        <v>100</v>
      </c>
      <c r="G5" s="112">
        <v>2016</v>
      </c>
      <c r="H5" s="114">
        <f>I5+J5+L5+K5+M5-D11</f>
        <v>6711504</v>
      </c>
      <c r="I5" s="12">
        <f>SUMIF(квр13,I$4,СумВед)</f>
        <v>0</v>
      </c>
      <c r="J5" s="12">
        <f>SUMIF(квр13,J$4,СумВед)</f>
        <v>1105309.67</v>
      </c>
      <c r="K5" s="12">
        <f>SUMIF(квр13,K$4,СумВед)</f>
        <v>6711504</v>
      </c>
      <c r="L5" s="12">
        <f>SUMIF(квр13,L$4,СумВед)</f>
        <v>0</v>
      </c>
      <c r="M5" s="12">
        <f>SUMIF(квр13,M$4,СумВед)</f>
        <v>292000</v>
      </c>
    </row>
    <row r="6" spans="1:13" s="27" customFormat="1" ht="42.75">
      <c r="A6" s="195" t="s">
        <v>794</v>
      </c>
      <c r="B6" s="48" t="s">
        <v>17</v>
      </c>
      <c r="C6" s="49" t="s">
        <v>202</v>
      </c>
      <c r="D6" s="50">
        <v>120000</v>
      </c>
      <c r="E6" s="50">
        <v>120000</v>
      </c>
      <c r="F6" s="50">
        <f t="shared" ref="F6:F11" si="0">E6/D6*100</f>
        <v>100</v>
      </c>
      <c r="G6" s="112">
        <v>2017</v>
      </c>
      <c r="H6" s="114">
        <f>I6+J6+L6+K6+M6-E11</f>
        <v>2178940.33</v>
      </c>
      <c r="I6" s="12">
        <f>SUMIF(кврПлПер,I$4,СумВед14)</f>
        <v>0</v>
      </c>
      <c r="J6" s="12">
        <f>SUMIF(кврПлПер,J$4,СумВед14)</f>
        <v>960846</v>
      </c>
      <c r="K6" s="12">
        <f>SUMIF(кврПлПер,K$4,СумВед14)</f>
        <v>2555400</v>
      </c>
      <c r="L6" s="12">
        <f>SUMIF(кврПлПер,L$4,СумВед14)</f>
        <v>0</v>
      </c>
      <c r="M6" s="12">
        <f>SUMIF(кврПлПер,M$4,СумВед14)</f>
        <v>60000</v>
      </c>
    </row>
    <row r="7" spans="1:13" s="27" customFormat="1" ht="161.25" customHeight="1">
      <c r="A7" s="47" t="s">
        <v>18</v>
      </c>
      <c r="B7" s="146" t="s">
        <v>1970</v>
      </c>
      <c r="C7" s="51"/>
      <c r="D7" s="50">
        <f>D8</f>
        <v>1105309.67</v>
      </c>
      <c r="E7" s="50">
        <f>E8</f>
        <v>1105309.67</v>
      </c>
      <c r="F7" s="50">
        <f t="shared" si="0"/>
        <v>100</v>
      </c>
      <c r="G7" s="112">
        <v>2018</v>
      </c>
      <c r="H7" s="114">
        <f>I7+J7+L7+K7+M7-F11</f>
        <v>3576146.0002862643</v>
      </c>
      <c r="I7" s="12">
        <f>SUMIF(кврПлПер,I$4,СумВед15)</f>
        <v>0</v>
      </c>
      <c r="J7" s="12">
        <f>SUMIF(кврПлПер,J$4,СумВед15)</f>
        <v>960846</v>
      </c>
      <c r="K7" s="12">
        <f>SUMIF(кврПлПер,K$4,СумВед15)</f>
        <v>2555400</v>
      </c>
      <c r="L7" s="12">
        <f>SUMIF(кврПлПер,L$4,СумВед15)</f>
        <v>0</v>
      </c>
      <c r="M7" s="12">
        <f>SUMIF(кврПлПер,M$4,СумВед15)</f>
        <v>60000</v>
      </c>
    </row>
    <row r="8" spans="1:13" s="27" customFormat="1" ht="57">
      <c r="A8" s="47" t="s">
        <v>19</v>
      </c>
      <c r="B8" s="48" t="s">
        <v>1971</v>
      </c>
      <c r="C8" s="49" t="s">
        <v>23</v>
      </c>
      <c r="D8" s="50">
        <f>960846+144463.67</f>
        <v>1105309.67</v>
      </c>
      <c r="E8" s="50">
        <v>1105309.67</v>
      </c>
      <c r="F8" s="50">
        <f t="shared" si="0"/>
        <v>100</v>
      </c>
      <c r="G8" s="108"/>
      <c r="H8" s="108"/>
    </row>
    <row r="9" spans="1:13" s="27" customFormat="1" ht="42.75">
      <c r="A9" s="47">
        <v>3</v>
      </c>
      <c r="B9" s="48" t="s">
        <v>625</v>
      </c>
      <c r="C9" s="51"/>
      <c r="D9" s="50">
        <f>D10</f>
        <v>172000</v>
      </c>
      <c r="E9" s="50">
        <f>E10</f>
        <v>171996</v>
      </c>
      <c r="F9" s="50">
        <f t="shared" si="0"/>
        <v>99.99767441860466</v>
      </c>
      <c r="G9" s="108"/>
      <c r="H9" s="108"/>
    </row>
    <row r="10" spans="1:13" s="27" customFormat="1" ht="28.5">
      <c r="A10" s="47" t="s">
        <v>20</v>
      </c>
      <c r="B10" s="48" t="s">
        <v>21</v>
      </c>
      <c r="C10" s="49" t="s">
        <v>24</v>
      </c>
      <c r="D10" s="50">
        <v>172000</v>
      </c>
      <c r="E10" s="50">
        <v>171996</v>
      </c>
      <c r="F10" s="444">
        <f t="shared" si="0"/>
        <v>99.99767441860466</v>
      </c>
      <c r="G10" s="108"/>
      <c r="H10" s="108"/>
    </row>
    <row r="11" spans="1:13" s="33" customFormat="1" ht="15">
      <c r="A11" s="52"/>
      <c r="B11" s="31" t="s">
        <v>203</v>
      </c>
      <c r="C11" s="31"/>
      <c r="D11" s="32">
        <f>SUM(D5,D7,D9)</f>
        <v>1397309.67</v>
      </c>
      <c r="E11" s="32">
        <f t="shared" ref="E11" si="1">SUM(E5,E7,E9)</f>
        <v>1397305.67</v>
      </c>
      <c r="F11" s="443">
        <f t="shared" si="0"/>
        <v>99.999713735610229</v>
      </c>
      <c r="G11" s="109"/>
      <c r="H11" s="109"/>
    </row>
  </sheetData>
  <mergeCells count="2">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sheetPr codeName="Лист14">
    <tabColor rgb="FF92D050"/>
    <pageSetUpPr fitToPage="1"/>
  </sheetPr>
  <dimension ref="A1:K62"/>
  <sheetViews>
    <sheetView workbookViewId="0">
      <pane xSplit="1" ySplit="5" topLeftCell="B48" activePane="bottomRight" state="frozen"/>
      <selection activeCell="I7" sqref="I7"/>
      <selection pane="topRight" activeCell="I7" sqref="I7"/>
      <selection pane="bottomLeft" activeCell="I7" sqref="I7"/>
      <selection pane="bottomRight" activeCell="A2" sqref="A2:F2"/>
    </sheetView>
  </sheetViews>
  <sheetFormatPr defaultColWidth="57.28515625" defaultRowHeight="15"/>
  <cols>
    <col min="1" max="1" width="48.140625" style="21" customWidth="1"/>
    <col min="2" max="2" width="17.28515625" style="21" customWidth="1"/>
    <col min="3" max="3" width="54.140625" style="21" customWidth="1"/>
    <col min="4" max="4" width="15.28515625" style="21" customWidth="1"/>
    <col min="5" max="5" width="24.5703125" style="21" customWidth="1"/>
    <col min="6" max="6" width="40.42578125" style="21" customWidth="1"/>
    <col min="7" max="7" width="17.28515625" style="5" customWidth="1"/>
    <col min="8" max="10" width="17.28515625" style="21" customWidth="1"/>
    <col min="11" max="11" width="16.140625" style="21" customWidth="1"/>
    <col min="12" max="12" width="16.28515625" style="21" customWidth="1"/>
    <col min="13" max="16384" width="57.28515625" style="21"/>
  </cols>
  <sheetData>
    <row r="1" spans="1:10" ht="43.5" customHeight="1">
      <c r="A1" s="508" t="str">
        <f>"Приложение №"&amp;Н1пол&amp;" к решению
Богучанского районного Совета депутатов
от "&amp;Р1дата&amp;" года №"&amp;Р1номер</f>
        <v>Приложение №7 к решению
Богучанского районного Совета депутатов
от     " " 2018 года №</v>
      </c>
      <c r="B1" s="508"/>
      <c r="C1" s="508"/>
      <c r="D1" s="508"/>
      <c r="E1" s="508"/>
      <c r="F1" s="508"/>
      <c r="G1" s="227"/>
      <c r="H1" s="55"/>
      <c r="I1" s="55"/>
      <c r="J1" s="55"/>
    </row>
    <row r="2" spans="1:10" s="102" customFormat="1" ht="38.25" customHeight="1">
      <c r="A2" s="578" t="str">
        <f>"Межбюджетные трансферты, перечисляемые в районный бюджет из бюджетов  поселений за "&amp;год&amp;" год"</f>
        <v>Межбюджетные трансферты, перечисляемые в районный бюджет из бюджетов  поселений за 2017 год</v>
      </c>
      <c r="B2" s="578"/>
      <c r="C2" s="578"/>
      <c r="D2" s="578"/>
      <c r="E2" s="578"/>
      <c r="F2" s="578"/>
      <c r="G2" s="227"/>
      <c r="H2" s="101"/>
      <c r="I2" s="101"/>
      <c r="J2" s="101"/>
    </row>
    <row r="3" spans="1:10">
      <c r="F3" s="11" t="s">
        <v>94</v>
      </c>
    </row>
    <row r="4" spans="1:10" s="103" customFormat="1" ht="12.75" customHeight="1">
      <c r="A4" s="576" t="s">
        <v>104</v>
      </c>
      <c r="B4" s="577" t="s">
        <v>105</v>
      </c>
      <c r="C4" s="579"/>
      <c r="D4" s="579"/>
      <c r="E4" s="579"/>
      <c r="F4" s="579"/>
      <c r="G4" s="5"/>
    </row>
    <row r="5" spans="1:10" s="103" customFormat="1" ht="154.5" customHeight="1">
      <c r="A5" s="576"/>
      <c r="B5" s="577"/>
      <c r="C5" s="145" t="s">
        <v>103</v>
      </c>
      <c r="D5" s="145" t="s">
        <v>1436</v>
      </c>
      <c r="E5" s="145" t="s">
        <v>323</v>
      </c>
      <c r="F5" s="144" t="s">
        <v>176</v>
      </c>
      <c r="G5" s="5"/>
    </row>
    <row r="6" spans="1:10" s="103" customFormat="1" ht="15" customHeight="1">
      <c r="A6" s="105" t="s">
        <v>2555</v>
      </c>
      <c r="B6" s="288">
        <f t="shared" ref="B6:F6" si="0">SUM(B7:B24)</f>
        <v>32738303</v>
      </c>
      <c r="C6" s="288">
        <f t="shared" si="0"/>
        <v>482995</v>
      </c>
      <c r="D6" s="288">
        <f t="shared" si="0"/>
        <v>400441</v>
      </c>
      <c r="E6" s="288">
        <f t="shared" si="0"/>
        <v>2120419</v>
      </c>
      <c r="F6" s="289">
        <f t="shared" si="0"/>
        <v>29734448</v>
      </c>
      <c r="G6" s="228">
        <f>B6-'[2]Дох '!I193</f>
        <v>-830253</v>
      </c>
    </row>
    <row r="7" spans="1:10">
      <c r="A7" s="44" t="s">
        <v>65</v>
      </c>
      <c r="B7" s="290">
        <f>SUM(C7+E7+F7+D7)</f>
        <v>10659</v>
      </c>
      <c r="C7" s="291">
        <v>10659</v>
      </c>
      <c r="D7" s="291"/>
      <c r="E7" s="291"/>
      <c r="F7" s="292"/>
    </row>
    <row r="8" spans="1:10">
      <c r="A8" s="44" t="s">
        <v>106</v>
      </c>
      <c r="B8" s="290">
        <f t="shared" ref="B8:B43" si="1">SUM(C8+E8+F8+D8)</f>
        <v>4825</v>
      </c>
      <c r="C8" s="291">
        <v>4825</v>
      </c>
      <c r="D8" s="291"/>
      <c r="E8" s="291"/>
      <c r="F8" s="292"/>
    </row>
    <row r="9" spans="1:10">
      <c r="A9" s="44" t="s">
        <v>200</v>
      </c>
      <c r="B9" s="290">
        <f t="shared" si="1"/>
        <v>403468</v>
      </c>
      <c r="C9" s="291">
        <v>3027</v>
      </c>
      <c r="D9" s="291">
        <f>384491+3300+12650</f>
        <v>400441</v>
      </c>
      <c r="E9" s="291"/>
      <c r="F9" s="292"/>
    </row>
    <row r="10" spans="1:10">
      <c r="A10" s="45" t="s">
        <v>66</v>
      </c>
      <c r="B10" s="290">
        <f t="shared" si="1"/>
        <v>6388098</v>
      </c>
      <c r="C10" s="291">
        <v>139485</v>
      </c>
      <c r="D10" s="291"/>
      <c r="E10" s="291"/>
      <c r="F10" s="292">
        <f>5622343+237270+380000+9000</f>
        <v>6248613</v>
      </c>
    </row>
    <row r="11" spans="1:10">
      <c r="A11" s="44" t="s">
        <v>67</v>
      </c>
      <c r="B11" s="290">
        <f t="shared" si="1"/>
        <v>1678</v>
      </c>
      <c r="C11" s="291">
        <v>1678</v>
      </c>
      <c r="D11" s="291"/>
      <c r="E11" s="291"/>
      <c r="F11" s="292"/>
    </row>
    <row r="12" spans="1:10" ht="28.5">
      <c r="A12" s="46" t="s">
        <v>279</v>
      </c>
      <c r="B12" s="290">
        <f t="shared" si="1"/>
        <v>43450</v>
      </c>
      <c r="C12" s="291">
        <v>43450</v>
      </c>
      <c r="D12" s="291"/>
      <c r="E12" s="291"/>
      <c r="F12" s="292"/>
    </row>
    <row r="13" spans="1:10">
      <c r="A13" s="44" t="s">
        <v>107</v>
      </c>
      <c r="B13" s="290">
        <f t="shared" si="1"/>
        <v>25323</v>
      </c>
      <c r="C13" s="291">
        <v>25323</v>
      </c>
      <c r="D13" s="291"/>
      <c r="E13" s="291"/>
      <c r="F13" s="292"/>
    </row>
    <row r="14" spans="1:10">
      <c r="A14" s="44" t="s">
        <v>168</v>
      </c>
      <c r="B14" s="290">
        <f t="shared" si="1"/>
        <v>1029698</v>
      </c>
      <c r="C14" s="291">
        <v>15759</v>
      </c>
      <c r="D14" s="291"/>
      <c r="E14" s="291"/>
      <c r="F14" s="292">
        <f>1011939-15000+17000</f>
        <v>1013939</v>
      </c>
    </row>
    <row r="15" spans="1:10">
      <c r="A15" s="44" t="s">
        <v>169</v>
      </c>
      <c r="B15" s="290">
        <f t="shared" si="1"/>
        <v>2120649</v>
      </c>
      <c r="C15" s="291">
        <v>10649</v>
      </c>
      <c r="D15" s="291"/>
      <c r="E15" s="291"/>
      <c r="F15" s="292">
        <f>1750000+250000+110000</f>
        <v>2110000</v>
      </c>
    </row>
    <row r="16" spans="1:10">
      <c r="A16" s="44" t="s">
        <v>108</v>
      </c>
      <c r="B16" s="290">
        <f t="shared" si="1"/>
        <v>2138</v>
      </c>
      <c r="C16" s="291">
        <v>2138</v>
      </c>
      <c r="D16" s="291"/>
      <c r="E16" s="291"/>
      <c r="F16" s="292"/>
    </row>
    <row r="17" spans="1:11">
      <c r="A17" s="45" t="s">
        <v>110</v>
      </c>
      <c r="B17" s="290">
        <f t="shared" si="1"/>
        <v>5623874</v>
      </c>
      <c r="C17" s="291">
        <v>17141</v>
      </c>
      <c r="D17" s="291"/>
      <c r="E17" s="291"/>
      <c r="F17" s="292">
        <f>4925733+281000+400000</f>
        <v>5606733</v>
      </c>
    </row>
    <row r="18" spans="1:11">
      <c r="A18" s="44" t="s">
        <v>201</v>
      </c>
      <c r="B18" s="290">
        <f t="shared" si="1"/>
        <v>16593</v>
      </c>
      <c r="C18" s="291">
        <v>16593</v>
      </c>
      <c r="D18" s="291"/>
      <c r="E18" s="291"/>
      <c r="F18" s="292"/>
    </row>
    <row r="19" spans="1:11">
      <c r="A19" s="44" t="s">
        <v>109</v>
      </c>
      <c r="B19" s="290">
        <f t="shared" si="1"/>
        <v>1640027</v>
      </c>
      <c r="C19" s="291">
        <v>30049</v>
      </c>
      <c r="D19" s="291"/>
      <c r="E19" s="291"/>
      <c r="F19" s="292">
        <f>1322507+160000+25000+102471</f>
        <v>1609978</v>
      </c>
    </row>
    <row r="20" spans="1:11">
      <c r="A20" s="44" t="s">
        <v>111</v>
      </c>
      <c r="B20" s="290">
        <f t="shared" si="1"/>
        <v>13721179</v>
      </c>
      <c r="C20" s="291">
        <v>84575</v>
      </c>
      <c r="D20" s="291"/>
      <c r="E20" s="291">
        <f>1866210+130000+82608-18399+60000</f>
        <v>2120419</v>
      </c>
      <c r="F20" s="292">
        <f>10556185+250000+335000+375000</f>
        <v>11516185</v>
      </c>
      <c r="G20" s="5">
        <v>11432824</v>
      </c>
      <c r="H20" s="21">
        <v>1991756</v>
      </c>
      <c r="I20" s="247">
        <f>E20-H20</f>
        <v>128663</v>
      </c>
      <c r="J20" s="21">
        <v>1448000</v>
      </c>
      <c r="K20" s="247">
        <f>E20+F20-J20</f>
        <v>12188604</v>
      </c>
    </row>
    <row r="21" spans="1:11">
      <c r="A21" s="44" t="s">
        <v>112</v>
      </c>
      <c r="B21" s="290">
        <f t="shared" si="1"/>
        <v>7852</v>
      </c>
      <c r="C21" s="291">
        <v>7852</v>
      </c>
      <c r="D21" s="291"/>
      <c r="E21" s="291"/>
      <c r="F21" s="292"/>
      <c r="I21" s="247">
        <f>F20-G20</f>
        <v>83361</v>
      </c>
      <c r="J21" s="21">
        <v>14872580</v>
      </c>
    </row>
    <row r="22" spans="1:11">
      <c r="A22" s="44" t="s">
        <v>171</v>
      </c>
      <c r="B22" s="290">
        <f t="shared" si="1"/>
        <v>12184</v>
      </c>
      <c r="C22" s="291">
        <v>12184</v>
      </c>
      <c r="D22" s="291"/>
      <c r="E22" s="291"/>
      <c r="F22" s="292"/>
      <c r="J22" s="21">
        <f>J21-J20</f>
        <v>13424580</v>
      </c>
    </row>
    <row r="23" spans="1:11">
      <c r="A23" s="44" t="s">
        <v>172</v>
      </c>
      <c r="B23" s="290">
        <f t="shared" si="1"/>
        <v>1662788</v>
      </c>
      <c r="C23" s="291">
        <v>33788</v>
      </c>
      <c r="D23" s="291"/>
      <c r="E23" s="291"/>
      <c r="F23" s="292">
        <f>1569000+60000</f>
        <v>1629000</v>
      </c>
    </row>
    <row r="24" spans="1:11">
      <c r="A24" s="44" t="s">
        <v>113</v>
      </c>
      <c r="B24" s="290">
        <f t="shared" si="1"/>
        <v>23820</v>
      </c>
      <c r="C24" s="291">
        <v>23820</v>
      </c>
      <c r="D24" s="291"/>
      <c r="E24" s="291"/>
      <c r="F24" s="292"/>
    </row>
    <row r="25" spans="1:11" s="104" customFormat="1" ht="15.75">
      <c r="A25" s="105" t="s">
        <v>2557</v>
      </c>
      <c r="B25" s="293">
        <f t="shared" si="1"/>
        <v>32736005.809999999</v>
      </c>
      <c r="C25" s="288">
        <f t="shared" ref="C25:F25" si="2">SUM(C26:C43)</f>
        <v>482995</v>
      </c>
      <c r="D25" s="288">
        <f t="shared" si="2"/>
        <v>400441</v>
      </c>
      <c r="E25" s="288">
        <f t="shared" si="2"/>
        <v>2118121.81</v>
      </c>
      <c r="F25" s="289">
        <f t="shared" si="2"/>
        <v>29734448</v>
      </c>
      <c r="G25" s="228">
        <f>B25-'[2]Дох '!J193</f>
        <v>5999778.8099999987</v>
      </c>
    </row>
    <row r="26" spans="1:11">
      <c r="A26" s="44" t="s">
        <v>65</v>
      </c>
      <c r="B26" s="290">
        <f t="shared" si="1"/>
        <v>10659</v>
      </c>
      <c r="C26" s="291">
        <v>10659</v>
      </c>
      <c r="D26" s="291"/>
      <c r="E26" s="291"/>
      <c r="F26" s="292"/>
    </row>
    <row r="27" spans="1:11">
      <c r="A27" s="44" t="s">
        <v>106</v>
      </c>
      <c r="B27" s="290">
        <f t="shared" si="1"/>
        <v>4825</v>
      </c>
      <c r="C27" s="291">
        <v>4825</v>
      </c>
      <c r="D27" s="291"/>
      <c r="E27" s="291"/>
      <c r="F27" s="292"/>
    </row>
    <row r="28" spans="1:11">
      <c r="A28" s="44" t="s">
        <v>200</v>
      </c>
      <c r="B28" s="290">
        <f t="shared" si="1"/>
        <v>403468</v>
      </c>
      <c r="C28" s="291">
        <v>3027</v>
      </c>
      <c r="D28" s="291">
        <f>384491+3300+12650</f>
        <v>400441</v>
      </c>
      <c r="E28" s="291"/>
      <c r="F28" s="292"/>
    </row>
    <row r="29" spans="1:11">
      <c r="A29" s="45" t="s">
        <v>66</v>
      </c>
      <c r="B29" s="290">
        <f t="shared" si="1"/>
        <v>6388098</v>
      </c>
      <c r="C29" s="291">
        <v>139485</v>
      </c>
      <c r="D29" s="291"/>
      <c r="E29" s="291"/>
      <c r="F29" s="292">
        <f>5622343+237270+380000+9000</f>
        <v>6248613</v>
      </c>
    </row>
    <row r="30" spans="1:11">
      <c r="A30" s="44" t="s">
        <v>67</v>
      </c>
      <c r="B30" s="290">
        <f t="shared" si="1"/>
        <v>1678</v>
      </c>
      <c r="C30" s="291">
        <v>1678</v>
      </c>
      <c r="D30" s="291"/>
      <c r="E30" s="291"/>
      <c r="F30" s="292"/>
    </row>
    <row r="31" spans="1:11" ht="28.5">
      <c r="A31" s="46" t="s">
        <v>279</v>
      </c>
      <c r="B31" s="290">
        <f t="shared" si="1"/>
        <v>43450</v>
      </c>
      <c r="C31" s="291">
        <v>43450</v>
      </c>
      <c r="D31" s="291"/>
      <c r="E31" s="291"/>
      <c r="F31" s="292"/>
    </row>
    <row r="32" spans="1:11">
      <c r="A32" s="44" t="s">
        <v>107</v>
      </c>
      <c r="B32" s="290">
        <f t="shared" si="1"/>
        <v>25323</v>
      </c>
      <c r="C32" s="291">
        <v>25323</v>
      </c>
      <c r="D32" s="291"/>
      <c r="E32" s="291"/>
      <c r="F32" s="292"/>
    </row>
    <row r="33" spans="1:7">
      <c r="A33" s="44" t="s">
        <v>168</v>
      </c>
      <c r="B33" s="290">
        <f t="shared" si="1"/>
        <v>1029698</v>
      </c>
      <c r="C33" s="291">
        <v>15759</v>
      </c>
      <c r="D33" s="291"/>
      <c r="E33" s="291"/>
      <c r="F33" s="292">
        <f>1011939-15000+17000</f>
        <v>1013939</v>
      </c>
    </row>
    <row r="34" spans="1:7">
      <c r="A34" s="44" t="s">
        <v>169</v>
      </c>
      <c r="B34" s="290">
        <f t="shared" si="1"/>
        <v>2120649</v>
      </c>
      <c r="C34" s="291">
        <v>10649</v>
      </c>
      <c r="D34" s="291"/>
      <c r="E34" s="291"/>
      <c r="F34" s="292">
        <f>1750000+250000+110000</f>
        <v>2110000</v>
      </c>
    </row>
    <row r="35" spans="1:7">
      <c r="A35" s="44" t="s">
        <v>108</v>
      </c>
      <c r="B35" s="290">
        <f t="shared" si="1"/>
        <v>2138</v>
      </c>
      <c r="C35" s="291">
        <v>2138</v>
      </c>
      <c r="D35" s="291"/>
      <c r="E35" s="291"/>
      <c r="F35" s="292"/>
    </row>
    <row r="36" spans="1:7">
      <c r="A36" s="45" t="s">
        <v>110</v>
      </c>
      <c r="B36" s="290">
        <f t="shared" si="1"/>
        <v>5623874</v>
      </c>
      <c r="C36" s="291">
        <v>17141</v>
      </c>
      <c r="D36" s="291"/>
      <c r="E36" s="291"/>
      <c r="F36" s="292">
        <f>4925733+281000+400000</f>
        <v>5606733</v>
      </c>
    </row>
    <row r="37" spans="1:7">
      <c r="A37" s="44" t="s">
        <v>201</v>
      </c>
      <c r="B37" s="290">
        <f t="shared" si="1"/>
        <v>16593</v>
      </c>
      <c r="C37" s="291">
        <v>16593</v>
      </c>
      <c r="D37" s="291"/>
      <c r="E37" s="291"/>
      <c r="F37" s="292"/>
    </row>
    <row r="38" spans="1:7">
      <c r="A38" s="44" t="s">
        <v>109</v>
      </c>
      <c r="B38" s="290">
        <f t="shared" si="1"/>
        <v>1640027</v>
      </c>
      <c r="C38" s="291">
        <v>30049</v>
      </c>
      <c r="D38" s="291"/>
      <c r="E38" s="291"/>
      <c r="F38" s="292">
        <f>1322507+160000+25000+102471</f>
        <v>1609978</v>
      </c>
    </row>
    <row r="39" spans="1:7">
      <c r="A39" s="44" t="s">
        <v>111</v>
      </c>
      <c r="B39" s="290">
        <f t="shared" si="1"/>
        <v>13718881.810000001</v>
      </c>
      <c r="C39" s="291">
        <v>84575</v>
      </c>
      <c r="D39" s="291"/>
      <c r="E39" s="291">
        <v>2118121.81</v>
      </c>
      <c r="F39" s="292">
        <f>10556185+250000+335000+375000</f>
        <v>11516185</v>
      </c>
    </row>
    <row r="40" spans="1:7">
      <c r="A40" s="44" t="s">
        <v>112</v>
      </c>
      <c r="B40" s="290">
        <f t="shared" si="1"/>
        <v>7852</v>
      </c>
      <c r="C40" s="291">
        <v>7852</v>
      </c>
      <c r="D40" s="291"/>
      <c r="E40" s="291"/>
      <c r="F40" s="292"/>
    </row>
    <row r="41" spans="1:7">
      <c r="A41" s="44" t="s">
        <v>171</v>
      </c>
      <c r="B41" s="290">
        <f t="shared" si="1"/>
        <v>12184</v>
      </c>
      <c r="C41" s="291">
        <v>12184</v>
      </c>
      <c r="D41" s="291"/>
      <c r="E41" s="291"/>
      <c r="F41" s="292"/>
    </row>
    <row r="42" spans="1:7">
      <c r="A42" s="44" t="s">
        <v>172</v>
      </c>
      <c r="B42" s="290">
        <f t="shared" si="1"/>
        <v>1662788</v>
      </c>
      <c r="C42" s="291">
        <v>33788</v>
      </c>
      <c r="D42" s="291"/>
      <c r="E42" s="291"/>
      <c r="F42" s="292">
        <f>1569000+60000</f>
        <v>1629000</v>
      </c>
    </row>
    <row r="43" spans="1:7">
      <c r="A43" s="44" t="s">
        <v>113</v>
      </c>
      <c r="B43" s="290">
        <f t="shared" si="1"/>
        <v>23820</v>
      </c>
      <c r="C43" s="291">
        <v>23820</v>
      </c>
      <c r="D43" s="291"/>
      <c r="E43" s="291"/>
      <c r="F43" s="292"/>
    </row>
    <row r="44" spans="1:7" ht="15.75">
      <c r="A44" s="105" t="s">
        <v>2556</v>
      </c>
      <c r="B44" s="330">
        <f>B25/B6*100</f>
        <v>99.992983173257315</v>
      </c>
      <c r="C44" s="330">
        <f>C25/C6*100</f>
        <v>100</v>
      </c>
      <c r="D44" s="330">
        <f>D25/D6*100</f>
        <v>100</v>
      </c>
      <c r="E44" s="330">
        <f>E25/E6*100</f>
        <v>99.891663392942618</v>
      </c>
      <c r="F44" s="291">
        <f>F25/F6*100</f>
        <v>100</v>
      </c>
      <c r="G44" s="228">
        <f>B44-'[2]Дох '!K193</f>
        <v>-26736127.007016826</v>
      </c>
    </row>
    <row r="45" spans="1:7">
      <c r="A45" s="44" t="s">
        <v>65</v>
      </c>
      <c r="B45" s="291">
        <f>B26/B7*100</f>
        <v>100</v>
      </c>
      <c r="C45" s="291">
        <f>C26/C7*100</f>
        <v>100</v>
      </c>
      <c r="D45" s="291"/>
      <c r="E45" s="291"/>
      <c r="F45" s="291"/>
    </row>
    <row r="46" spans="1:7">
      <c r="A46" s="44" t="s">
        <v>106</v>
      </c>
      <c r="B46" s="291">
        <f t="shared" ref="B46:B62" si="3">B27/B8*100</f>
        <v>100</v>
      </c>
      <c r="C46" s="291">
        <f t="shared" ref="C46:E62" si="4">C27/C8*100</f>
        <v>100</v>
      </c>
      <c r="D46" s="291"/>
      <c r="E46" s="291"/>
      <c r="F46" s="291"/>
    </row>
    <row r="47" spans="1:7">
      <c r="A47" s="44" t="s">
        <v>200</v>
      </c>
      <c r="B47" s="291">
        <f t="shared" si="3"/>
        <v>100</v>
      </c>
      <c r="C47" s="291">
        <f t="shared" si="4"/>
        <v>100</v>
      </c>
      <c r="D47" s="291">
        <f t="shared" si="4"/>
        <v>100</v>
      </c>
      <c r="E47" s="291"/>
      <c r="F47" s="291"/>
    </row>
    <row r="48" spans="1:7">
      <c r="A48" s="45" t="s">
        <v>66</v>
      </c>
      <c r="B48" s="291">
        <f t="shared" si="3"/>
        <v>100</v>
      </c>
      <c r="C48" s="291">
        <f t="shared" si="4"/>
        <v>100</v>
      </c>
      <c r="D48" s="291"/>
      <c r="E48" s="291"/>
      <c r="F48" s="291">
        <f t="shared" ref="F48:F61" si="5">F29/F10*100</f>
        <v>100</v>
      </c>
    </row>
    <row r="49" spans="1:6">
      <c r="A49" s="44" t="s">
        <v>67</v>
      </c>
      <c r="B49" s="291">
        <f t="shared" si="3"/>
        <v>100</v>
      </c>
      <c r="C49" s="291">
        <f t="shared" si="4"/>
        <v>100</v>
      </c>
      <c r="D49" s="291"/>
      <c r="E49" s="291"/>
      <c r="F49" s="291"/>
    </row>
    <row r="50" spans="1:6" ht="28.5">
      <c r="A50" s="46" t="s">
        <v>279</v>
      </c>
      <c r="B50" s="291">
        <f t="shared" si="3"/>
        <v>100</v>
      </c>
      <c r="C50" s="291">
        <f t="shared" si="4"/>
        <v>100</v>
      </c>
      <c r="D50" s="291"/>
      <c r="E50" s="291"/>
      <c r="F50" s="291"/>
    </row>
    <row r="51" spans="1:6">
      <c r="A51" s="44" t="s">
        <v>107</v>
      </c>
      <c r="B51" s="291">
        <f t="shared" si="3"/>
        <v>100</v>
      </c>
      <c r="C51" s="291">
        <f t="shared" si="4"/>
        <v>100</v>
      </c>
      <c r="D51" s="291"/>
      <c r="E51" s="291"/>
      <c r="F51" s="291"/>
    </row>
    <row r="52" spans="1:6">
      <c r="A52" s="44" t="s">
        <v>168</v>
      </c>
      <c r="B52" s="291">
        <f t="shared" si="3"/>
        <v>100</v>
      </c>
      <c r="C52" s="291">
        <f t="shared" si="4"/>
        <v>100</v>
      </c>
      <c r="D52" s="291"/>
      <c r="E52" s="291"/>
      <c r="F52" s="291">
        <f t="shared" si="5"/>
        <v>100</v>
      </c>
    </row>
    <row r="53" spans="1:6">
      <c r="A53" s="44" t="s">
        <v>169</v>
      </c>
      <c r="B53" s="291">
        <f t="shared" si="3"/>
        <v>100</v>
      </c>
      <c r="C53" s="291">
        <f t="shared" si="4"/>
        <v>100</v>
      </c>
      <c r="D53" s="291"/>
      <c r="E53" s="291"/>
      <c r="F53" s="291">
        <f t="shared" si="5"/>
        <v>100</v>
      </c>
    </row>
    <row r="54" spans="1:6">
      <c r="A54" s="44" t="s">
        <v>108</v>
      </c>
      <c r="B54" s="291">
        <f t="shared" si="3"/>
        <v>100</v>
      </c>
      <c r="C54" s="291">
        <f t="shared" si="4"/>
        <v>100</v>
      </c>
      <c r="D54" s="291"/>
      <c r="E54" s="291"/>
      <c r="F54" s="291"/>
    </row>
    <row r="55" spans="1:6">
      <c r="A55" s="45" t="s">
        <v>110</v>
      </c>
      <c r="B55" s="291">
        <f t="shared" si="3"/>
        <v>100</v>
      </c>
      <c r="C55" s="291">
        <f t="shared" si="4"/>
        <v>100</v>
      </c>
      <c r="D55" s="291"/>
      <c r="E55" s="291"/>
      <c r="F55" s="291">
        <f t="shared" si="5"/>
        <v>100</v>
      </c>
    </row>
    <row r="56" spans="1:6">
      <c r="A56" s="44" t="s">
        <v>201</v>
      </c>
      <c r="B56" s="291">
        <f t="shared" si="3"/>
        <v>100</v>
      </c>
      <c r="C56" s="291">
        <f t="shared" si="4"/>
        <v>100</v>
      </c>
      <c r="D56" s="291"/>
      <c r="E56" s="291"/>
      <c r="F56" s="291"/>
    </row>
    <row r="57" spans="1:6">
      <c r="A57" s="44" t="s">
        <v>109</v>
      </c>
      <c r="B57" s="291">
        <f t="shared" si="3"/>
        <v>100</v>
      </c>
      <c r="C57" s="291">
        <f t="shared" si="4"/>
        <v>100</v>
      </c>
      <c r="D57" s="291"/>
      <c r="E57" s="291"/>
      <c r="F57" s="291">
        <f t="shared" si="5"/>
        <v>100</v>
      </c>
    </row>
    <row r="58" spans="1:6">
      <c r="A58" s="44" t="s">
        <v>111</v>
      </c>
      <c r="B58" s="291">
        <f t="shared" si="3"/>
        <v>99.983258071336294</v>
      </c>
      <c r="C58" s="291">
        <f t="shared" si="4"/>
        <v>100</v>
      </c>
      <c r="D58" s="291"/>
      <c r="E58" s="291">
        <f t="shared" si="4"/>
        <v>99.891663392942618</v>
      </c>
      <c r="F58" s="291">
        <f t="shared" si="5"/>
        <v>100</v>
      </c>
    </row>
    <row r="59" spans="1:6">
      <c r="A59" s="44" t="s">
        <v>112</v>
      </c>
      <c r="B59" s="291">
        <f t="shared" si="3"/>
        <v>100</v>
      </c>
      <c r="C59" s="291">
        <f t="shared" si="4"/>
        <v>100</v>
      </c>
      <c r="D59" s="291"/>
      <c r="E59" s="291"/>
      <c r="F59" s="291"/>
    </row>
    <row r="60" spans="1:6">
      <c r="A60" s="44" t="s">
        <v>171</v>
      </c>
      <c r="B60" s="291">
        <f t="shared" si="3"/>
        <v>100</v>
      </c>
      <c r="C60" s="291">
        <f t="shared" si="4"/>
        <v>100</v>
      </c>
      <c r="D60" s="291"/>
      <c r="E60" s="291"/>
      <c r="F60" s="291"/>
    </row>
    <row r="61" spans="1:6">
      <c r="A61" s="44" t="s">
        <v>172</v>
      </c>
      <c r="B61" s="291">
        <f t="shared" si="3"/>
        <v>100</v>
      </c>
      <c r="C61" s="291">
        <f t="shared" si="4"/>
        <v>100</v>
      </c>
      <c r="D61" s="291"/>
      <c r="E61" s="291"/>
      <c r="F61" s="291">
        <f t="shared" si="5"/>
        <v>100</v>
      </c>
    </row>
    <row r="62" spans="1:6">
      <c r="A62" s="44" t="s">
        <v>113</v>
      </c>
      <c r="B62" s="291">
        <f t="shared" si="3"/>
        <v>100</v>
      </c>
      <c r="C62" s="291">
        <f t="shared" si="4"/>
        <v>100</v>
      </c>
      <c r="D62" s="291"/>
      <c r="E62" s="291"/>
      <c r="F62" s="291"/>
    </row>
  </sheetData>
  <mergeCells count="5">
    <mergeCell ref="A4:A5"/>
    <mergeCell ref="B4:B5"/>
    <mergeCell ref="A2:F2"/>
    <mergeCell ref="C4:F4"/>
    <mergeCell ref="A1:F1"/>
  </mergeCells>
  <phoneticPr fontId="3" type="noConversion"/>
  <pageMargins left="0.23622047244094491" right="0.23622047244094491" top="0.74803149606299213" bottom="0.74803149606299213" header="0.31496062992125984" footer="0.31496062992125984"/>
  <pageSetup paperSize="9" scale="73" fitToHeight="0" orientation="landscape" r:id="rId1"/>
  <headerFooter alignWithMargins="0"/>
</worksheet>
</file>

<file path=xl/worksheets/sheet19.xml><?xml version="1.0" encoding="utf-8"?>
<worksheet xmlns="http://schemas.openxmlformats.org/spreadsheetml/2006/main" xmlns:r="http://schemas.openxmlformats.org/officeDocument/2006/relationships">
  <sheetPr>
    <tabColor rgb="FF92D050"/>
  </sheetPr>
  <dimension ref="A1:F22"/>
  <sheetViews>
    <sheetView zoomScaleNormal="100" workbookViewId="0">
      <selection activeCell="A3" sqref="A3"/>
    </sheetView>
  </sheetViews>
  <sheetFormatPr defaultRowHeight="12.75"/>
  <cols>
    <col min="1" max="1" width="43.42578125" customWidth="1"/>
    <col min="2" max="2" width="17.28515625" customWidth="1"/>
    <col min="3" max="3" width="19.140625" customWidth="1"/>
    <col min="4" max="4" width="14.140625" customWidth="1"/>
    <col min="5" max="5" width="13.140625" customWidth="1"/>
  </cols>
  <sheetData>
    <row r="1" spans="1:6" ht="55.5" customHeight="1">
      <c r="A1" s="508" t="str">
        <f>"Приложение №"&amp;Н1сбал&amp;" к решению
Богучанского районного Совета депутатов
от "&amp;Р1дата&amp;" года №"&amp;Р1номер</f>
        <v>Приложение №8 к решению
Богучанского районного Совета депутатов
от     " " 2018 года №</v>
      </c>
      <c r="B1" s="508"/>
      <c r="C1" s="508"/>
      <c r="D1" s="508"/>
      <c r="E1" s="23"/>
      <c r="F1" s="4"/>
    </row>
    <row r="2" spans="1:6" ht="78.75" customHeight="1">
      <c r="A2" s="509" t="str">
        <f>"Распределение межбюджетных трансфертов на поддержку мер по обеспечению сбалансированности бюджетов поселений за "&amp;год&amp;" год "</f>
        <v xml:space="preserve">Распределение межбюджетных трансфертов на поддержку мер по обеспечению сбалансированности бюджетов поселений за 2017 год </v>
      </c>
      <c r="B2" s="509"/>
      <c r="C2" s="509"/>
      <c r="D2" s="509"/>
      <c r="E2" s="23"/>
      <c r="F2" s="4"/>
    </row>
    <row r="3" spans="1:6">
      <c r="A3" s="4"/>
      <c r="B3" s="11"/>
      <c r="C3" s="11"/>
      <c r="D3" s="11" t="s">
        <v>94</v>
      </c>
      <c r="E3" s="23"/>
      <c r="F3" s="4"/>
    </row>
    <row r="4" spans="1:6" ht="28.5">
      <c r="A4" s="26" t="s">
        <v>28</v>
      </c>
      <c r="B4" s="26" t="s">
        <v>2456</v>
      </c>
      <c r="C4" s="26" t="s">
        <v>2457</v>
      </c>
      <c r="D4" s="36" t="s">
        <v>2194</v>
      </c>
      <c r="E4" s="37">
        <v>1110080120</v>
      </c>
      <c r="F4" s="4" t="s">
        <v>312</v>
      </c>
    </row>
    <row r="5" spans="1:6" ht="15">
      <c r="A5" s="480" t="s">
        <v>95</v>
      </c>
      <c r="B5" s="371">
        <f>SUM(B6:B22)</f>
        <v>36937338</v>
      </c>
      <c r="C5" s="371">
        <f>SUM(C6:C22)</f>
        <v>34932938</v>
      </c>
      <c r="D5" s="371">
        <f>C5/B5*100</f>
        <v>94.573512579601697</v>
      </c>
      <c r="E5" s="117">
        <f ca="1">SUMIF(РзПз,"????"&amp;E$4,СумВед)-B5</f>
        <v>0</v>
      </c>
      <c r="F5" s="4">
        <v>2016</v>
      </c>
    </row>
    <row r="6" spans="1:6" ht="14.25">
      <c r="A6" s="436" t="s">
        <v>795</v>
      </c>
      <c r="B6" s="297">
        <f>1934400+20000+50000</f>
        <v>2004400</v>
      </c>
      <c r="C6" s="444">
        <v>500000</v>
      </c>
      <c r="D6" s="487">
        <f t="shared" ref="D6:D22" si="0">C6/B6*100</f>
        <v>24.945120734384354</v>
      </c>
      <c r="E6" s="117">
        <f ca="1">SUMIF(РзПзПлПер,"????"&amp;E$4,СумВед14)-C5</f>
        <v>-34932938</v>
      </c>
      <c r="F6" s="4">
        <v>2017</v>
      </c>
    </row>
    <row r="7" spans="1:6" ht="17.25" customHeight="1">
      <c r="A7" s="436" t="s">
        <v>106</v>
      </c>
      <c r="B7" s="297">
        <f>5682300+171000</f>
        <v>5853300</v>
      </c>
      <c r="C7" s="444">
        <v>5853300</v>
      </c>
      <c r="D7" s="487">
        <f t="shared" si="0"/>
        <v>100</v>
      </c>
      <c r="E7" s="117">
        <f ca="1">SUMIF(РзПзПлПер,"????"&amp;E$4,СумВед15)-D5</f>
        <v>-94.573512579601697</v>
      </c>
      <c r="F7" s="4">
        <v>2018</v>
      </c>
    </row>
    <row r="8" spans="1:6" ht="14.25">
      <c r="A8" s="437" t="s">
        <v>200</v>
      </c>
      <c r="B8" s="297">
        <v>100000</v>
      </c>
      <c r="C8" s="444">
        <v>100000</v>
      </c>
      <c r="D8" s="487">
        <f t="shared" si="0"/>
        <v>100</v>
      </c>
      <c r="E8" s="23"/>
      <c r="F8" s="4"/>
    </row>
    <row r="9" spans="1:6" ht="17.25" customHeight="1">
      <c r="A9" s="436" t="s">
        <v>67</v>
      </c>
      <c r="B9" s="297">
        <f>1930000+200000</f>
        <v>2130000</v>
      </c>
      <c r="C9" s="444">
        <v>2130000</v>
      </c>
      <c r="D9" s="487">
        <f t="shared" si="0"/>
        <v>100</v>
      </c>
      <c r="E9" s="23"/>
      <c r="F9" s="4"/>
    </row>
    <row r="10" spans="1:6" ht="28.5">
      <c r="A10" s="46" t="s">
        <v>279</v>
      </c>
      <c r="B10" s="297">
        <f>100000+100000</f>
        <v>200000</v>
      </c>
      <c r="C10" s="444">
        <v>200000</v>
      </c>
      <c r="D10" s="487">
        <f t="shared" si="0"/>
        <v>100</v>
      </c>
      <c r="E10" s="23"/>
      <c r="F10" s="4"/>
    </row>
    <row r="11" spans="1:6" ht="14.25">
      <c r="A11" s="436" t="s">
        <v>107</v>
      </c>
      <c r="B11" s="297">
        <v>1907300</v>
      </c>
      <c r="C11" s="444">
        <v>1907300</v>
      </c>
      <c r="D11" s="487">
        <f t="shared" si="0"/>
        <v>100</v>
      </c>
      <c r="E11" s="41"/>
      <c r="F11" s="4"/>
    </row>
    <row r="12" spans="1:6" ht="14.25">
      <c r="A12" s="436" t="s">
        <v>168</v>
      </c>
      <c r="B12" s="297">
        <f>3451200+260000+66000+260000+36388</f>
        <v>4073588</v>
      </c>
      <c r="C12" s="444">
        <v>4073588</v>
      </c>
      <c r="D12" s="487">
        <f t="shared" si="0"/>
        <v>100</v>
      </c>
      <c r="E12" s="23"/>
      <c r="F12" s="4"/>
    </row>
    <row r="13" spans="1:6" ht="28.5">
      <c r="A13" s="436" t="s">
        <v>169</v>
      </c>
      <c r="B13" s="297">
        <v>170000</v>
      </c>
      <c r="C13" s="444">
        <v>170000</v>
      </c>
      <c r="D13" s="487">
        <f t="shared" si="0"/>
        <v>100</v>
      </c>
      <c r="E13" s="23"/>
      <c r="F13" s="4"/>
    </row>
    <row r="14" spans="1:6" ht="14.25">
      <c r="A14" s="436" t="s">
        <v>108</v>
      </c>
      <c r="B14" s="297">
        <f>2040900+36000+46000</f>
        <v>2122900</v>
      </c>
      <c r="C14" s="444">
        <v>1922900</v>
      </c>
      <c r="D14" s="487">
        <f t="shared" si="0"/>
        <v>90.578925055348819</v>
      </c>
      <c r="E14" s="23"/>
      <c r="F14" s="4"/>
    </row>
    <row r="15" spans="1:6" ht="15.75" customHeight="1">
      <c r="A15" s="436" t="s">
        <v>110</v>
      </c>
      <c r="B15" s="297">
        <v>400000</v>
      </c>
      <c r="C15" s="444">
        <v>400000</v>
      </c>
      <c r="D15" s="487">
        <f t="shared" si="0"/>
        <v>100</v>
      </c>
      <c r="E15" s="23"/>
      <c r="F15" s="4"/>
    </row>
    <row r="16" spans="1:6" ht="28.5">
      <c r="A16" s="436" t="s">
        <v>201</v>
      </c>
      <c r="B16" s="297">
        <f>90000+150000</f>
        <v>240000</v>
      </c>
      <c r="C16" s="444">
        <v>140000</v>
      </c>
      <c r="D16" s="487">
        <f t="shared" si="0"/>
        <v>58.333333333333336</v>
      </c>
      <c r="E16" s="23"/>
      <c r="F16" s="4"/>
    </row>
    <row r="17" spans="1:6" ht="14.25">
      <c r="A17" s="436" t="s">
        <v>109</v>
      </c>
      <c r="B17" s="297">
        <f>3879700+210000+66300</f>
        <v>4156000</v>
      </c>
      <c r="C17" s="444">
        <v>4056000</v>
      </c>
      <c r="D17" s="487">
        <f t="shared" si="0"/>
        <v>97.593840230991333</v>
      </c>
      <c r="E17" s="23"/>
      <c r="F17" s="4"/>
    </row>
    <row r="18" spans="1:6" ht="14.25">
      <c r="A18" s="436" t="s">
        <v>111</v>
      </c>
      <c r="B18" s="297">
        <f>3782600+1321950+395000+617000</f>
        <v>6116550</v>
      </c>
      <c r="C18" s="444">
        <v>6116550</v>
      </c>
      <c r="D18" s="487">
        <f t="shared" si="0"/>
        <v>100</v>
      </c>
      <c r="E18" s="23"/>
      <c r="F18" s="4"/>
    </row>
    <row r="19" spans="1:6" ht="14.25">
      <c r="A19" s="436" t="s">
        <v>112</v>
      </c>
      <c r="B19" s="297">
        <f>120000+30000</f>
        <v>150000</v>
      </c>
      <c r="C19" s="444">
        <v>150000</v>
      </c>
      <c r="D19" s="487">
        <f t="shared" si="0"/>
        <v>100</v>
      </c>
      <c r="E19" s="23"/>
      <c r="F19" s="4"/>
    </row>
    <row r="20" spans="1:6" ht="14.25">
      <c r="A20" s="436" t="s">
        <v>171</v>
      </c>
      <c r="B20" s="297">
        <f>1518900+50000+16000</f>
        <v>1584900</v>
      </c>
      <c r="C20" s="444">
        <v>1534900</v>
      </c>
      <c r="D20" s="487">
        <f t="shared" si="0"/>
        <v>96.845226828191059</v>
      </c>
      <c r="E20" s="23"/>
      <c r="F20" s="4"/>
    </row>
    <row r="21" spans="1:6" ht="14.25">
      <c r="A21" s="436" t="s">
        <v>172</v>
      </c>
      <c r="B21" s="297">
        <f>2520300+200000+522000+106000</f>
        <v>3348300</v>
      </c>
      <c r="C21" s="444">
        <v>3348300</v>
      </c>
      <c r="D21" s="487">
        <f t="shared" si="0"/>
        <v>100</v>
      </c>
      <c r="E21" s="23"/>
      <c r="F21" s="4"/>
    </row>
    <row r="22" spans="1:6" ht="14.25">
      <c r="A22" s="436" t="s">
        <v>113</v>
      </c>
      <c r="B22" s="297">
        <f>2033600+168000+100000+78500</f>
        <v>2380100</v>
      </c>
      <c r="C22" s="444">
        <v>2330100</v>
      </c>
      <c r="D22" s="487">
        <f t="shared" si="0"/>
        <v>97.899247930759216</v>
      </c>
      <c r="E22" s="23"/>
      <c r="F22" s="4"/>
    </row>
  </sheetData>
  <mergeCells count="2">
    <mergeCell ref="A1:D1"/>
    <mergeCell ref="A2:D2"/>
  </mergeCells>
  <pageMargins left="0.7" right="0.24"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G837"/>
  <sheetViews>
    <sheetView workbookViewId="0">
      <selection activeCell="J14" sqref="J14"/>
    </sheetView>
  </sheetViews>
  <sheetFormatPr defaultRowHeight="12.75"/>
  <cols>
    <col min="1" max="1" width="48.42578125" customWidth="1"/>
    <col min="4" max="4" width="13.42578125" customWidth="1"/>
    <col min="6" max="6" width="16" customWidth="1"/>
    <col min="7" max="7" width="18.85546875" customWidth="1"/>
  </cols>
  <sheetData>
    <row r="1" spans="1:7" ht="21">
      <c r="A1" s="448" t="s">
        <v>2577</v>
      </c>
      <c r="B1" s="448" t="s">
        <v>213</v>
      </c>
      <c r="C1" s="448" t="s">
        <v>2578</v>
      </c>
      <c r="D1" s="448" t="s">
        <v>215</v>
      </c>
      <c r="E1" s="448" t="s">
        <v>216</v>
      </c>
      <c r="F1" s="448" t="s">
        <v>2579</v>
      </c>
      <c r="G1" s="448" t="s">
        <v>2580</v>
      </c>
    </row>
    <row r="2" spans="1:7">
      <c r="A2" s="449" t="s">
        <v>203</v>
      </c>
      <c r="B2" s="450"/>
      <c r="C2" s="450"/>
      <c r="D2" s="450"/>
      <c r="E2" s="450"/>
      <c r="F2" s="451">
        <v>2119922020.1199999</v>
      </c>
      <c r="G2" s="451">
        <v>2028300069.1700001</v>
      </c>
    </row>
    <row r="3" spans="1:7">
      <c r="A3" s="452" t="s">
        <v>437</v>
      </c>
      <c r="B3" s="453" t="s">
        <v>217</v>
      </c>
      <c r="C3" s="453"/>
      <c r="D3" s="453"/>
      <c r="E3" s="453"/>
      <c r="F3" s="454">
        <v>4386710</v>
      </c>
      <c r="G3" s="454">
        <v>4370547.3499999996</v>
      </c>
    </row>
    <row r="4" spans="1:7">
      <c r="A4" s="452" t="s">
        <v>282</v>
      </c>
      <c r="B4" s="453" t="s">
        <v>217</v>
      </c>
      <c r="C4" s="453" t="s">
        <v>1598</v>
      </c>
      <c r="D4" s="453"/>
      <c r="E4" s="453"/>
      <c r="F4" s="454">
        <v>4386710</v>
      </c>
      <c r="G4" s="454">
        <v>4370547.3499999996</v>
      </c>
    </row>
    <row r="5" spans="1:7" ht="45">
      <c r="A5" s="452" t="s">
        <v>92</v>
      </c>
      <c r="B5" s="453" t="s">
        <v>217</v>
      </c>
      <c r="C5" s="453" t="s">
        <v>443</v>
      </c>
      <c r="D5" s="453"/>
      <c r="E5" s="453"/>
      <c r="F5" s="454">
        <v>4386710</v>
      </c>
      <c r="G5" s="454">
        <v>4370547.3499999996</v>
      </c>
    </row>
    <row r="6" spans="1:7" ht="33.75">
      <c r="A6" s="452" t="s">
        <v>444</v>
      </c>
      <c r="B6" s="453" t="s">
        <v>217</v>
      </c>
      <c r="C6" s="453" t="s">
        <v>443</v>
      </c>
      <c r="D6" s="453" t="s">
        <v>847</v>
      </c>
      <c r="E6" s="453"/>
      <c r="F6" s="454">
        <v>1659789.93</v>
      </c>
      <c r="G6" s="454">
        <v>1653146.62</v>
      </c>
    </row>
    <row r="7" spans="1:7" ht="22.5">
      <c r="A7" s="455" t="s">
        <v>1165</v>
      </c>
      <c r="B7" s="456" t="s">
        <v>217</v>
      </c>
      <c r="C7" s="456" t="s">
        <v>443</v>
      </c>
      <c r="D7" s="456" t="s">
        <v>847</v>
      </c>
      <c r="E7" s="456" t="s">
        <v>440</v>
      </c>
      <c r="F7" s="457">
        <v>932563.46</v>
      </c>
      <c r="G7" s="457">
        <v>932563.35</v>
      </c>
    </row>
    <row r="8" spans="1:7" ht="22.5">
      <c r="A8" s="455" t="s">
        <v>441</v>
      </c>
      <c r="B8" s="456" t="s">
        <v>217</v>
      </c>
      <c r="C8" s="456" t="s">
        <v>443</v>
      </c>
      <c r="D8" s="456" t="s">
        <v>847</v>
      </c>
      <c r="E8" s="456" t="s">
        <v>442</v>
      </c>
      <c r="F8" s="457">
        <v>9980</v>
      </c>
      <c r="G8" s="457">
        <v>9980</v>
      </c>
    </row>
    <row r="9" spans="1:7" ht="33.75">
      <c r="A9" s="455" t="s">
        <v>1288</v>
      </c>
      <c r="B9" s="456" t="s">
        <v>217</v>
      </c>
      <c r="C9" s="456" t="s">
        <v>443</v>
      </c>
      <c r="D9" s="456" t="s">
        <v>847</v>
      </c>
      <c r="E9" s="456" t="s">
        <v>1289</v>
      </c>
      <c r="F9" s="457">
        <v>316200.49</v>
      </c>
      <c r="G9" s="457">
        <v>316162.57</v>
      </c>
    </row>
    <row r="10" spans="1:7" ht="22.5">
      <c r="A10" s="455" t="s">
        <v>445</v>
      </c>
      <c r="B10" s="456" t="s">
        <v>217</v>
      </c>
      <c r="C10" s="456" t="s">
        <v>443</v>
      </c>
      <c r="D10" s="456" t="s">
        <v>847</v>
      </c>
      <c r="E10" s="456" t="s">
        <v>446</v>
      </c>
      <c r="F10" s="457">
        <v>398620.28</v>
      </c>
      <c r="G10" s="457">
        <v>392020</v>
      </c>
    </row>
    <row r="11" spans="1:7">
      <c r="A11" s="455" t="s">
        <v>1293</v>
      </c>
      <c r="B11" s="456" t="s">
        <v>217</v>
      </c>
      <c r="C11" s="456" t="s">
        <v>443</v>
      </c>
      <c r="D11" s="456" t="s">
        <v>847</v>
      </c>
      <c r="E11" s="456" t="s">
        <v>1294</v>
      </c>
      <c r="F11" s="457">
        <v>2425.6999999999998</v>
      </c>
      <c r="G11" s="457">
        <v>2420.6999999999998</v>
      </c>
    </row>
    <row r="12" spans="1:7" ht="45">
      <c r="A12" s="452" t="s">
        <v>723</v>
      </c>
      <c r="B12" s="453" t="s">
        <v>217</v>
      </c>
      <c r="C12" s="453" t="s">
        <v>443</v>
      </c>
      <c r="D12" s="453" t="s">
        <v>848</v>
      </c>
      <c r="E12" s="453"/>
      <c r="F12" s="454">
        <v>135660.79999999999</v>
      </c>
      <c r="G12" s="454">
        <v>135660.79999999999</v>
      </c>
    </row>
    <row r="13" spans="1:7" ht="22.5">
      <c r="A13" s="455" t="s">
        <v>441</v>
      </c>
      <c r="B13" s="456" t="s">
        <v>217</v>
      </c>
      <c r="C13" s="456" t="s">
        <v>443</v>
      </c>
      <c r="D13" s="456" t="s">
        <v>848</v>
      </c>
      <c r="E13" s="456" t="s">
        <v>442</v>
      </c>
      <c r="F13" s="457">
        <v>135660.79999999999</v>
      </c>
      <c r="G13" s="457">
        <v>135660.79999999999</v>
      </c>
    </row>
    <row r="14" spans="1:7" ht="33.75">
      <c r="A14" s="452" t="s">
        <v>1166</v>
      </c>
      <c r="B14" s="453" t="s">
        <v>217</v>
      </c>
      <c r="C14" s="453" t="s">
        <v>443</v>
      </c>
      <c r="D14" s="453" t="s">
        <v>1167</v>
      </c>
      <c r="E14" s="453"/>
      <c r="F14" s="454">
        <v>85580.22</v>
      </c>
      <c r="G14" s="454">
        <v>85540</v>
      </c>
    </row>
    <row r="15" spans="1:7" ht="22.5">
      <c r="A15" s="455" t="s">
        <v>445</v>
      </c>
      <c r="B15" s="456" t="s">
        <v>217</v>
      </c>
      <c r="C15" s="456" t="s">
        <v>443</v>
      </c>
      <c r="D15" s="456" t="s">
        <v>1167</v>
      </c>
      <c r="E15" s="456" t="s">
        <v>446</v>
      </c>
      <c r="F15" s="457">
        <v>85580.22</v>
      </c>
      <c r="G15" s="457">
        <v>85540</v>
      </c>
    </row>
    <row r="16" spans="1:7" ht="45">
      <c r="A16" s="452" t="s">
        <v>447</v>
      </c>
      <c r="B16" s="453" t="s">
        <v>217</v>
      </c>
      <c r="C16" s="453" t="s">
        <v>443</v>
      </c>
      <c r="D16" s="453" t="s">
        <v>849</v>
      </c>
      <c r="E16" s="453"/>
      <c r="F16" s="454">
        <v>2475365.0499999998</v>
      </c>
      <c r="G16" s="454">
        <v>2465885.9300000002</v>
      </c>
    </row>
    <row r="17" spans="1:7" ht="22.5">
      <c r="A17" s="455" t="s">
        <v>1165</v>
      </c>
      <c r="B17" s="456" t="s">
        <v>217</v>
      </c>
      <c r="C17" s="456" t="s">
        <v>443</v>
      </c>
      <c r="D17" s="456" t="s">
        <v>849</v>
      </c>
      <c r="E17" s="456" t="s">
        <v>440</v>
      </c>
      <c r="F17" s="457">
        <v>1672868.36</v>
      </c>
      <c r="G17" s="457">
        <v>1672868.36</v>
      </c>
    </row>
    <row r="18" spans="1:7" ht="22.5">
      <c r="A18" s="455" t="s">
        <v>441</v>
      </c>
      <c r="B18" s="456" t="s">
        <v>217</v>
      </c>
      <c r="C18" s="456" t="s">
        <v>443</v>
      </c>
      <c r="D18" s="456" t="s">
        <v>849</v>
      </c>
      <c r="E18" s="456" t="s">
        <v>442</v>
      </c>
      <c r="F18" s="457">
        <v>119636.42</v>
      </c>
      <c r="G18" s="457">
        <v>119561.4</v>
      </c>
    </row>
    <row r="19" spans="1:7" ht="45">
      <c r="A19" s="455" t="s">
        <v>1599</v>
      </c>
      <c r="B19" s="456" t="s">
        <v>217</v>
      </c>
      <c r="C19" s="456" t="s">
        <v>443</v>
      </c>
      <c r="D19" s="456" t="s">
        <v>849</v>
      </c>
      <c r="E19" s="456" t="s">
        <v>623</v>
      </c>
      <c r="F19" s="457">
        <v>216000</v>
      </c>
      <c r="G19" s="457">
        <v>216000</v>
      </c>
    </row>
    <row r="20" spans="1:7" ht="33.75">
      <c r="A20" s="455" t="s">
        <v>1288</v>
      </c>
      <c r="B20" s="456" t="s">
        <v>217</v>
      </c>
      <c r="C20" s="456" t="s">
        <v>443</v>
      </c>
      <c r="D20" s="456" t="s">
        <v>849</v>
      </c>
      <c r="E20" s="456" t="s">
        <v>1289</v>
      </c>
      <c r="F20" s="457">
        <v>466860.27</v>
      </c>
      <c r="G20" s="457">
        <v>457456.17</v>
      </c>
    </row>
    <row r="21" spans="1:7" ht="56.25">
      <c r="A21" s="452" t="s">
        <v>1600</v>
      </c>
      <c r="B21" s="453" t="s">
        <v>217</v>
      </c>
      <c r="C21" s="453" t="s">
        <v>443</v>
      </c>
      <c r="D21" s="453" t="s">
        <v>850</v>
      </c>
      <c r="E21" s="453"/>
      <c r="F21" s="454">
        <v>30314</v>
      </c>
      <c r="G21" s="454">
        <v>30314</v>
      </c>
    </row>
    <row r="22" spans="1:7" ht="22.5">
      <c r="A22" s="455" t="s">
        <v>441</v>
      </c>
      <c r="B22" s="456" t="s">
        <v>217</v>
      </c>
      <c r="C22" s="456" t="s">
        <v>443</v>
      </c>
      <c r="D22" s="456" t="s">
        <v>850</v>
      </c>
      <c r="E22" s="456" t="s">
        <v>442</v>
      </c>
      <c r="F22" s="457">
        <v>30314</v>
      </c>
      <c r="G22" s="457">
        <v>30314</v>
      </c>
    </row>
    <row r="23" spans="1:7">
      <c r="A23" s="452" t="s">
        <v>219</v>
      </c>
      <c r="B23" s="453" t="s">
        <v>218</v>
      </c>
      <c r="C23" s="453"/>
      <c r="D23" s="453"/>
      <c r="E23" s="453"/>
      <c r="F23" s="454">
        <v>1346322.34</v>
      </c>
      <c r="G23" s="454">
        <v>1317541.6399999999</v>
      </c>
    </row>
    <row r="24" spans="1:7">
      <c r="A24" s="452" t="s">
        <v>282</v>
      </c>
      <c r="B24" s="453" t="s">
        <v>218</v>
      </c>
      <c r="C24" s="453" t="s">
        <v>1598</v>
      </c>
      <c r="D24" s="453"/>
      <c r="E24" s="453"/>
      <c r="F24" s="454">
        <v>1346322.34</v>
      </c>
      <c r="G24" s="454">
        <v>1317541.6399999999</v>
      </c>
    </row>
    <row r="25" spans="1:7" ht="33.75">
      <c r="A25" s="452" t="s">
        <v>264</v>
      </c>
      <c r="B25" s="453" t="s">
        <v>218</v>
      </c>
      <c r="C25" s="453" t="s">
        <v>448</v>
      </c>
      <c r="D25" s="453"/>
      <c r="E25" s="453"/>
      <c r="F25" s="454">
        <v>1346322.34</v>
      </c>
      <c r="G25" s="454">
        <v>1317541.6399999999</v>
      </c>
    </row>
    <row r="26" spans="1:7" ht="33.75">
      <c r="A26" s="452" t="s">
        <v>444</v>
      </c>
      <c r="B26" s="453" t="s">
        <v>218</v>
      </c>
      <c r="C26" s="453" t="s">
        <v>448</v>
      </c>
      <c r="D26" s="453" t="s">
        <v>847</v>
      </c>
      <c r="E26" s="453"/>
      <c r="F26" s="454">
        <v>590564.93999999994</v>
      </c>
      <c r="G26" s="454">
        <v>571960.02</v>
      </c>
    </row>
    <row r="27" spans="1:7" ht="22.5">
      <c r="A27" s="455" t="s">
        <v>1165</v>
      </c>
      <c r="B27" s="456" t="s">
        <v>218</v>
      </c>
      <c r="C27" s="456" t="s">
        <v>448</v>
      </c>
      <c r="D27" s="456" t="s">
        <v>847</v>
      </c>
      <c r="E27" s="456" t="s">
        <v>440</v>
      </c>
      <c r="F27" s="457">
        <v>413377.6</v>
      </c>
      <c r="G27" s="457">
        <v>413377.6</v>
      </c>
    </row>
    <row r="28" spans="1:7" ht="22.5">
      <c r="A28" s="455" t="s">
        <v>441</v>
      </c>
      <c r="B28" s="456" t="s">
        <v>218</v>
      </c>
      <c r="C28" s="456" t="s">
        <v>448</v>
      </c>
      <c r="D28" s="456" t="s">
        <v>847</v>
      </c>
      <c r="E28" s="456" t="s">
        <v>442</v>
      </c>
      <c r="F28" s="457">
        <v>13260</v>
      </c>
      <c r="G28" s="457">
        <v>4350</v>
      </c>
    </row>
    <row r="29" spans="1:7" ht="33.75">
      <c r="A29" s="455" t="s">
        <v>1288</v>
      </c>
      <c r="B29" s="456" t="s">
        <v>218</v>
      </c>
      <c r="C29" s="456" t="s">
        <v>448</v>
      </c>
      <c r="D29" s="456" t="s">
        <v>847</v>
      </c>
      <c r="E29" s="456" t="s">
        <v>1289</v>
      </c>
      <c r="F29" s="457">
        <v>124880</v>
      </c>
      <c r="G29" s="457">
        <v>124880</v>
      </c>
    </row>
    <row r="30" spans="1:7" ht="22.5">
      <c r="A30" s="455" t="s">
        <v>445</v>
      </c>
      <c r="B30" s="456" t="s">
        <v>218</v>
      </c>
      <c r="C30" s="456" t="s">
        <v>448</v>
      </c>
      <c r="D30" s="456" t="s">
        <v>847</v>
      </c>
      <c r="E30" s="456" t="s">
        <v>446</v>
      </c>
      <c r="F30" s="457">
        <v>38793</v>
      </c>
      <c r="G30" s="457">
        <v>29098.080000000002</v>
      </c>
    </row>
    <row r="31" spans="1:7">
      <c r="A31" s="455" t="s">
        <v>1293</v>
      </c>
      <c r="B31" s="456" t="s">
        <v>218</v>
      </c>
      <c r="C31" s="456" t="s">
        <v>448</v>
      </c>
      <c r="D31" s="456" t="s">
        <v>847</v>
      </c>
      <c r="E31" s="456" t="s">
        <v>1294</v>
      </c>
      <c r="F31" s="457">
        <v>254.34</v>
      </c>
      <c r="G31" s="457">
        <v>254.34</v>
      </c>
    </row>
    <row r="32" spans="1:7" ht="33.75">
      <c r="A32" s="452" t="s">
        <v>1166</v>
      </c>
      <c r="B32" s="453" t="s">
        <v>218</v>
      </c>
      <c r="C32" s="453" t="s">
        <v>448</v>
      </c>
      <c r="D32" s="453" t="s">
        <v>1167</v>
      </c>
      <c r="E32" s="453"/>
      <c r="F32" s="454">
        <v>7493</v>
      </c>
      <c r="G32" s="454">
        <v>7493</v>
      </c>
    </row>
    <row r="33" spans="1:7" ht="22.5">
      <c r="A33" s="455" t="s">
        <v>445</v>
      </c>
      <c r="B33" s="456" t="s">
        <v>218</v>
      </c>
      <c r="C33" s="456" t="s">
        <v>448</v>
      </c>
      <c r="D33" s="456" t="s">
        <v>1167</v>
      </c>
      <c r="E33" s="456" t="s">
        <v>446</v>
      </c>
      <c r="F33" s="457">
        <v>7493</v>
      </c>
      <c r="G33" s="457">
        <v>7493</v>
      </c>
    </row>
    <row r="34" spans="1:7" ht="45">
      <c r="A34" s="452" t="s">
        <v>449</v>
      </c>
      <c r="B34" s="453" t="s">
        <v>218</v>
      </c>
      <c r="C34" s="453" t="s">
        <v>448</v>
      </c>
      <c r="D34" s="453" t="s">
        <v>851</v>
      </c>
      <c r="E34" s="453"/>
      <c r="F34" s="454">
        <v>748264.4</v>
      </c>
      <c r="G34" s="454">
        <v>738088.62</v>
      </c>
    </row>
    <row r="35" spans="1:7" ht="22.5">
      <c r="A35" s="455" t="s">
        <v>1165</v>
      </c>
      <c r="B35" s="456" t="s">
        <v>218</v>
      </c>
      <c r="C35" s="456" t="s">
        <v>448</v>
      </c>
      <c r="D35" s="456" t="s">
        <v>851</v>
      </c>
      <c r="E35" s="456" t="s">
        <v>440</v>
      </c>
      <c r="F35" s="457">
        <v>558190.4</v>
      </c>
      <c r="G35" s="457">
        <v>558127.44999999995</v>
      </c>
    </row>
    <row r="36" spans="1:7" ht="22.5">
      <c r="A36" s="455" t="s">
        <v>441</v>
      </c>
      <c r="B36" s="456" t="s">
        <v>218</v>
      </c>
      <c r="C36" s="456" t="s">
        <v>448</v>
      </c>
      <c r="D36" s="456" t="s">
        <v>851</v>
      </c>
      <c r="E36" s="456" t="s">
        <v>442</v>
      </c>
      <c r="F36" s="457">
        <v>17400</v>
      </c>
      <c r="G36" s="457">
        <v>12212.2</v>
      </c>
    </row>
    <row r="37" spans="1:7" ht="33.75">
      <c r="A37" s="455" t="s">
        <v>1288</v>
      </c>
      <c r="B37" s="456" t="s">
        <v>218</v>
      </c>
      <c r="C37" s="456" t="s">
        <v>448</v>
      </c>
      <c r="D37" s="456" t="s">
        <v>851</v>
      </c>
      <c r="E37" s="456" t="s">
        <v>1289</v>
      </c>
      <c r="F37" s="457">
        <v>172674</v>
      </c>
      <c r="G37" s="457">
        <v>167748.97</v>
      </c>
    </row>
    <row r="38" spans="1:7">
      <c r="A38" s="452" t="s">
        <v>220</v>
      </c>
      <c r="B38" s="453" t="s">
        <v>5</v>
      </c>
      <c r="C38" s="453"/>
      <c r="D38" s="453"/>
      <c r="E38" s="453"/>
      <c r="F38" s="454">
        <v>298632701.64999998</v>
      </c>
      <c r="G38" s="454">
        <v>291872559.38</v>
      </c>
    </row>
    <row r="39" spans="1:7">
      <c r="A39" s="452" t="s">
        <v>282</v>
      </c>
      <c r="B39" s="453" t="s">
        <v>5</v>
      </c>
      <c r="C39" s="453" t="s">
        <v>1598</v>
      </c>
      <c r="D39" s="453"/>
      <c r="E39" s="453"/>
      <c r="F39" s="454">
        <v>46159936.509999998</v>
      </c>
      <c r="G39" s="454">
        <v>43997543.829999998</v>
      </c>
    </row>
    <row r="40" spans="1:7" ht="33.75">
      <c r="A40" s="452" t="s">
        <v>1883</v>
      </c>
      <c r="B40" s="453" t="s">
        <v>5</v>
      </c>
      <c r="C40" s="453" t="s">
        <v>438</v>
      </c>
      <c r="D40" s="453"/>
      <c r="E40" s="453"/>
      <c r="F40" s="454">
        <v>1314246</v>
      </c>
      <c r="G40" s="454">
        <v>1257174.3899999999</v>
      </c>
    </row>
    <row r="41" spans="1:7" ht="33.75">
      <c r="A41" s="452" t="s">
        <v>439</v>
      </c>
      <c r="B41" s="453" t="s">
        <v>5</v>
      </c>
      <c r="C41" s="453" t="s">
        <v>438</v>
      </c>
      <c r="D41" s="453" t="s">
        <v>853</v>
      </c>
      <c r="E41" s="453"/>
      <c r="F41" s="454">
        <v>1314246</v>
      </c>
      <c r="G41" s="454">
        <v>1257174.3899999999</v>
      </c>
    </row>
    <row r="42" spans="1:7" ht="22.5">
      <c r="A42" s="455" t="s">
        <v>1165</v>
      </c>
      <c r="B42" s="456" t="s">
        <v>5</v>
      </c>
      <c r="C42" s="456" t="s">
        <v>438</v>
      </c>
      <c r="D42" s="456" t="s">
        <v>853</v>
      </c>
      <c r="E42" s="456" t="s">
        <v>440</v>
      </c>
      <c r="F42" s="457">
        <v>973860</v>
      </c>
      <c r="G42" s="457">
        <v>919660.39</v>
      </c>
    </row>
    <row r="43" spans="1:7" ht="22.5">
      <c r="A43" s="455" t="s">
        <v>441</v>
      </c>
      <c r="B43" s="456" t="s">
        <v>5</v>
      </c>
      <c r="C43" s="456" t="s">
        <v>438</v>
      </c>
      <c r="D43" s="456" t="s">
        <v>853</v>
      </c>
      <c r="E43" s="456" t="s">
        <v>442</v>
      </c>
      <c r="F43" s="457">
        <v>81400</v>
      </c>
      <c r="G43" s="457">
        <v>78528</v>
      </c>
    </row>
    <row r="44" spans="1:7" ht="33.75">
      <c r="A44" s="455" t="s">
        <v>1288</v>
      </c>
      <c r="B44" s="456" t="s">
        <v>5</v>
      </c>
      <c r="C44" s="456" t="s">
        <v>438</v>
      </c>
      <c r="D44" s="456" t="s">
        <v>853</v>
      </c>
      <c r="E44" s="456" t="s">
        <v>1289</v>
      </c>
      <c r="F44" s="457">
        <v>258986</v>
      </c>
      <c r="G44" s="457">
        <v>258986</v>
      </c>
    </row>
    <row r="45" spans="1:7" ht="45">
      <c r="A45" s="452" t="s">
        <v>284</v>
      </c>
      <c r="B45" s="453" t="s">
        <v>5</v>
      </c>
      <c r="C45" s="453" t="s">
        <v>450</v>
      </c>
      <c r="D45" s="453"/>
      <c r="E45" s="453"/>
      <c r="F45" s="454">
        <v>44581090.509999998</v>
      </c>
      <c r="G45" s="454">
        <v>42475950.710000001</v>
      </c>
    </row>
    <row r="46" spans="1:7" ht="67.5">
      <c r="A46" s="458" t="s">
        <v>2581</v>
      </c>
      <c r="B46" s="453" t="s">
        <v>5</v>
      </c>
      <c r="C46" s="453" t="s">
        <v>450</v>
      </c>
      <c r="D46" s="453" t="s">
        <v>854</v>
      </c>
      <c r="E46" s="453"/>
      <c r="F46" s="454">
        <v>57691.51</v>
      </c>
      <c r="G46" s="454">
        <v>57691.51</v>
      </c>
    </row>
    <row r="47" spans="1:7" ht="22.5">
      <c r="A47" s="455" t="s">
        <v>445</v>
      </c>
      <c r="B47" s="456" t="s">
        <v>5</v>
      </c>
      <c r="C47" s="456" t="s">
        <v>450</v>
      </c>
      <c r="D47" s="456" t="s">
        <v>854</v>
      </c>
      <c r="E47" s="456" t="s">
        <v>446</v>
      </c>
      <c r="F47" s="457">
        <v>57691.51</v>
      </c>
      <c r="G47" s="457">
        <v>57691.51</v>
      </c>
    </row>
    <row r="48" spans="1:7" ht="33.75">
      <c r="A48" s="452" t="s">
        <v>444</v>
      </c>
      <c r="B48" s="453" t="s">
        <v>5</v>
      </c>
      <c r="C48" s="453" t="s">
        <v>450</v>
      </c>
      <c r="D48" s="453" t="s">
        <v>847</v>
      </c>
      <c r="E48" s="453"/>
      <c r="F48" s="454">
        <v>31090223.309999999</v>
      </c>
      <c r="G48" s="454">
        <v>29903223.199999999</v>
      </c>
    </row>
    <row r="49" spans="1:7" ht="22.5">
      <c r="A49" s="455" t="s">
        <v>1165</v>
      </c>
      <c r="B49" s="456" t="s">
        <v>5</v>
      </c>
      <c r="C49" s="456" t="s">
        <v>450</v>
      </c>
      <c r="D49" s="456" t="s">
        <v>847</v>
      </c>
      <c r="E49" s="456" t="s">
        <v>440</v>
      </c>
      <c r="F49" s="457">
        <v>17516955.68</v>
      </c>
      <c r="G49" s="457">
        <v>17362791.050000001</v>
      </c>
    </row>
    <row r="50" spans="1:7" ht="22.5">
      <c r="A50" s="455" t="s">
        <v>441</v>
      </c>
      <c r="B50" s="456" t="s">
        <v>5</v>
      </c>
      <c r="C50" s="456" t="s">
        <v>450</v>
      </c>
      <c r="D50" s="456" t="s">
        <v>847</v>
      </c>
      <c r="E50" s="456" t="s">
        <v>442</v>
      </c>
      <c r="F50" s="457">
        <v>578929.41</v>
      </c>
      <c r="G50" s="457">
        <v>549736.69999999995</v>
      </c>
    </row>
    <row r="51" spans="1:7" ht="33.75">
      <c r="A51" s="455" t="s">
        <v>1288</v>
      </c>
      <c r="B51" s="456" t="s">
        <v>5</v>
      </c>
      <c r="C51" s="456" t="s">
        <v>450</v>
      </c>
      <c r="D51" s="456" t="s">
        <v>847</v>
      </c>
      <c r="E51" s="456" t="s">
        <v>1289</v>
      </c>
      <c r="F51" s="457">
        <v>5290120.9000000004</v>
      </c>
      <c r="G51" s="457">
        <v>5034609.4000000004</v>
      </c>
    </row>
    <row r="52" spans="1:7" ht="22.5">
      <c r="A52" s="455" t="s">
        <v>445</v>
      </c>
      <c r="B52" s="456" t="s">
        <v>5</v>
      </c>
      <c r="C52" s="456" t="s">
        <v>450</v>
      </c>
      <c r="D52" s="456" t="s">
        <v>847</v>
      </c>
      <c r="E52" s="456" t="s">
        <v>446</v>
      </c>
      <c r="F52" s="457">
        <v>7409148.6699999999</v>
      </c>
      <c r="G52" s="457">
        <v>6676812.2400000002</v>
      </c>
    </row>
    <row r="53" spans="1:7">
      <c r="A53" s="455" t="s">
        <v>1168</v>
      </c>
      <c r="B53" s="456" t="s">
        <v>5</v>
      </c>
      <c r="C53" s="456" t="s">
        <v>450</v>
      </c>
      <c r="D53" s="456" t="s">
        <v>847</v>
      </c>
      <c r="E53" s="456" t="s">
        <v>626</v>
      </c>
      <c r="F53" s="457">
        <v>2000</v>
      </c>
      <c r="G53" s="457">
        <v>2000</v>
      </c>
    </row>
    <row r="54" spans="1:7">
      <c r="A54" s="455" t="s">
        <v>1293</v>
      </c>
      <c r="B54" s="456" t="s">
        <v>5</v>
      </c>
      <c r="C54" s="456" t="s">
        <v>450</v>
      </c>
      <c r="D54" s="456" t="s">
        <v>847</v>
      </c>
      <c r="E54" s="456" t="s">
        <v>1294</v>
      </c>
      <c r="F54" s="457">
        <v>293068.65000000002</v>
      </c>
      <c r="G54" s="457">
        <v>277273.81</v>
      </c>
    </row>
    <row r="55" spans="1:7" ht="67.5">
      <c r="A55" s="452" t="s">
        <v>725</v>
      </c>
      <c r="B55" s="453" t="s">
        <v>5</v>
      </c>
      <c r="C55" s="453" t="s">
        <v>450</v>
      </c>
      <c r="D55" s="453" t="s">
        <v>857</v>
      </c>
      <c r="E55" s="453"/>
      <c r="F55" s="454">
        <v>869781</v>
      </c>
      <c r="G55" s="454">
        <v>869781</v>
      </c>
    </row>
    <row r="56" spans="1:7" ht="22.5">
      <c r="A56" s="455" t="s">
        <v>1165</v>
      </c>
      <c r="B56" s="456" t="s">
        <v>5</v>
      </c>
      <c r="C56" s="456" t="s">
        <v>450</v>
      </c>
      <c r="D56" s="456" t="s">
        <v>857</v>
      </c>
      <c r="E56" s="456" t="s">
        <v>440</v>
      </c>
      <c r="F56" s="457">
        <v>668035</v>
      </c>
      <c r="G56" s="457">
        <v>668035</v>
      </c>
    </row>
    <row r="57" spans="1:7" ht="33.75">
      <c r="A57" s="455" t="s">
        <v>1288</v>
      </c>
      <c r="B57" s="456" t="s">
        <v>5</v>
      </c>
      <c r="C57" s="456" t="s">
        <v>450</v>
      </c>
      <c r="D57" s="456" t="s">
        <v>857</v>
      </c>
      <c r="E57" s="456" t="s">
        <v>1289</v>
      </c>
      <c r="F57" s="457">
        <v>201746</v>
      </c>
      <c r="G57" s="457">
        <v>201746</v>
      </c>
    </row>
    <row r="58" spans="1:7" ht="45">
      <c r="A58" s="452" t="s">
        <v>723</v>
      </c>
      <c r="B58" s="453" t="s">
        <v>5</v>
      </c>
      <c r="C58" s="453" t="s">
        <v>450</v>
      </c>
      <c r="D58" s="453" t="s">
        <v>848</v>
      </c>
      <c r="E58" s="453"/>
      <c r="F58" s="454">
        <v>945904.27</v>
      </c>
      <c r="G58" s="454">
        <v>904267.73</v>
      </c>
    </row>
    <row r="59" spans="1:7" ht="22.5">
      <c r="A59" s="455" t="s">
        <v>441</v>
      </c>
      <c r="B59" s="456" t="s">
        <v>5</v>
      </c>
      <c r="C59" s="456" t="s">
        <v>450</v>
      </c>
      <c r="D59" s="456" t="s">
        <v>848</v>
      </c>
      <c r="E59" s="456" t="s">
        <v>442</v>
      </c>
      <c r="F59" s="457">
        <v>945904.27</v>
      </c>
      <c r="G59" s="457">
        <v>904267.73</v>
      </c>
    </row>
    <row r="60" spans="1:7" ht="56.25">
      <c r="A60" s="452" t="s">
        <v>726</v>
      </c>
      <c r="B60" s="453" t="s">
        <v>5</v>
      </c>
      <c r="C60" s="453" t="s">
        <v>450</v>
      </c>
      <c r="D60" s="453" t="s">
        <v>858</v>
      </c>
      <c r="E60" s="453"/>
      <c r="F60" s="454">
        <v>5475168</v>
      </c>
      <c r="G60" s="454">
        <v>4792644.3600000003</v>
      </c>
    </row>
    <row r="61" spans="1:7" ht="22.5">
      <c r="A61" s="455" t="s">
        <v>1165</v>
      </c>
      <c r="B61" s="456" t="s">
        <v>5</v>
      </c>
      <c r="C61" s="456" t="s">
        <v>450</v>
      </c>
      <c r="D61" s="456" t="s">
        <v>858</v>
      </c>
      <c r="E61" s="456" t="s">
        <v>440</v>
      </c>
      <c r="F61" s="457">
        <v>4205198</v>
      </c>
      <c r="G61" s="457">
        <v>3647850.4</v>
      </c>
    </row>
    <row r="62" spans="1:7" ht="33.75">
      <c r="A62" s="455" t="s">
        <v>1288</v>
      </c>
      <c r="B62" s="456" t="s">
        <v>5</v>
      </c>
      <c r="C62" s="456" t="s">
        <v>450</v>
      </c>
      <c r="D62" s="456" t="s">
        <v>858</v>
      </c>
      <c r="E62" s="456" t="s">
        <v>1289</v>
      </c>
      <c r="F62" s="457">
        <v>1269970</v>
      </c>
      <c r="G62" s="457">
        <v>1144793.96</v>
      </c>
    </row>
    <row r="63" spans="1:7" ht="33.75">
      <c r="A63" s="452" t="s">
        <v>1169</v>
      </c>
      <c r="B63" s="453" t="s">
        <v>5</v>
      </c>
      <c r="C63" s="453" t="s">
        <v>450</v>
      </c>
      <c r="D63" s="453" t="s">
        <v>1170</v>
      </c>
      <c r="E63" s="453"/>
      <c r="F63" s="454">
        <v>2417921</v>
      </c>
      <c r="G63" s="454">
        <v>2321124.87</v>
      </c>
    </row>
    <row r="64" spans="1:7" ht="22.5">
      <c r="A64" s="455" t="s">
        <v>445</v>
      </c>
      <c r="B64" s="456" t="s">
        <v>5</v>
      </c>
      <c r="C64" s="456" t="s">
        <v>450</v>
      </c>
      <c r="D64" s="456" t="s">
        <v>1170</v>
      </c>
      <c r="E64" s="456" t="s">
        <v>446</v>
      </c>
      <c r="F64" s="457">
        <v>2417921</v>
      </c>
      <c r="G64" s="457">
        <v>2321124.87</v>
      </c>
    </row>
    <row r="65" spans="1:7" ht="33.75">
      <c r="A65" s="452" t="s">
        <v>1166</v>
      </c>
      <c r="B65" s="453" t="s">
        <v>5</v>
      </c>
      <c r="C65" s="453" t="s">
        <v>450</v>
      </c>
      <c r="D65" s="453" t="s">
        <v>1167</v>
      </c>
      <c r="E65" s="453"/>
      <c r="F65" s="454">
        <v>637406.42000000004</v>
      </c>
      <c r="G65" s="454">
        <v>627021</v>
      </c>
    </row>
    <row r="66" spans="1:7" ht="22.5">
      <c r="A66" s="455" t="s">
        <v>445</v>
      </c>
      <c r="B66" s="456" t="s">
        <v>5</v>
      </c>
      <c r="C66" s="456" t="s">
        <v>450</v>
      </c>
      <c r="D66" s="456" t="s">
        <v>1167</v>
      </c>
      <c r="E66" s="456" t="s">
        <v>446</v>
      </c>
      <c r="F66" s="457">
        <v>637406.42000000004</v>
      </c>
      <c r="G66" s="457">
        <v>627021</v>
      </c>
    </row>
    <row r="67" spans="1:7" ht="22.5">
      <c r="A67" s="452" t="s">
        <v>1438</v>
      </c>
      <c r="B67" s="453" t="s">
        <v>5</v>
      </c>
      <c r="C67" s="453" t="s">
        <v>450</v>
      </c>
      <c r="D67" s="453" t="s">
        <v>1439</v>
      </c>
      <c r="E67" s="453"/>
      <c r="F67" s="454">
        <v>750540</v>
      </c>
      <c r="G67" s="454">
        <v>744403.99</v>
      </c>
    </row>
    <row r="68" spans="1:7" ht="22.5">
      <c r="A68" s="455" t="s">
        <v>445</v>
      </c>
      <c r="B68" s="456" t="s">
        <v>5</v>
      </c>
      <c r="C68" s="456" t="s">
        <v>450</v>
      </c>
      <c r="D68" s="456" t="s">
        <v>1439</v>
      </c>
      <c r="E68" s="456" t="s">
        <v>446</v>
      </c>
      <c r="F68" s="457">
        <v>750540</v>
      </c>
      <c r="G68" s="457">
        <v>744403.99</v>
      </c>
    </row>
    <row r="69" spans="1:7" ht="67.5">
      <c r="A69" s="452" t="s">
        <v>452</v>
      </c>
      <c r="B69" s="453" t="s">
        <v>5</v>
      </c>
      <c r="C69" s="453" t="s">
        <v>450</v>
      </c>
      <c r="D69" s="453" t="s">
        <v>855</v>
      </c>
      <c r="E69" s="453"/>
      <c r="F69" s="454">
        <v>524300</v>
      </c>
      <c r="G69" s="454">
        <v>522749.83</v>
      </c>
    </row>
    <row r="70" spans="1:7" ht="22.5">
      <c r="A70" s="455" t="s">
        <v>1165</v>
      </c>
      <c r="B70" s="456" t="s">
        <v>5</v>
      </c>
      <c r="C70" s="456" t="s">
        <v>450</v>
      </c>
      <c r="D70" s="456" t="s">
        <v>855</v>
      </c>
      <c r="E70" s="456" t="s">
        <v>440</v>
      </c>
      <c r="F70" s="457">
        <v>370964</v>
      </c>
      <c r="G70" s="457">
        <v>370964</v>
      </c>
    </row>
    <row r="71" spans="1:7" ht="22.5">
      <c r="A71" s="455" t="s">
        <v>441</v>
      </c>
      <c r="B71" s="456" t="s">
        <v>5</v>
      </c>
      <c r="C71" s="456" t="s">
        <v>450</v>
      </c>
      <c r="D71" s="456" t="s">
        <v>855</v>
      </c>
      <c r="E71" s="456" t="s">
        <v>442</v>
      </c>
      <c r="F71" s="457">
        <v>6100</v>
      </c>
      <c r="G71" s="457">
        <v>4550</v>
      </c>
    </row>
    <row r="72" spans="1:7" ht="33.75">
      <c r="A72" s="455" t="s">
        <v>1288</v>
      </c>
      <c r="B72" s="456" t="s">
        <v>5</v>
      </c>
      <c r="C72" s="456" t="s">
        <v>450</v>
      </c>
      <c r="D72" s="456" t="s">
        <v>855</v>
      </c>
      <c r="E72" s="456" t="s">
        <v>1289</v>
      </c>
      <c r="F72" s="457">
        <v>112031</v>
      </c>
      <c r="G72" s="457">
        <v>112031</v>
      </c>
    </row>
    <row r="73" spans="1:7" ht="22.5">
      <c r="A73" s="455" t="s">
        <v>445</v>
      </c>
      <c r="B73" s="456" t="s">
        <v>5</v>
      </c>
      <c r="C73" s="456" t="s">
        <v>450</v>
      </c>
      <c r="D73" s="456" t="s">
        <v>855</v>
      </c>
      <c r="E73" s="456" t="s">
        <v>446</v>
      </c>
      <c r="F73" s="457">
        <v>35205</v>
      </c>
      <c r="G73" s="457">
        <v>35204.83</v>
      </c>
    </row>
    <row r="74" spans="1:7" ht="56.25">
      <c r="A74" s="452" t="s">
        <v>453</v>
      </c>
      <c r="B74" s="453" t="s">
        <v>5</v>
      </c>
      <c r="C74" s="453" t="s">
        <v>450</v>
      </c>
      <c r="D74" s="453" t="s">
        <v>856</v>
      </c>
      <c r="E74" s="453"/>
      <c r="F74" s="454">
        <v>1024000</v>
      </c>
      <c r="G74" s="454">
        <v>944888.22</v>
      </c>
    </row>
    <row r="75" spans="1:7" ht="22.5">
      <c r="A75" s="455" t="s">
        <v>1165</v>
      </c>
      <c r="B75" s="456" t="s">
        <v>5</v>
      </c>
      <c r="C75" s="456" t="s">
        <v>450</v>
      </c>
      <c r="D75" s="456" t="s">
        <v>856</v>
      </c>
      <c r="E75" s="456" t="s">
        <v>440</v>
      </c>
      <c r="F75" s="457">
        <v>741928</v>
      </c>
      <c r="G75" s="457">
        <v>664193.82999999996</v>
      </c>
    </row>
    <row r="76" spans="1:7" ht="22.5">
      <c r="A76" s="455" t="s">
        <v>441</v>
      </c>
      <c r="B76" s="456" t="s">
        <v>5</v>
      </c>
      <c r="C76" s="456" t="s">
        <v>450</v>
      </c>
      <c r="D76" s="456" t="s">
        <v>856</v>
      </c>
      <c r="E76" s="456" t="s">
        <v>442</v>
      </c>
      <c r="F76" s="457">
        <v>6600</v>
      </c>
      <c r="G76" s="457">
        <v>6600</v>
      </c>
    </row>
    <row r="77" spans="1:7" ht="33.75">
      <c r="A77" s="455" t="s">
        <v>1288</v>
      </c>
      <c r="B77" s="456" t="s">
        <v>5</v>
      </c>
      <c r="C77" s="456" t="s">
        <v>450</v>
      </c>
      <c r="D77" s="456" t="s">
        <v>856</v>
      </c>
      <c r="E77" s="456" t="s">
        <v>1289</v>
      </c>
      <c r="F77" s="457">
        <v>224062</v>
      </c>
      <c r="G77" s="457">
        <v>222719.21</v>
      </c>
    </row>
    <row r="78" spans="1:7" ht="22.5">
      <c r="A78" s="455" t="s">
        <v>445</v>
      </c>
      <c r="B78" s="456" t="s">
        <v>5</v>
      </c>
      <c r="C78" s="456" t="s">
        <v>450</v>
      </c>
      <c r="D78" s="456" t="s">
        <v>856</v>
      </c>
      <c r="E78" s="456" t="s">
        <v>446</v>
      </c>
      <c r="F78" s="457">
        <v>51410</v>
      </c>
      <c r="G78" s="457">
        <v>51375.18</v>
      </c>
    </row>
    <row r="79" spans="1:7" ht="67.5">
      <c r="A79" s="452" t="s">
        <v>2004</v>
      </c>
      <c r="B79" s="453" t="s">
        <v>5</v>
      </c>
      <c r="C79" s="453" t="s">
        <v>450</v>
      </c>
      <c r="D79" s="453" t="s">
        <v>2005</v>
      </c>
      <c r="E79" s="453"/>
      <c r="F79" s="454">
        <v>305160</v>
      </c>
      <c r="G79" s="454">
        <v>305160</v>
      </c>
    </row>
    <row r="80" spans="1:7" ht="22.5">
      <c r="A80" s="455" t="s">
        <v>1165</v>
      </c>
      <c r="B80" s="456" t="s">
        <v>5</v>
      </c>
      <c r="C80" s="456" t="s">
        <v>450</v>
      </c>
      <c r="D80" s="456" t="s">
        <v>2005</v>
      </c>
      <c r="E80" s="456" t="s">
        <v>440</v>
      </c>
      <c r="F80" s="457">
        <v>234380</v>
      </c>
      <c r="G80" s="457">
        <v>234380</v>
      </c>
    </row>
    <row r="81" spans="1:7" ht="33.75">
      <c r="A81" s="455" t="s">
        <v>1288</v>
      </c>
      <c r="B81" s="456" t="s">
        <v>5</v>
      </c>
      <c r="C81" s="456" t="s">
        <v>450</v>
      </c>
      <c r="D81" s="456" t="s">
        <v>2005</v>
      </c>
      <c r="E81" s="456" t="s">
        <v>1289</v>
      </c>
      <c r="F81" s="457">
        <v>70780</v>
      </c>
      <c r="G81" s="457">
        <v>70780</v>
      </c>
    </row>
    <row r="82" spans="1:7" ht="67.5">
      <c r="A82" s="458" t="s">
        <v>2582</v>
      </c>
      <c r="B82" s="453" t="s">
        <v>5</v>
      </c>
      <c r="C82" s="453" t="s">
        <v>450</v>
      </c>
      <c r="D82" s="453" t="s">
        <v>859</v>
      </c>
      <c r="E82" s="453"/>
      <c r="F82" s="454">
        <v>482995</v>
      </c>
      <c r="G82" s="454">
        <v>482995</v>
      </c>
    </row>
    <row r="83" spans="1:7" ht="22.5">
      <c r="A83" s="455" t="s">
        <v>1165</v>
      </c>
      <c r="B83" s="456" t="s">
        <v>5</v>
      </c>
      <c r="C83" s="456" t="s">
        <v>450</v>
      </c>
      <c r="D83" s="456" t="s">
        <v>859</v>
      </c>
      <c r="E83" s="456" t="s">
        <v>440</v>
      </c>
      <c r="F83" s="457">
        <v>370965</v>
      </c>
      <c r="G83" s="457">
        <v>370965</v>
      </c>
    </row>
    <row r="84" spans="1:7" ht="33.75">
      <c r="A84" s="455" t="s">
        <v>1288</v>
      </c>
      <c r="B84" s="456" t="s">
        <v>5</v>
      </c>
      <c r="C84" s="456" t="s">
        <v>450</v>
      </c>
      <c r="D84" s="456" t="s">
        <v>859</v>
      </c>
      <c r="E84" s="456" t="s">
        <v>1289</v>
      </c>
      <c r="F84" s="457">
        <v>112030</v>
      </c>
      <c r="G84" s="457">
        <v>112030</v>
      </c>
    </row>
    <row r="85" spans="1:7">
      <c r="A85" s="452" t="s">
        <v>265</v>
      </c>
      <c r="B85" s="453" t="s">
        <v>5</v>
      </c>
      <c r="C85" s="453" t="s">
        <v>454</v>
      </c>
      <c r="D85" s="453"/>
      <c r="E85" s="453"/>
      <c r="F85" s="454">
        <v>264600</v>
      </c>
      <c r="G85" s="454">
        <v>264418.73</v>
      </c>
    </row>
    <row r="86" spans="1:7" ht="67.5">
      <c r="A86" s="458" t="s">
        <v>2583</v>
      </c>
      <c r="B86" s="453" t="s">
        <v>5</v>
      </c>
      <c r="C86" s="453" t="s">
        <v>454</v>
      </c>
      <c r="D86" s="453" t="s">
        <v>1730</v>
      </c>
      <c r="E86" s="453"/>
      <c r="F86" s="454">
        <v>20000</v>
      </c>
      <c r="G86" s="454">
        <v>19818.73</v>
      </c>
    </row>
    <row r="87" spans="1:7" ht="22.5">
      <c r="A87" s="455" t="s">
        <v>445</v>
      </c>
      <c r="B87" s="456" t="s">
        <v>5</v>
      </c>
      <c r="C87" s="456" t="s">
        <v>454</v>
      </c>
      <c r="D87" s="456" t="s">
        <v>1730</v>
      </c>
      <c r="E87" s="456" t="s">
        <v>446</v>
      </c>
      <c r="F87" s="457">
        <v>20000</v>
      </c>
      <c r="G87" s="457">
        <v>19818.73</v>
      </c>
    </row>
    <row r="88" spans="1:7" ht="67.5">
      <c r="A88" s="452" t="s">
        <v>671</v>
      </c>
      <c r="B88" s="453" t="s">
        <v>5</v>
      </c>
      <c r="C88" s="453" t="s">
        <v>454</v>
      </c>
      <c r="D88" s="453" t="s">
        <v>862</v>
      </c>
      <c r="E88" s="453"/>
      <c r="F88" s="454">
        <v>55000</v>
      </c>
      <c r="G88" s="454">
        <v>55000</v>
      </c>
    </row>
    <row r="89" spans="1:7" ht="22.5">
      <c r="A89" s="455" t="s">
        <v>1165</v>
      </c>
      <c r="B89" s="456" t="s">
        <v>5</v>
      </c>
      <c r="C89" s="456" t="s">
        <v>454</v>
      </c>
      <c r="D89" s="456" t="s">
        <v>862</v>
      </c>
      <c r="E89" s="456" t="s">
        <v>440</v>
      </c>
      <c r="F89" s="457">
        <v>40169</v>
      </c>
      <c r="G89" s="457">
        <v>40169</v>
      </c>
    </row>
    <row r="90" spans="1:7" ht="33.75">
      <c r="A90" s="455" t="s">
        <v>1288</v>
      </c>
      <c r="B90" s="456" t="s">
        <v>5</v>
      </c>
      <c r="C90" s="456" t="s">
        <v>454</v>
      </c>
      <c r="D90" s="456" t="s">
        <v>862</v>
      </c>
      <c r="E90" s="456" t="s">
        <v>1289</v>
      </c>
      <c r="F90" s="457">
        <v>12131</v>
      </c>
      <c r="G90" s="457">
        <v>12131</v>
      </c>
    </row>
    <row r="91" spans="1:7" ht="22.5">
      <c r="A91" s="455" t="s">
        <v>445</v>
      </c>
      <c r="B91" s="456" t="s">
        <v>5</v>
      </c>
      <c r="C91" s="456" t="s">
        <v>454</v>
      </c>
      <c r="D91" s="456" t="s">
        <v>862</v>
      </c>
      <c r="E91" s="456" t="s">
        <v>446</v>
      </c>
      <c r="F91" s="457">
        <v>2700</v>
      </c>
      <c r="G91" s="457">
        <v>2700</v>
      </c>
    </row>
    <row r="92" spans="1:7" ht="33.75">
      <c r="A92" s="452" t="s">
        <v>455</v>
      </c>
      <c r="B92" s="453" t="s">
        <v>5</v>
      </c>
      <c r="C92" s="453" t="s">
        <v>454</v>
      </c>
      <c r="D92" s="453" t="s">
        <v>863</v>
      </c>
      <c r="E92" s="453"/>
      <c r="F92" s="454">
        <v>69600</v>
      </c>
      <c r="G92" s="454">
        <v>69600</v>
      </c>
    </row>
    <row r="93" spans="1:7" ht="22.5">
      <c r="A93" s="455" t="s">
        <v>1165</v>
      </c>
      <c r="B93" s="456" t="s">
        <v>5</v>
      </c>
      <c r="C93" s="456" t="s">
        <v>454</v>
      </c>
      <c r="D93" s="456" t="s">
        <v>863</v>
      </c>
      <c r="E93" s="456" t="s">
        <v>440</v>
      </c>
      <c r="F93" s="457">
        <v>44218</v>
      </c>
      <c r="G93" s="457">
        <v>44218</v>
      </c>
    </row>
    <row r="94" spans="1:7" ht="33.75">
      <c r="A94" s="455" t="s">
        <v>1288</v>
      </c>
      <c r="B94" s="456" t="s">
        <v>5</v>
      </c>
      <c r="C94" s="456" t="s">
        <v>454</v>
      </c>
      <c r="D94" s="456" t="s">
        <v>863</v>
      </c>
      <c r="E94" s="456" t="s">
        <v>1289</v>
      </c>
      <c r="F94" s="457">
        <v>13354</v>
      </c>
      <c r="G94" s="457">
        <v>13354</v>
      </c>
    </row>
    <row r="95" spans="1:7" ht="22.5">
      <c r="A95" s="455" t="s">
        <v>445</v>
      </c>
      <c r="B95" s="456" t="s">
        <v>5</v>
      </c>
      <c r="C95" s="456" t="s">
        <v>454</v>
      </c>
      <c r="D95" s="456" t="s">
        <v>863</v>
      </c>
      <c r="E95" s="456" t="s">
        <v>446</v>
      </c>
      <c r="F95" s="457">
        <v>12028</v>
      </c>
      <c r="G95" s="457">
        <v>12028</v>
      </c>
    </row>
    <row r="96" spans="1:7" ht="45">
      <c r="A96" s="452" t="s">
        <v>629</v>
      </c>
      <c r="B96" s="453" t="s">
        <v>5</v>
      </c>
      <c r="C96" s="453" t="s">
        <v>454</v>
      </c>
      <c r="D96" s="453" t="s">
        <v>864</v>
      </c>
      <c r="E96" s="453"/>
      <c r="F96" s="454">
        <v>120000</v>
      </c>
      <c r="G96" s="454">
        <v>120000</v>
      </c>
    </row>
    <row r="97" spans="1:7" ht="22.5">
      <c r="A97" s="455" t="s">
        <v>456</v>
      </c>
      <c r="B97" s="456" t="s">
        <v>5</v>
      </c>
      <c r="C97" s="456" t="s">
        <v>454</v>
      </c>
      <c r="D97" s="456" t="s">
        <v>864</v>
      </c>
      <c r="E97" s="456" t="s">
        <v>457</v>
      </c>
      <c r="F97" s="457">
        <v>120000</v>
      </c>
      <c r="G97" s="457">
        <v>120000</v>
      </c>
    </row>
    <row r="98" spans="1:7" ht="22.5">
      <c r="A98" s="452" t="s">
        <v>286</v>
      </c>
      <c r="B98" s="453" t="s">
        <v>5</v>
      </c>
      <c r="C98" s="453" t="s">
        <v>1602</v>
      </c>
      <c r="D98" s="453"/>
      <c r="E98" s="453"/>
      <c r="F98" s="454">
        <v>3146165.49</v>
      </c>
      <c r="G98" s="454">
        <v>2346329.79</v>
      </c>
    </row>
    <row r="99" spans="1:7" ht="33.75">
      <c r="A99" s="452" t="s">
        <v>311</v>
      </c>
      <c r="B99" s="453" t="s">
        <v>5</v>
      </c>
      <c r="C99" s="453" t="s">
        <v>458</v>
      </c>
      <c r="D99" s="453"/>
      <c r="E99" s="453"/>
      <c r="F99" s="454">
        <v>3031115.04</v>
      </c>
      <c r="G99" s="454">
        <v>2259804.34</v>
      </c>
    </row>
    <row r="100" spans="1:7" ht="67.5">
      <c r="A100" s="458" t="s">
        <v>2584</v>
      </c>
      <c r="B100" s="453" t="s">
        <v>5</v>
      </c>
      <c r="C100" s="453" t="s">
        <v>458</v>
      </c>
      <c r="D100" s="453" t="s">
        <v>865</v>
      </c>
      <c r="E100" s="453"/>
      <c r="F100" s="454">
        <v>2506297.04</v>
      </c>
      <c r="G100" s="454">
        <v>1958988.19</v>
      </c>
    </row>
    <row r="101" spans="1:7">
      <c r="A101" s="455" t="s">
        <v>1603</v>
      </c>
      <c r="B101" s="456" t="s">
        <v>5</v>
      </c>
      <c r="C101" s="456" t="s">
        <v>458</v>
      </c>
      <c r="D101" s="456" t="s">
        <v>865</v>
      </c>
      <c r="E101" s="456" t="s">
        <v>460</v>
      </c>
      <c r="F101" s="457">
        <v>1863680.4</v>
      </c>
      <c r="G101" s="457">
        <v>1437666.11</v>
      </c>
    </row>
    <row r="102" spans="1:7" ht="33.75">
      <c r="A102" s="455" t="s">
        <v>1604</v>
      </c>
      <c r="B102" s="456" t="s">
        <v>5</v>
      </c>
      <c r="C102" s="456" t="s">
        <v>458</v>
      </c>
      <c r="D102" s="456" t="s">
        <v>865</v>
      </c>
      <c r="E102" s="456" t="s">
        <v>1290</v>
      </c>
      <c r="F102" s="457">
        <v>562799.6</v>
      </c>
      <c r="G102" s="457">
        <v>442356.08</v>
      </c>
    </row>
    <row r="103" spans="1:7" ht="22.5">
      <c r="A103" s="455" t="s">
        <v>445</v>
      </c>
      <c r="B103" s="456" t="s">
        <v>5</v>
      </c>
      <c r="C103" s="456" t="s">
        <v>458</v>
      </c>
      <c r="D103" s="456" t="s">
        <v>865</v>
      </c>
      <c r="E103" s="456" t="s">
        <v>446</v>
      </c>
      <c r="F103" s="457">
        <v>79817.039999999994</v>
      </c>
      <c r="G103" s="457">
        <v>78966</v>
      </c>
    </row>
    <row r="104" spans="1:7" ht="67.5">
      <c r="A104" s="458" t="s">
        <v>2585</v>
      </c>
      <c r="B104" s="453" t="s">
        <v>5</v>
      </c>
      <c r="C104" s="453" t="s">
        <v>458</v>
      </c>
      <c r="D104" s="453" t="s">
        <v>866</v>
      </c>
      <c r="E104" s="453"/>
      <c r="F104" s="454">
        <v>181048</v>
      </c>
      <c r="G104" s="454">
        <v>181048</v>
      </c>
    </row>
    <row r="105" spans="1:7">
      <c r="A105" s="455" t="s">
        <v>1603</v>
      </c>
      <c r="B105" s="456" t="s">
        <v>5</v>
      </c>
      <c r="C105" s="456" t="s">
        <v>458</v>
      </c>
      <c r="D105" s="456" t="s">
        <v>866</v>
      </c>
      <c r="E105" s="456" t="s">
        <v>460</v>
      </c>
      <c r="F105" s="457">
        <v>139053.6</v>
      </c>
      <c r="G105" s="457">
        <v>139053.6</v>
      </c>
    </row>
    <row r="106" spans="1:7" ht="33.75">
      <c r="A106" s="455" t="s">
        <v>1604</v>
      </c>
      <c r="B106" s="456" t="s">
        <v>5</v>
      </c>
      <c r="C106" s="456" t="s">
        <v>458</v>
      </c>
      <c r="D106" s="456" t="s">
        <v>866</v>
      </c>
      <c r="E106" s="456" t="s">
        <v>1290</v>
      </c>
      <c r="F106" s="457">
        <v>41994.400000000001</v>
      </c>
      <c r="G106" s="457">
        <v>41994.400000000001</v>
      </c>
    </row>
    <row r="107" spans="1:7" ht="67.5">
      <c r="A107" s="458" t="s">
        <v>2586</v>
      </c>
      <c r="B107" s="453" t="s">
        <v>5</v>
      </c>
      <c r="C107" s="453" t="s">
        <v>458</v>
      </c>
      <c r="D107" s="453" t="s">
        <v>1732</v>
      </c>
      <c r="E107" s="453"/>
      <c r="F107" s="454">
        <v>343400</v>
      </c>
      <c r="G107" s="454">
        <v>119398.15</v>
      </c>
    </row>
    <row r="108" spans="1:7">
      <c r="A108" s="455" t="s">
        <v>1603</v>
      </c>
      <c r="B108" s="456" t="s">
        <v>5</v>
      </c>
      <c r="C108" s="456" t="s">
        <v>458</v>
      </c>
      <c r="D108" s="456" t="s">
        <v>1732</v>
      </c>
      <c r="E108" s="456" t="s">
        <v>460</v>
      </c>
      <c r="F108" s="457">
        <v>171582.58</v>
      </c>
      <c r="G108" s="457">
        <v>0</v>
      </c>
    </row>
    <row r="109" spans="1:7" ht="33.75">
      <c r="A109" s="455" t="s">
        <v>1604</v>
      </c>
      <c r="B109" s="456" t="s">
        <v>5</v>
      </c>
      <c r="C109" s="456" t="s">
        <v>458</v>
      </c>
      <c r="D109" s="456" t="s">
        <v>1732</v>
      </c>
      <c r="E109" s="456" t="s">
        <v>1290</v>
      </c>
      <c r="F109" s="457">
        <v>51817.42</v>
      </c>
      <c r="G109" s="457">
        <v>0</v>
      </c>
    </row>
    <row r="110" spans="1:7" ht="22.5">
      <c r="A110" s="455" t="s">
        <v>445</v>
      </c>
      <c r="B110" s="456" t="s">
        <v>5</v>
      </c>
      <c r="C110" s="456" t="s">
        <v>458</v>
      </c>
      <c r="D110" s="456" t="s">
        <v>1732</v>
      </c>
      <c r="E110" s="456" t="s">
        <v>446</v>
      </c>
      <c r="F110" s="457">
        <v>120000</v>
      </c>
      <c r="G110" s="457">
        <v>119398.15</v>
      </c>
    </row>
    <row r="111" spans="1:7" ht="67.5">
      <c r="A111" s="458" t="s">
        <v>2587</v>
      </c>
      <c r="B111" s="453" t="s">
        <v>5</v>
      </c>
      <c r="C111" s="453" t="s">
        <v>458</v>
      </c>
      <c r="D111" s="453" t="s">
        <v>1734</v>
      </c>
      <c r="E111" s="453"/>
      <c r="F111" s="454">
        <v>370</v>
      </c>
      <c r="G111" s="454">
        <v>370</v>
      </c>
    </row>
    <row r="112" spans="1:7" ht="22.5">
      <c r="A112" s="455" t="s">
        <v>445</v>
      </c>
      <c r="B112" s="456" t="s">
        <v>5</v>
      </c>
      <c r="C112" s="456" t="s">
        <v>458</v>
      </c>
      <c r="D112" s="456" t="s">
        <v>1734</v>
      </c>
      <c r="E112" s="456" t="s">
        <v>446</v>
      </c>
      <c r="F112" s="457">
        <v>370</v>
      </c>
      <c r="G112" s="457">
        <v>370</v>
      </c>
    </row>
    <row r="113" spans="1:7">
      <c r="A113" s="452" t="s">
        <v>133</v>
      </c>
      <c r="B113" s="453" t="s">
        <v>5</v>
      </c>
      <c r="C113" s="453" t="s">
        <v>463</v>
      </c>
      <c r="D113" s="453"/>
      <c r="E113" s="453"/>
      <c r="F113" s="454">
        <v>115050.45</v>
      </c>
      <c r="G113" s="454">
        <v>86525.45</v>
      </c>
    </row>
    <row r="114" spans="1:7" ht="67.5">
      <c r="A114" s="458" t="s">
        <v>2588</v>
      </c>
      <c r="B114" s="453" t="s">
        <v>5</v>
      </c>
      <c r="C114" s="453" t="s">
        <v>463</v>
      </c>
      <c r="D114" s="453" t="s">
        <v>1736</v>
      </c>
      <c r="E114" s="453"/>
      <c r="F114" s="454">
        <v>2429</v>
      </c>
      <c r="G114" s="454">
        <v>2429</v>
      </c>
    </row>
    <row r="115" spans="1:7" ht="22.5">
      <c r="A115" s="455" t="s">
        <v>445</v>
      </c>
      <c r="B115" s="456" t="s">
        <v>5</v>
      </c>
      <c r="C115" s="456" t="s">
        <v>463</v>
      </c>
      <c r="D115" s="456" t="s">
        <v>1736</v>
      </c>
      <c r="E115" s="456" t="s">
        <v>446</v>
      </c>
      <c r="F115" s="457">
        <v>2429</v>
      </c>
      <c r="G115" s="457">
        <v>2429</v>
      </c>
    </row>
    <row r="116" spans="1:7" ht="67.5">
      <c r="A116" s="458" t="s">
        <v>2589</v>
      </c>
      <c r="B116" s="453" t="s">
        <v>5</v>
      </c>
      <c r="C116" s="453" t="s">
        <v>463</v>
      </c>
      <c r="D116" s="453" t="s">
        <v>870</v>
      </c>
      <c r="E116" s="453"/>
      <c r="F116" s="454">
        <v>100000</v>
      </c>
      <c r="G116" s="454">
        <v>71475</v>
      </c>
    </row>
    <row r="117" spans="1:7" ht="22.5">
      <c r="A117" s="455" t="s">
        <v>445</v>
      </c>
      <c r="B117" s="456" t="s">
        <v>5</v>
      </c>
      <c r="C117" s="456" t="s">
        <v>463</v>
      </c>
      <c r="D117" s="456" t="s">
        <v>870</v>
      </c>
      <c r="E117" s="456" t="s">
        <v>446</v>
      </c>
      <c r="F117" s="457">
        <v>100000</v>
      </c>
      <c r="G117" s="457">
        <v>71475</v>
      </c>
    </row>
    <row r="118" spans="1:7" ht="67.5">
      <c r="A118" s="458" t="s">
        <v>2590</v>
      </c>
      <c r="B118" s="453" t="s">
        <v>5</v>
      </c>
      <c r="C118" s="453" t="s">
        <v>463</v>
      </c>
      <c r="D118" s="453" t="s">
        <v>871</v>
      </c>
      <c r="E118" s="453"/>
      <c r="F118" s="454">
        <v>12500</v>
      </c>
      <c r="G118" s="454">
        <v>12500</v>
      </c>
    </row>
    <row r="119" spans="1:7" ht="22.5">
      <c r="A119" s="455" t="s">
        <v>445</v>
      </c>
      <c r="B119" s="456" t="s">
        <v>5</v>
      </c>
      <c r="C119" s="456" t="s">
        <v>463</v>
      </c>
      <c r="D119" s="456" t="s">
        <v>871</v>
      </c>
      <c r="E119" s="456" t="s">
        <v>446</v>
      </c>
      <c r="F119" s="457">
        <v>12500</v>
      </c>
      <c r="G119" s="457">
        <v>12500</v>
      </c>
    </row>
    <row r="120" spans="1:7" ht="67.5">
      <c r="A120" s="458" t="s">
        <v>2591</v>
      </c>
      <c r="B120" s="453" t="s">
        <v>5</v>
      </c>
      <c r="C120" s="453" t="s">
        <v>463</v>
      </c>
      <c r="D120" s="453" t="s">
        <v>1738</v>
      </c>
      <c r="E120" s="453"/>
      <c r="F120" s="454">
        <v>121.45</v>
      </c>
      <c r="G120" s="454">
        <v>121.45</v>
      </c>
    </row>
    <row r="121" spans="1:7" ht="22.5">
      <c r="A121" s="455" t="s">
        <v>445</v>
      </c>
      <c r="B121" s="456" t="s">
        <v>5</v>
      </c>
      <c r="C121" s="456" t="s">
        <v>463</v>
      </c>
      <c r="D121" s="456" t="s">
        <v>1738</v>
      </c>
      <c r="E121" s="456" t="s">
        <v>446</v>
      </c>
      <c r="F121" s="457">
        <v>121.45</v>
      </c>
      <c r="G121" s="457">
        <v>121.45</v>
      </c>
    </row>
    <row r="122" spans="1:7">
      <c r="A122" s="452" t="s">
        <v>222</v>
      </c>
      <c r="B122" s="453" t="s">
        <v>5</v>
      </c>
      <c r="C122" s="453" t="s">
        <v>1605</v>
      </c>
      <c r="D122" s="453"/>
      <c r="E122" s="453"/>
      <c r="F122" s="454">
        <v>28960125.98</v>
      </c>
      <c r="G122" s="454">
        <v>28539716.109999999</v>
      </c>
    </row>
    <row r="123" spans="1:7">
      <c r="A123" s="452" t="s">
        <v>223</v>
      </c>
      <c r="B123" s="453" t="s">
        <v>5</v>
      </c>
      <c r="C123" s="453" t="s">
        <v>470</v>
      </c>
      <c r="D123" s="453"/>
      <c r="E123" s="453"/>
      <c r="F123" s="454">
        <v>1182812.98</v>
      </c>
      <c r="G123" s="454">
        <v>1133020.27</v>
      </c>
    </row>
    <row r="124" spans="1:7" ht="67.5">
      <c r="A124" s="458" t="s">
        <v>2592</v>
      </c>
      <c r="B124" s="453" t="s">
        <v>5</v>
      </c>
      <c r="C124" s="453" t="s">
        <v>470</v>
      </c>
      <c r="D124" s="453" t="s">
        <v>1739</v>
      </c>
      <c r="E124" s="453"/>
      <c r="F124" s="454">
        <v>22012.98</v>
      </c>
      <c r="G124" s="454">
        <v>21856.21</v>
      </c>
    </row>
    <row r="125" spans="1:7" ht="33.75">
      <c r="A125" s="455" t="s">
        <v>1740</v>
      </c>
      <c r="B125" s="456" t="s">
        <v>5</v>
      </c>
      <c r="C125" s="456" t="s">
        <v>470</v>
      </c>
      <c r="D125" s="456" t="s">
        <v>1739</v>
      </c>
      <c r="E125" s="456" t="s">
        <v>1741</v>
      </c>
      <c r="F125" s="457">
        <v>22012.98</v>
      </c>
      <c r="G125" s="457">
        <v>21856.21</v>
      </c>
    </row>
    <row r="126" spans="1:7" ht="67.5">
      <c r="A126" s="458" t="s">
        <v>2593</v>
      </c>
      <c r="B126" s="453" t="s">
        <v>5</v>
      </c>
      <c r="C126" s="453" t="s">
        <v>470</v>
      </c>
      <c r="D126" s="453" t="s">
        <v>878</v>
      </c>
      <c r="E126" s="453"/>
      <c r="F126" s="454">
        <v>1160800</v>
      </c>
      <c r="G126" s="454">
        <v>1111164.06</v>
      </c>
    </row>
    <row r="127" spans="1:7" ht="22.5">
      <c r="A127" s="455" t="s">
        <v>1165</v>
      </c>
      <c r="B127" s="456" t="s">
        <v>5</v>
      </c>
      <c r="C127" s="456" t="s">
        <v>470</v>
      </c>
      <c r="D127" s="456" t="s">
        <v>878</v>
      </c>
      <c r="E127" s="456" t="s">
        <v>440</v>
      </c>
      <c r="F127" s="457">
        <v>741928</v>
      </c>
      <c r="G127" s="457">
        <v>731697.7</v>
      </c>
    </row>
    <row r="128" spans="1:7" ht="22.5">
      <c r="A128" s="455" t="s">
        <v>441</v>
      </c>
      <c r="B128" s="456" t="s">
        <v>5</v>
      </c>
      <c r="C128" s="456" t="s">
        <v>470</v>
      </c>
      <c r="D128" s="456" t="s">
        <v>878</v>
      </c>
      <c r="E128" s="456" t="s">
        <v>442</v>
      </c>
      <c r="F128" s="457">
        <v>14710</v>
      </c>
      <c r="G128" s="457">
        <v>7500</v>
      </c>
    </row>
    <row r="129" spans="1:7" ht="33.75">
      <c r="A129" s="455" t="s">
        <v>1288</v>
      </c>
      <c r="B129" s="456" t="s">
        <v>5</v>
      </c>
      <c r="C129" s="456" t="s">
        <v>470</v>
      </c>
      <c r="D129" s="456" t="s">
        <v>878</v>
      </c>
      <c r="E129" s="456" t="s">
        <v>1289</v>
      </c>
      <c r="F129" s="457">
        <v>224062</v>
      </c>
      <c r="G129" s="457">
        <v>219493.36</v>
      </c>
    </row>
    <row r="130" spans="1:7" ht="22.5">
      <c r="A130" s="455" t="s">
        <v>445</v>
      </c>
      <c r="B130" s="456" t="s">
        <v>5</v>
      </c>
      <c r="C130" s="456" t="s">
        <v>470</v>
      </c>
      <c r="D130" s="456" t="s">
        <v>878</v>
      </c>
      <c r="E130" s="456" t="s">
        <v>446</v>
      </c>
      <c r="F130" s="457">
        <v>180100</v>
      </c>
      <c r="G130" s="457">
        <v>152473</v>
      </c>
    </row>
    <row r="131" spans="1:7">
      <c r="A131" s="452" t="s">
        <v>224</v>
      </c>
      <c r="B131" s="453" t="s">
        <v>5</v>
      </c>
      <c r="C131" s="453" t="s">
        <v>474</v>
      </c>
      <c r="D131" s="453"/>
      <c r="E131" s="453"/>
      <c r="F131" s="454">
        <v>24557000</v>
      </c>
      <c r="G131" s="454">
        <v>24235970.030000001</v>
      </c>
    </row>
    <row r="132" spans="1:7" ht="56.25">
      <c r="A132" s="452" t="s">
        <v>1036</v>
      </c>
      <c r="B132" s="453" t="s">
        <v>5</v>
      </c>
      <c r="C132" s="453" t="s">
        <v>474</v>
      </c>
      <c r="D132" s="453" t="s">
        <v>1162</v>
      </c>
      <c r="E132" s="453"/>
      <c r="F132" s="454">
        <v>304800</v>
      </c>
      <c r="G132" s="454">
        <v>0</v>
      </c>
    </row>
    <row r="133" spans="1:7" ht="33.75">
      <c r="A133" s="455" t="s">
        <v>1740</v>
      </c>
      <c r="B133" s="456" t="s">
        <v>5</v>
      </c>
      <c r="C133" s="456" t="s">
        <v>474</v>
      </c>
      <c r="D133" s="456" t="s">
        <v>1162</v>
      </c>
      <c r="E133" s="456" t="s">
        <v>1741</v>
      </c>
      <c r="F133" s="457">
        <v>304800</v>
      </c>
      <c r="G133" s="457">
        <v>0</v>
      </c>
    </row>
    <row r="134" spans="1:7" ht="56.25">
      <c r="A134" s="452" t="s">
        <v>475</v>
      </c>
      <c r="B134" s="453" t="s">
        <v>5</v>
      </c>
      <c r="C134" s="453" t="s">
        <v>474</v>
      </c>
      <c r="D134" s="453" t="s">
        <v>879</v>
      </c>
      <c r="E134" s="453"/>
      <c r="F134" s="454">
        <v>24252200</v>
      </c>
      <c r="G134" s="454">
        <v>24235970.030000001</v>
      </c>
    </row>
    <row r="135" spans="1:7" ht="33.75">
      <c r="A135" s="455" t="s">
        <v>1740</v>
      </c>
      <c r="B135" s="456" t="s">
        <v>5</v>
      </c>
      <c r="C135" s="456" t="s">
        <v>474</v>
      </c>
      <c r="D135" s="456" t="s">
        <v>879</v>
      </c>
      <c r="E135" s="456" t="s">
        <v>1741</v>
      </c>
      <c r="F135" s="457">
        <v>24252200</v>
      </c>
      <c r="G135" s="457">
        <v>24235970.030000001</v>
      </c>
    </row>
    <row r="136" spans="1:7">
      <c r="A136" s="452" t="s">
        <v>303</v>
      </c>
      <c r="B136" s="453" t="s">
        <v>5</v>
      </c>
      <c r="C136" s="453" t="s">
        <v>476</v>
      </c>
      <c r="D136" s="453"/>
      <c r="E136" s="453"/>
      <c r="F136" s="454">
        <v>32700</v>
      </c>
      <c r="G136" s="454">
        <v>32700</v>
      </c>
    </row>
    <row r="137" spans="1:7" ht="45">
      <c r="A137" s="452" t="s">
        <v>477</v>
      </c>
      <c r="B137" s="453" t="s">
        <v>5</v>
      </c>
      <c r="C137" s="453" t="s">
        <v>476</v>
      </c>
      <c r="D137" s="453" t="s">
        <v>880</v>
      </c>
      <c r="E137" s="453"/>
      <c r="F137" s="454">
        <v>32700</v>
      </c>
      <c r="G137" s="454">
        <v>32700</v>
      </c>
    </row>
    <row r="138" spans="1:7" ht="22.5">
      <c r="A138" s="455" t="s">
        <v>445</v>
      </c>
      <c r="B138" s="456" t="s">
        <v>5</v>
      </c>
      <c r="C138" s="456" t="s">
        <v>476</v>
      </c>
      <c r="D138" s="456" t="s">
        <v>880</v>
      </c>
      <c r="E138" s="456" t="s">
        <v>446</v>
      </c>
      <c r="F138" s="457">
        <v>32700</v>
      </c>
      <c r="G138" s="457">
        <v>32700</v>
      </c>
    </row>
    <row r="139" spans="1:7">
      <c r="A139" s="452" t="s">
        <v>1889</v>
      </c>
      <c r="B139" s="453" t="s">
        <v>5</v>
      </c>
      <c r="C139" s="453" t="s">
        <v>1890</v>
      </c>
      <c r="D139" s="453"/>
      <c r="E139" s="453"/>
      <c r="F139" s="454">
        <v>112813</v>
      </c>
      <c r="G139" s="454">
        <v>63225.81</v>
      </c>
    </row>
    <row r="140" spans="1:7" ht="67.5">
      <c r="A140" s="458" t="s">
        <v>2594</v>
      </c>
      <c r="B140" s="453" t="s">
        <v>5</v>
      </c>
      <c r="C140" s="453" t="s">
        <v>1890</v>
      </c>
      <c r="D140" s="453" t="s">
        <v>1892</v>
      </c>
      <c r="E140" s="453"/>
      <c r="F140" s="454">
        <v>112700</v>
      </c>
      <c r="G140" s="454">
        <v>63112.81</v>
      </c>
    </row>
    <row r="141" spans="1:7" ht="22.5">
      <c r="A141" s="455" t="s">
        <v>445</v>
      </c>
      <c r="B141" s="456" t="s">
        <v>5</v>
      </c>
      <c r="C141" s="456" t="s">
        <v>1890</v>
      </c>
      <c r="D141" s="456" t="s">
        <v>1892</v>
      </c>
      <c r="E141" s="456" t="s">
        <v>446</v>
      </c>
      <c r="F141" s="457">
        <v>112700</v>
      </c>
      <c r="G141" s="457">
        <v>63112.81</v>
      </c>
    </row>
    <row r="142" spans="1:7" ht="67.5">
      <c r="A142" s="458" t="s">
        <v>2595</v>
      </c>
      <c r="B142" s="453" t="s">
        <v>5</v>
      </c>
      <c r="C142" s="453" t="s">
        <v>1890</v>
      </c>
      <c r="D142" s="453" t="s">
        <v>1894</v>
      </c>
      <c r="E142" s="453"/>
      <c r="F142" s="454">
        <v>113</v>
      </c>
      <c r="G142" s="454">
        <v>113</v>
      </c>
    </row>
    <row r="143" spans="1:7" ht="22.5">
      <c r="A143" s="455" t="s">
        <v>445</v>
      </c>
      <c r="B143" s="456" t="s">
        <v>5</v>
      </c>
      <c r="C143" s="456" t="s">
        <v>1890</v>
      </c>
      <c r="D143" s="456" t="s">
        <v>1894</v>
      </c>
      <c r="E143" s="456" t="s">
        <v>446</v>
      </c>
      <c r="F143" s="457">
        <v>113</v>
      </c>
      <c r="G143" s="457">
        <v>113</v>
      </c>
    </row>
    <row r="144" spans="1:7">
      <c r="A144" s="452" t="s">
        <v>180</v>
      </c>
      <c r="B144" s="453" t="s">
        <v>5</v>
      </c>
      <c r="C144" s="453" t="s">
        <v>478</v>
      </c>
      <c r="D144" s="453"/>
      <c r="E144" s="453"/>
      <c r="F144" s="454">
        <v>3074800</v>
      </c>
      <c r="G144" s="454">
        <v>3074800</v>
      </c>
    </row>
    <row r="145" spans="1:7" ht="78.75">
      <c r="A145" s="458" t="s">
        <v>2596</v>
      </c>
      <c r="B145" s="453" t="s">
        <v>5</v>
      </c>
      <c r="C145" s="453" t="s">
        <v>478</v>
      </c>
      <c r="D145" s="453" t="s">
        <v>1119</v>
      </c>
      <c r="E145" s="453"/>
      <c r="F145" s="454">
        <v>1500000</v>
      </c>
      <c r="G145" s="454">
        <v>1500000</v>
      </c>
    </row>
    <row r="146" spans="1:7" ht="33.75">
      <c r="A146" s="455" t="s">
        <v>1740</v>
      </c>
      <c r="B146" s="456" t="s">
        <v>5</v>
      </c>
      <c r="C146" s="456" t="s">
        <v>478</v>
      </c>
      <c r="D146" s="456" t="s">
        <v>1119</v>
      </c>
      <c r="E146" s="456" t="s">
        <v>1741</v>
      </c>
      <c r="F146" s="457">
        <v>1500000</v>
      </c>
      <c r="G146" s="457">
        <v>1500000</v>
      </c>
    </row>
    <row r="147" spans="1:7" ht="67.5">
      <c r="A147" s="458" t="s">
        <v>2597</v>
      </c>
      <c r="B147" s="453" t="s">
        <v>5</v>
      </c>
      <c r="C147" s="453" t="s">
        <v>478</v>
      </c>
      <c r="D147" s="453" t="s">
        <v>883</v>
      </c>
      <c r="E147" s="453"/>
      <c r="F147" s="454">
        <v>865052.63</v>
      </c>
      <c r="G147" s="454">
        <v>865052.63</v>
      </c>
    </row>
    <row r="148" spans="1:7" ht="33.75">
      <c r="A148" s="455" t="s">
        <v>1740</v>
      </c>
      <c r="B148" s="456" t="s">
        <v>5</v>
      </c>
      <c r="C148" s="456" t="s">
        <v>478</v>
      </c>
      <c r="D148" s="456" t="s">
        <v>883</v>
      </c>
      <c r="E148" s="456" t="s">
        <v>1741</v>
      </c>
      <c r="F148" s="457">
        <v>865052.63</v>
      </c>
      <c r="G148" s="457">
        <v>865052.63</v>
      </c>
    </row>
    <row r="149" spans="1:7" ht="78.75">
      <c r="A149" s="458" t="s">
        <v>2598</v>
      </c>
      <c r="B149" s="453" t="s">
        <v>5</v>
      </c>
      <c r="C149" s="453" t="s">
        <v>478</v>
      </c>
      <c r="D149" s="453" t="s">
        <v>881</v>
      </c>
      <c r="E149" s="453"/>
      <c r="F149" s="454">
        <v>10000</v>
      </c>
      <c r="G149" s="454">
        <v>10000</v>
      </c>
    </row>
    <row r="150" spans="1:7" ht="22.5">
      <c r="A150" s="455" t="s">
        <v>445</v>
      </c>
      <c r="B150" s="456" t="s">
        <v>5</v>
      </c>
      <c r="C150" s="456" t="s">
        <v>478</v>
      </c>
      <c r="D150" s="456" t="s">
        <v>881</v>
      </c>
      <c r="E150" s="456" t="s">
        <v>446</v>
      </c>
      <c r="F150" s="457">
        <v>10000</v>
      </c>
      <c r="G150" s="457">
        <v>10000</v>
      </c>
    </row>
    <row r="151" spans="1:7" ht="67.5">
      <c r="A151" s="458" t="s">
        <v>2599</v>
      </c>
      <c r="B151" s="453" t="s">
        <v>5</v>
      </c>
      <c r="C151" s="453" t="s">
        <v>478</v>
      </c>
      <c r="D151" s="453" t="s">
        <v>1950</v>
      </c>
      <c r="E151" s="453"/>
      <c r="F151" s="454">
        <v>78947.37</v>
      </c>
      <c r="G151" s="454">
        <v>78947.37</v>
      </c>
    </row>
    <row r="152" spans="1:7" ht="33.75">
      <c r="A152" s="455" t="s">
        <v>1740</v>
      </c>
      <c r="B152" s="456" t="s">
        <v>5</v>
      </c>
      <c r="C152" s="456" t="s">
        <v>478</v>
      </c>
      <c r="D152" s="456" t="s">
        <v>1950</v>
      </c>
      <c r="E152" s="456" t="s">
        <v>1741</v>
      </c>
      <c r="F152" s="457">
        <v>78947.37</v>
      </c>
      <c r="G152" s="457">
        <v>78947.37</v>
      </c>
    </row>
    <row r="153" spans="1:7" ht="67.5">
      <c r="A153" s="458" t="s">
        <v>2600</v>
      </c>
      <c r="B153" s="453" t="s">
        <v>5</v>
      </c>
      <c r="C153" s="453" t="s">
        <v>478</v>
      </c>
      <c r="D153" s="453" t="s">
        <v>884</v>
      </c>
      <c r="E153" s="453"/>
      <c r="F153" s="454">
        <v>3000</v>
      </c>
      <c r="G153" s="454">
        <v>3000</v>
      </c>
    </row>
    <row r="154" spans="1:7" ht="22.5">
      <c r="A154" s="455" t="s">
        <v>445</v>
      </c>
      <c r="B154" s="456" t="s">
        <v>5</v>
      </c>
      <c r="C154" s="456" t="s">
        <v>478</v>
      </c>
      <c r="D154" s="456" t="s">
        <v>884</v>
      </c>
      <c r="E154" s="456" t="s">
        <v>446</v>
      </c>
      <c r="F154" s="457">
        <v>3000</v>
      </c>
      <c r="G154" s="457">
        <v>3000</v>
      </c>
    </row>
    <row r="155" spans="1:7" ht="67.5">
      <c r="A155" s="458" t="s">
        <v>2601</v>
      </c>
      <c r="B155" s="453" t="s">
        <v>5</v>
      </c>
      <c r="C155" s="453" t="s">
        <v>478</v>
      </c>
      <c r="D155" s="453" t="s">
        <v>885</v>
      </c>
      <c r="E155" s="453"/>
      <c r="F155" s="454">
        <v>617800</v>
      </c>
      <c r="G155" s="454">
        <v>617800</v>
      </c>
    </row>
    <row r="156" spans="1:7" ht="22.5">
      <c r="A156" s="455" t="s">
        <v>445</v>
      </c>
      <c r="B156" s="456" t="s">
        <v>5</v>
      </c>
      <c r="C156" s="456" t="s">
        <v>478</v>
      </c>
      <c r="D156" s="456" t="s">
        <v>885</v>
      </c>
      <c r="E156" s="456" t="s">
        <v>446</v>
      </c>
      <c r="F156" s="457">
        <v>617800</v>
      </c>
      <c r="G156" s="457">
        <v>617800</v>
      </c>
    </row>
    <row r="157" spans="1:7">
      <c r="A157" s="452" t="s">
        <v>287</v>
      </c>
      <c r="B157" s="453" t="s">
        <v>5</v>
      </c>
      <c r="C157" s="453" t="s">
        <v>1607</v>
      </c>
      <c r="D157" s="453"/>
      <c r="E157" s="453"/>
      <c r="F157" s="454">
        <v>210794201</v>
      </c>
      <c r="G157" s="454">
        <v>207524622.28</v>
      </c>
    </row>
    <row r="158" spans="1:7">
      <c r="A158" s="452" t="s">
        <v>181</v>
      </c>
      <c r="B158" s="453" t="s">
        <v>5</v>
      </c>
      <c r="C158" s="453" t="s">
        <v>482</v>
      </c>
      <c r="D158" s="453"/>
      <c r="E158" s="453"/>
      <c r="F158" s="454">
        <v>210194201</v>
      </c>
      <c r="G158" s="454">
        <v>206924622.28</v>
      </c>
    </row>
    <row r="159" spans="1:7" ht="67.5">
      <c r="A159" s="458" t="s">
        <v>2602</v>
      </c>
      <c r="B159" s="453" t="s">
        <v>5</v>
      </c>
      <c r="C159" s="453" t="s">
        <v>482</v>
      </c>
      <c r="D159" s="453" t="s">
        <v>1978</v>
      </c>
      <c r="E159" s="453"/>
      <c r="F159" s="454">
        <v>5756900</v>
      </c>
      <c r="G159" s="454">
        <v>5399994.2800000003</v>
      </c>
    </row>
    <row r="160" spans="1:7" ht="33.75">
      <c r="A160" s="455" t="s">
        <v>1740</v>
      </c>
      <c r="B160" s="456" t="s">
        <v>5</v>
      </c>
      <c r="C160" s="456" t="s">
        <v>482</v>
      </c>
      <c r="D160" s="456" t="s">
        <v>1978</v>
      </c>
      <c r="E160" s="456" t="s">
        <v>1741</v>
      </c>
      <c r="F160" s="457">
        <v>5756900</v>
      </c>
      <c r="G160" s="457">
        <v>5399994.2800000003</v>
      </c>
    </row>
    <row r="161" spans="1:7" ht="67.5">
      <c r="A161" s="458" t="s">
        <v>2603</v>
      </c>
      <c r="B161" s="453" t="s">
        <v>5</v>
      </c>
      <c r="C161" s="453" t="s">
        <v>482</v>
      </c>
      <c r="D161" s="453" t="s">
        <v>888</v>
      </c>
      <c r="E161" s="453"/>
      <c r="F161" s="454">
        <v>188670001</v>
      </c>
      <c r="G161" s="454">
        <v>185863528</v>
      </c>
    </row>
    <row r="162" spans="1:7" ht="33.75">
      <c r="A162" s="455" t="s">
        <v>1740</v>
      </c>
      <c r="B162" s="456" t="s">
        <v>5</v>
      </c>
      <c r="C162" s="456" t="s">
        <v>482</v>
      </c>
      <c r="D162" s="456" t="s">
        <v>888</v>
      </c>
      <c r="E162" s="456" t="s">
        <v>1741</v>
      </c>
      <c r="F162" s="457">
        <v>188670001</v>
      </c>
      <c r="G162" s="457">
        <v>185863528</v>
      </c>
    </row>
    <row r="163" spans="1:7" ht="67.5">
      <c r="A163" s="458" t="s">
        <v>2604</v>
      </c>
      <c r="B163" s="453" t="s">
        <v>5</v>
      </c>
      <c r="C163" s="453" t="s">
        <v>482</v>
      </c>
      <c r="D163" s="453" t="s">
        <v>887</v>
      </c>
      <c r="E163" s="453"/>
      <c r="F163" s="454">
        <v>15624400</v>
      </c>
      <c r="G163" s="454">
        <v>15556100</v>
      </c>
    </row>
    <row r="164" spans="1:7" ht="33.75">
      <c r="A164" s="455" t="s">
        <v>1740</v>
      </c>
      <c r="B164" s="456" t="s">
        <v>5</v>
      </c>
      <c r="C164" s="456" t="s">
        <v>482</v>
      </c>
      <c r="D164" s="456" t="s">
        <v>887</v>
      </c>
      <c r="E164" s="456" t="s">
        <v>1741</v>
      </c>
      <c r="F164" s="457">
        <v>15624400</v>
      </c>
      <c r="G164" s="457">
        <v>15556100</v>
      </c>
    </row>
    <row r="165" spans="1:7" ht="67.5">
      <c r="A165" s="458" t="s">
        <v>2605</v>
      </c>
      <c r="B165" s="453" t="s">
        <v>5</v>
      </c>
      <c r="C165" s="453" t="s">
        <v>482</v>
      </c>
      <c r="D165" s="453" t="s">
        <v>2007</v>
      </c>
      <c r="E165" s="453"/>
      <c r="F165" s="454">
        <v>6000</v>
      </c>
      <c r="G165" s="454">
        <v>6000</v>
      </c>
    </row>
    <row r="166" spans="1:7" ht="33.75">
      <c r="A166" s="455" t="s">
        <v>1740</v>
      </c>
      <c r="B166" s="456" t="s">
        <v>5</v>
      </c>
      <c r="C166" s="456" t="s">
        <v>482</v>
      </c>
      <c r="D166" s="456" t="s">
        <v>2007</v>
      </c>
      <c r="E166" s="456" t="s">
        <v>1741</v>
      </c>
      <c r="F166" s="457">
        <v>6000</v>
      </c>
      <c r="G166" s="457">
        <v>6000</v>
      </c>
    </row>
    <row r="167" spans="1:7" ht="67.5">
      <c r="A167" s="458" t="s">
        <v>2606</v>
      </c>
      <c r="B167" s="453" t="s">
        <v>5</v>
      </c>
      <c r="C167" s="453" t="s">
        <v>482</v>
      </c>
      <c r="D167" s="453" t="s">
        <v>902</v>
      </c>
      <c r="E167" s="453"/>
      <c r="F167" s="454">
        <v>99000</v>
      </c>
      <c r="G167" s="454">
        <v>99000</v>
      </c>
    </row>
    <row r="168" spans="1:7" ht="22.5">
      <c r="A168" s="455" t="s">
        <v>445</v>
      </c>
      <c r="B168" s="456" t="s">
        <v>5</v>
      </c>
      <c r="C168" s="456" t="s">
        <v>482</v>
      </c>
      <c r="D168" s="456" t="s">
        <v>902</v>
      </c>
      <c r="E168" s="456" t="s">
        <v>446</v>
      </c>
      <c r="F168" s="457">
        <v>99000</v>
      </c>
      <c r="G168" s="457">
        <v>99000</v>
      </c>
    </row>
    <row r="169" spans="1:7" ht="45">
      <c r="A169" s="452" t="s">
        <v>889</v>
      </c>
      <c r="B169" s="453" t="s">
        <v>5</v>
      </c>
      <c r="C169" s="453" t="s">
        <v>482</v>
      </c>
      <c r="D169" s="453" t="s">
        <v>890</v>
      </c>
      <c r="E169" s="453"/>
      <c r="F169" s="454">
        <v>37900</v>
      </c>
      <c r="G169" s="454">
        <v>0</v>
      </c>
    </row>
    <row r="170" spans="1:7" ht="22.5">
      <c r="A170" s="455" t="s">
        <v>445</v>
      </c>
      <c r="B170" s="456" t="s">
        <v>5</v>
      </c>
      <c r="C170" s="456" t="s">
        <v>482</v>
      </c>
      <c r="D170" s="456" t="s">
        <v>890</v>
      </c>
      <c r="E170" s="456" t="s">
        <v>446</v>
      </c>
      <c r="F170" s="457">
        <v>37900</v>
      </c>
      <c r="G170" s="457">
        <v>0</v>
      </c>
    </row>
    <row r="171" spans="1:7">
      <c r="A171" s="452" t="s">
        <v>45</v>
      </c>
      <c r="B171" s="453" t="s">
        <v>5</v>
      </c>
      <c r="C171" s="453" t="s">
        <v>506</v>
      </c>
      <c r="D171" s="453"/>
      <c r="E171" s="453"/>
      <c r="F171" s="454">
        <v>600000</v>
      </c>
      <c r="G171" s="454">
        <v>600000</v>
      </c>
    </row>
    <row r="172" spans="1:7" ht="56.25">
      <c r="A172" s="452" t="s">
        <v>1158</v>
      </c>
      <c r="B172" s="453" t="s">
        <v>5</v>
      </c>
      <c r="C172" s="453" t="s">
        <v>506</v>
      </c>
      <c r="D172" s="453" t="s">
        <v>1014</v>
      </c>
      <c r="E172" s="453"/>
      <c r="F172" s="454">
        <v>600000</v>
      </c>
      <c r="G172" s="454">
        <v>600000</v>
      </c>
    </row>
    <row r="173" spans="1:7" ht="22.5">
      <c r="A173" s="455" t="s">
        <v>445</v>
      </c>
      <c r="B173" s="456" t="s">
        <v>5</v>
      </c>
      <c r="C173" s="456" t="s">
        <v>506</v>
      </c>
      <c r="D173" s="456" t="s">
        <v>1014</v>
      </c>
      <c r="E173" s="456" t="s">
        <v>446</v>
      </c>
      <c r="F173" s="457">
        <v>600000</v>
      </c>
      <c r="G173" s="457">
        <v>600000</v>
      </c>
    </row>
    <row r="174" spans="1:7">
      <c r="A174" s="452" t="s">
        <v>173</v>
      </c>
      <c r="B174" s="453" t="s">
        <v>5</v>
      </c>
      <c r="C174" s="453" t="s">
        <v>1608</v>
      </c>
      <c r="D174" s="453"/>
      <c r="E174" s="453"/>
      <c r="F174" s="454">
        <v>8266963</v>
      </c>
      <c r="G174" s="454">
        <v>8179139.5</v>
      </c>
    </row>
    <row r="175" spans="1:7">
      <c r="A175" s="452" t="s">
        <v>1440</v>
      </c>
      <c r="B175" s="453" t="s">
        <v>5</v>
      </c>
      <c r="C175" s="453" t="s">
        <v>483</v>
      </c>
      <c r="D175" s="453"/>
      <c r="E175" s="453"/>
      <c r="F175" s="454">
        <v>8266963</v>
      </c>
      <c r="G175" s="454">
        <v>8179139.5</v>
      </c>
    </row>
    <row r="176" spans="1:7" ht="45">
      <c r="A176" s="452" t="s">
        <v>1171</v>
      </c>
      <c r="B176" s="453" t="s">
        <v>5</v>
      </c>
      <c r="C176" s="453" t="s">
        <v>483</v>
      </c>
      <c r="D176" s="453" t="s">
        <v>1172</v>
      </c>
      <c r="E176" s="453"/>
      <c r="F176" s="454">
        <v>164160</v>
      </c>
      <c r="G176" s="454">
        <v>160110</v>
      </c>
    </row>
    <row r="177" spans="1:7">
      <c r="A177" s="455" t="s">
        <v>484</v>
      </c>
      <c r="B177" s="456" t="s">
        <v>5</v>
      </c>
      <c r="C177" s="456" t="s">
        <v>483</v>
      </c>
      <c r="D177" s="456" t="s">
        <v>1172</v>
      </c>
      <c r="E177" s="456" t="s">
        <v>485</v>
      </c>
      <c r="F177" s="457">
        <v>164160</v>
      </c>
      <c r="G177" s="457">
        <v>160110</v>
      </c>
    </row>
    <row r="178" spans="1:7" ht="67.5">
      <c r="A178" s="452" t="s">
        <v>486</v>
      </c>
      <c r="B178" s="453" t="s">
        <v>5</v>
      </c>
      <c r="C178" s="453" t="s">
        <v>483</v>
      </c>
      <c r="D178" s="453" t="s">
        <v>891</v>
      </c>
      <c r="E178" s="453"/>
      <c r="F178" s="454">
        <v>300000</v>
      </c>
      <c r="G178" s="454">
        <v>300000</v>
      </c>
    </row>
    <row r="179" spans="1:7">
      <c r="A179" s="455" t="s">
        <v>484</v>
      </c>
      <c r="B179" s="456" t="s">
        <v>5</v>
      </c>
      <c r="C179" s="456" t="s">
        <v>483</v>
      </c>
      <c r="D179" s="456" t="s">
        <v>891</v>
      </c>
      <c r="E179" s="456" t="s">
        <v>485</v>
      </c>
      <c r="F179" s="457">
        <v>300000</v>
      </c>
      <c r="G179" s="457">
        <v>300000</v>
      </c>
    </row>
    <row r="180" spans="1:7" ht="56.25">
      <c r="A180" s="452" t="s">
        <v>1885</v>
      </c>
      <c r="B180" s="453" t="s">
        <v>5</v>
      </c>
      <c r="C180" s="453" t="s">
        <v>483</v>
      </c>
      <c r="D180" s="453" t="s">
        <v>1886</v>
      </c>
      <c r="E180" s="453"/>
      <c r="F180" s="454">
        <v>97297</v>
      </c>
      <c r="G180" s="454">
        <v>97297</v>
      </c>
    </row>
    <row r="181" spans="1:7">
      <c r="A181" s="455" t="s">
        <v>484</v>
      </c>
      <c r="B181" s="456" t="s">
        <v>5</v>
      </c>
      <c r="C181" s="456" t="s">
        <v>483</v>
      </c>
      <c r="D181" s="456" t="s">
        <v>1886</v>
      </c>
      <c r="E181" s="456" t="s">
        <v>485</v>
      </c>
      <c r="F181" s="457">
        <v>97297</v>
      </c>
      <c r="G181" s="457">
        <v>97297</v>
      </c>
    </row>
    <row r="182" spans="1:7" ht="45">
      <c r="A182" s="452" t="s">
        <v>487</v>
      </c>
      <c r="B182" s="453" t="s">
        <v>5</v>
      </c>
      <c r="C182" s="453" t="s">
        <v>483</v>
      </c>
      <c r="D182" s="453" t="s">
        <v>892</v>
      </c>
      <c r="E182" s="453"/>
      <c r="F182" s="454">
        <v>430000</v>
      </c>
      <c r="G182" s="454">
        <v>430000</v>
      </c>
    </row>
    <row r="183" spans="1:7">
      <c r="A183" s="455" t="s">
        <v>484</v>
      </c>
      <c r="B183" s="456" t="s">
        <v>5</v>
      </c>
      <c r="C183" s="456" t="s">
        <v>483</v>
      </c>
      <c r="D183" s="456" t="s">
        <v>892</v>
      </c>
      <c r="E183" s="456" t="s">
        <v>485</v>
      </c>
      <c r="F183" s="457">
        <v>430000</v>
      </c>
      <c r="G183" s="457">
        <v>430000</v>
      </c>
    </row>
    <row r="184" spans="1:7" ht="67.5">
      <c r="A184" s="458" t="s">
        <v>2607</v>
      </c>
      <c r="B184" s="453" t="s">
        <v>5</v>
      </c>
      <c r="C184" s="453" t="s">
        <v>483</v>
      </c>
      <c r="D184" s="453" t="s">
        <v>1888</v>
      </c>
      <c r="E184" s="453"/>
      <c r="F184" s="454">
        <v>10000</v>
      </c>
      <c r="G184" s="454">
        <v>10000</v>
      </c>
    </row>
    <row r="185" spans="1:7">
      <c r="A185" s="455" t="s">
        <v>484</v>
      </c>
      <c r="B185" s="456" t="s">
        <v>5</v>
      </c>
      <c r="C185" s="456" t="s">
        <v>483</v>
      </c>
      <c r="D185" s="456" t="s">
        <v>1888</v>
      </c>
      <c r="E185" s="456" t="s">
        <v>485</v>
      </c>
      <c r="F185" s="457">
        <v>10000</v>
      </c>
      <c r="G185" s="457">
        <v>10000</v>
      </c>
    </row>
    <row r="186" spans="1:7" ht="67.5">
      <c r="A186" s="452" t="s">
        <v>1744</v>
      </c>
      <c r="B186" s="453" t="s">
        <v>5</v>
      </c>
      <c r="C186" s="453" t="s">
        <v>483</v>
      </c>
      <c r="D186" s="453" t="s">
        <v>1745</v>
      </c>
      <c r="E186" s="453"/>
      <c r="F186" s="454">
        <v>675300</v>
      </c>
      <c r="G186" s="454">
        <v>675300</v>
      </c>
    </row>
    <row r="187" spans="1:7" ht="45">
      <c r="A187" s="455" t="s">
        <v>465</v>
      </c>
      <c r="B187" s="456" t="s">
        <v>5</v>
      </c>
      <c r="C187" s="456" t="s">
        <v>483</v>
      </c>
      <c r="D187" s="456" t="s">
        <v>1745</v>
      </c>
      <c r="E187" s="456" t="s">
        <v>466</v>
      </c>
      <c r="F187" s="457">
        <v>675300</v>
      </c>
      <c r="G187" s="457">
        <v>675300</v>
      </c>
    </row>
    <row r="188" spans="1:7" ht="67.5">
      <c r="A188" s="458" t="s">
        <v>2608</v>
      </c>
      <c r="B188" s="453" t="s">
        <v>5</v>
      </c>
      <c r="C188" s="453" t="s">
        <v>483</v>
      </c>
      <c r="D188" s="453" t="s">
        <v>894</v>
      </c>
      <c r="E188" s="453"/>
      <c r="F188" s="454">
        <v>4917400</v>
      </c>
      <c r="G188" s="454">
        <v>4917400</v>
      </c>
    </row>
    <row r="189" spans="1:7" ht="45">
      <c r="A189" s="455" t="s">
        <v>465</v>
      </c>
      <c r="B189" s="456" t="s">
        <v>5</v>
      </c>
      <c r="C189" s="456" t="s">
        <v>483</v>
      </c>
      <c r="D189" s="456" t="s">
        <v>894</v>
      </c>
      <c r="E189" s="456" t="s">
        <v>466</v>
      </c>
      <c r="F189" s="457">
        <v>4917400</v>
      </c>
      <c r="G189" s="457">
        <v>4917400</v>
      </c>
    </row>
    <row r="190" spans="1:7" ht="67.5">
      <c r="A190" s="458" t="s">
        <v>2609</v>
      </c>
      <c r="B190" s="453" t="s">
        <v>5</v>
      </c>
      <c r="C190" s="453" t="s">
        <v>483</v>
      </c>
      <c r="D190" s="453" t="s">
        <v>895</v>
      </c>
      <c r="E190" s="453"/>
      <c r="F190" s="454">
        <v>828106</v>
      </c>
      <c r="G190" s="454">
        <v>828106</v>
      </c>
    </row>
    <row r="191" spans="1:7" ht="45">
      <c r="A191" s="455" t="s">
        <v>465</v>
      </c>
      <c r="B191" s="456" t="s">
        <v>5</v>
      </c>
      <c r="C191" s="456" t="s">
        <v>483</v>
      </c>
      <c r="D191" s="456" t="s">
        <v>895</v>
      </c>
      <c r="E191" s="456" t="s">
        <v>466</v>
      </c>
      <c r="F191" s="457">
        <v>828106</v>
      </c>
      <c r="G191" s="457">
        <v>828106</v>
      </c>
    </row>
    <row r="192" spans="1:7" ht="67.5">
      <c r="A192" s="458" t="s">
        <v>2610</v>
      </c>
      <c r="B192" s="453" t="s">
        <v>5</v>
      </c>
      <c r="C192" s="453" t="s">
        <v>483</v>
      </c>
      <c r="D192" s="453" t="s">
        <v>1117</v>
      </c>
      <c r="E192" s="453"/>
      <c r="F192" s="454">
        <v>50000</v>
      </c>
      <c r="G192" s="454">
        <v>7242.7</v>
      </c>
    </row>
    <row r="193" spans="1:7">
      <c r="A193" s="455" t="s">
        <v>484</v>
      </c>
      <c r="B193" s="456" t="s">
        <v>5</v>
      </c>
      <c r="C193" s="456" t="s">
        <v>483</v>
      </c>
      <c r="D193" s="456" t="s">
        <v>1117</v>
      </c>
      <c r="E193" s="456" t="s">
        <v>485</v>
      </c>
      <c r="F193" s="457">
        <v>50000</v>
      </c>
      <c r="G193" s="457">
        <v>7242.7</v>
      </c>
    </row>
    <row r="194" spans="1:7" ht="56.25">
      <c r="A194" s="452" t="s">
        <v>488</v>
      </c>
      <c r="B194" s="453" t="s">
        <v>5</v>
      </c>
      <c r="C194" s="453" t="s">
        <v>483</v>
      </c>
      <c r="D194" s="453" t="s">
        <v>893</v>
      </c>
      <c r="E194" s="453"/>
      <c r="F194" s="454">
        <v>794700</v>
      </c>
      <c r="G194" s="454">
        <v>753683.8</v>
      </c>
    </row>
    <row r="195" spans="1:7">
      <c r="A195" s="455" t="s">
        <v>484</v>
      </c>
      <c r="B195" s="456" t="s">
        <v>5</v>
      </c>
      <c r="C195" s="456" t="s">
        <v>483</v>
      </c>
      <c r="D195" s="456" t="s">
        <v>893</v>
      </c>
      <c r="E195" s="456" t="s">
        <v>485</v>
      </c>
      <c r="F195" s="457">
        <v>794700</v>
      </c>
      <c r="G195" s="457">
        <v>753683.8</v>
      </c>
    </row>
    <row r="196" spans="1:7">
      <c r="A196" s="452" t="s">
        <v>174</v>
      </c>
      <c r="B196" s="453" t="s">
        <v>5</v>
      </c>
      <c r="C196" s="453" t="s">
        <v>1609</v>
      </c>
      <c r="D196" s="453"/>
      <c r="E196" s="453"/>
      <c r="F196" s="454">
        <v>1105309.67</v>
      </c>
      <c r="G196" s="454">
        <v>1105309.67</v>
      </c>
    </row>
    <row r="197" spans="1:7">
      <c r="A197" s="452" t="s">
        <v>125</v>
      </c>
      <c r="B197" s="453" t="s">
        <v>5</v>
      </c>
      <c r="C197" s="453" t="s">
        <v>493</v>
      </c>
      <c r="D197" s="453"/>
      <c r="E197" s="453"/>
      <c r="F197" s="454">
        <v>1105309.67</v>
      </c>
      <c r="G197" s="454">
        <v>1105309.67</v>
      </c>
    </row>
    <row r="198" spans="1:7" ht="67.5">
      <c r="A198" s="458" t="s">
        <v>2611</v>
      </c>
      <c r="B198" s="453" t="s">
        <v>5</v>
      </c>
      <c r="C198" s="453" t="s">
        <v>493</v>
      </c>
      <c r="D198" s="453" t="s">
        <v>896</v>
      </c>
      <c r="E198" s="453"/>
      <c r="F198" s="454">
        <v>1105309.67</v>
      </c>
      <c r="G198" s="454">
        <v>1105309.67</v>
      </c>
    </row>
    <row r="199" spans="1:7">
      <c r="A199" s="455" t="s">
        <v>494</v>
      </c>
      <c r="B199" s="456" t="s">
        <v>5</v>
      </c>
      <c r="C199" s="456" t="s">
        <v>493</v>
      </c>
      <c r="D199" s="456" t="s">
        <v>896</v>
      </c>
      <c r="E199" s="456" t="s">
        <v>495</v>
      </c>
      <c r="F199" s="457">
        <v>1105309.67</v>
      </c>
      <c r="G199" s="457">
        <v>1105309.67</v>
      </c>
    </row>
    <row r="200" spans="1:7">
      <c r="A200" s="452" t="s">
        <v>297</v>
      </c>
      <c r="B200" s="453" t="s">
        <v>5</v>
      </c>
      <c r="C200" s="453" t="s">
        <v>1610</v>
      </c>
      <c r="D200" s="453"/>
      <c r="E200" s="453"/>
      <c r="F200" s="454">
        <v>200000</v>
      </c>
      <c r="G200" s="454">
        <v>179898.2</v>
      </c>
    </row>
    <row r="201" spans="1:7">
      <c r="A201" s="452" t="s">
        <v>258</v>
      </c>
      <c r="B201" s="453" t="s">
        <v>5</v>
      </c>
      <c r="C201" s="453" t="s">
        <v>499</v>
      </c>
      <c r="D201" s="453"/>
      <c r="E201" s="453"/>
      <c r="F201" s="454">
        <v>200000</v>
      </c>
      <c r="G201" s="454">
        <v>179898.2</v>
      </c>
    </row>
    <row r="202" spans="1:7" ht="67.5">
      <c r="A202" s="458" t="s">
        <v>2612</v>
      </c>
      <c r="B202" s="453" t="s">
        <v>5</v>
      </c>
      <c r="C202" s="453" t="s">
        <v>499</v>
      </c>
      <c r="D202" s="453" t="s">
        <v>899</v>
      </c>
      <c r="E202" s="453"/>
      <c r="F202" s="454">
        <v>16900</v>
      </c>
      <c r="G202" s="454">
        <v>16900</v>
      </c>
    </row>
    <row r="203" spans="1:7">
      <c r="A203" s="455" t="s">
        <v>484</v>
      </c>
      <c r="B203" s="456" t="s">
        <v>5</v>
      </c>
      <c r="C203" s="456" t="s">
        <v>499</v>
      </c>
      <c r="D203" s="456" t="s">
        <v>899</v>
      </c>
      <c r="E203" s="456" t="s">
        <v>485</v>
      </c>
      <c r="F203" s="457">
        <v>16900</v>
      </c>
      <c r="G203" s="457">
        <v>16900</v>
      </c>
    </row>
    <row r="204" spans="1:7" ht="56.25">
      <c r="A204" s="452" t="s">
        <v>502</v>
      </c>
      <c r="B204" s="453" t="s">
        <v>5</v>
      </c>
      <c r="C204" s="453" t="s">
        <v>499</v>
      </c>
      <c r="D204" s="453" t="s">
        <v>900</v>
      </c>
      <c r="E204" s="453"/>
      <c r="F204" s="454">
        <v>176400</v>
      </c>
      <c r="G204" s="454">
        <v>162998.20000000001</v>
      </c>
    </row>
    <row r="205" spans="1:7">
      <c r="A205" s="455" t="s">
        <v>484</v>
      </c>
      <c r="B205" s="456" t="s">
        <v>5</v>
      </c>
      <c r="C205" s="456" t="s">
        <v>499</v>
      </c>
      <c r="D205" s="456" t="s">
        <v>900</v>
      </c>
      <c r="E205" s="456" t="s">
        <v>485</v>
      </c>
      <c r="F205" s="457">
        <v>176400</v>
      </c>
      <c r="G205" s="457">
        <v>162998.20000000001</v>
      </c>
    </row>
    <row r="206" spans="1:7" ht="67.5">
      <c r="A206" s="458" t="s">
        <v>2613</v>
      </c>
      <c r="B206" s="453" t="s">
        <v>5</v>
      </c>
      <c r="C206" s="453" t="s">
        <v>499</v>
      </c>
      <c r="D206" s="453" t="s">
        <v>901</v>
      </c>
      <c r="E206" s="453"/>
      <c r="F206" s="454">
        <v>6700</v>
      </c>
      <c r="G206" s="454">
        <v>0</v>
      </c>
    </row>
    <row r="207" spans="1:7">
      <c r="A207" s="455" t="s">
        <v>484</v>
      </c>
      <c r="B207" s="456" t="s">
        <v>5</v>
      </c>
      <c r="C207" s="456" t="s">
        <v>499</v>
      </c>
      <c r="D207" s="456" t="s">
        <v>901</v>
      </c>
      <c r="E207" s="456" t="s">
        <v>485</v>
      </c>
      <c r="F207" s="457">
        <v>6700</v>
      </c>
      <c r="G207" s="457">
        <v>0</v>
      </c>
    </row>
    <row r="208" spans="1:7" ht="22.5">
      <c r="A208" s="452" t="s">
        <v>1315</v>
      </c>
      <c r="B208" s="453" t="s">
        <v>472</v>
      </c>
      <c r="C208" s="453"/>
      <c r="D208" s="453"/>
      <c r="E208" s="453"/>
      <c r="F208" s="454">
        <v>4087024</v>
      </c>
      <c r="G208" s="454">
        <v>4002815.16</v>
      </c>
    </row>
    <row r="209" spans="1:7">
      <c r="A209" s="452" t="s">
        <v>282</v>
      </c>
      <c r="B209" s="453" t="s">
        <v>472</v>
      </c>
      <c r="C209" s="453" t="s">
        <v>1598</v>
      </c>
      <c r="D209" s="453"/>
      <c r="E209" s="453"/>
      <c r="F209" s="454">
        <v>4087024</v>
      </c>
      <c r="G209" s="454">
        <v>4002815.16</v>
      </c>
    </row>
    <row r="210" spans="1:7">
      <c r="A210" s="452" t="s">
        <v>265</v>
      </c>
      <c r="B210" s="453" t="s">
        <v>472</v>
      </c>
      <c r="C210" s="453" t="s">
        <v>454</v>
      </c>
      <c r="D210" s="453"/>
      <c r="E210" s="453"/>
      <c r="F210" s="454">
        <v>4087024</v>
      </c>
      <c r="G210" s="454">
        <v>4002815.16</v>
      </c>
    </row>
    <row r="211" spans="1:7" ht="22.5">
      <c r="A211" s="452" t="s">
        <v>1316</v>
      </c>
      <c r="B211" s="453" t="s">
        <v>472</v>
      </c>
      <c r="C211" s="453" t="s">
        <v>454</v>
      </c>
      <c r="D211" s="453" t="s">
        <v>1441</v>
      </c>
      <c r="E211" s="453"/>
      <c r="F211" s="454">
        <v>239785</v>
      </c>
      <c r="G211" s="454">
        <v>215060</v>
      </c>
    </row>
    <row r="212" spans="1:7" ht="22.5">
      <c r="A212" s="455" t="s">
        <v>441</v>
      </c>
      <c r="B212" s="456" t="s">
        <v>472</v>
      </c>
      <c r="C212" s="456" t="s">
        <v>454</v>
      </c>
      <c r="D212" s="456" t="s">
        <v>1441</v>
      </c>
      <c r="E212" s="456" t="s">
        <v>442</v>
      </c>
      <c r="F212" s="457">
        <v>8000</v>
      </c>
      <c r="G212" s="457">
        <v>7600</v>
      </c>
    </row>
    <row r="213" spans="1:7" ht="22.5">
      <c r="A213" s="455" t="s">
        <v>445</v>
      </c>
      <c r="B213" s="456" t="s">
        <v>472</v>
      </c>
      <c r="C213" s="456" t="s">
        <v>454</v>
      </c>
      <c r="D213" s="456" t="s">
        <v>1441</v>
      </c>
      <c r="E213" s="456" t="s">
        <v>446</v>
      </c>
      <c r="F213" s="457">
        <v>231785</v>
      </c>
      <c r="G213" s="457">
        <v>207460</v>
      </c>
    </row>
    <row r="214" spans="1:7" ht="45">
      <c r="A214" s="452" t="s">
        <v>1611</v>
      </c>
      <c r="B214" s="453" t="s">
        <v>472</v>
      </c>
      <c r="C214" s="453" t="s">
        <v>454</v>
      </c>
      <c r="D214" s="453" t="s">
        <v>1612</v>
      </c>
      <c r="E214" s="453"/>
      <c r="F214" s="454">
        <v>72445.8</v>
      </c>
      <c r="G214" s="454">
        <v>37445.800000000003</v>
      </c>
    </row>
    <row r="215" spans="1:7" ht="22.5">
      <c r="A215" s="455" t="s">
        <v>441</v>
      </c>
      <c r="B215" s="456" t="s">
        <v>472</v>
      </c>
      <c r="C215" s="456" t="s">
        <v>454</v>
      </c>
      <c r="D215" s="456" t="s">
        <v>1612</v>
      </c>
      <c r="E215" s="456" t="s">
        <v>442</v>
      </c>
      <c r="F215" s="457">
        <v>72445.8</v>
      </c>
      <c r="G215" s="457">
        <v>37445.800000000003</v>
      </c>
    </row>
    <row r="216" spans="1:7" ht="45">
      <c r="A216" s="452" t="s">
        <v>1613</v>
      </c>
      <c r="B216" s="453" t="s">
        <v>472</v>
      </c>
      <c r="C216" s="453" t="s">
        <v>454</v>
      </c>
      <c r="D216" s="453" t="s">
        <v>1614</v>
      </c>
      <c r="E216" s="453"/>
      <c r="F216" s="454">
        <v>3627042</v>
      </c>
      <c r="G216" s="454">
        <v>3624453.36</v>
      </c>
    </row>
    <row r="217" spans="1:7" ht="22.5">
      <c r="A217" s="455" t="s">
        <v>1165</v>
      </c>
      <c r="B217" s="456" t="s">
        <v>472</v>
      </c>
      <c r="C217" s="456" t="s">
        <v>454</v>
      </c>
      <c r="D217" s="456" t="s">
        <v>1614</v>
      </c>
      <c r="E217" s="456" t="s">
        <v>440</v>
      </c>
      <c r="F217" s="457">
        <v>2785747</v>
      </c>
      <c r="G217" s="457">
        <v>2785747</v>
      </c>
    </row>
    <row r="218" spans="1:7" ht="33.75">
      <c r="A218" s="455" t="s">
        <v>1288</v>
      </c>
      <c r="B218" s="456" t="s">
        <v>472</v>
      </c>
      <c r="C218" s="456" t="s">
        <v>454</v>
      </c>
      <c r="D218" s="456" t="s">
        <v>1614</v>
      </c>
      <c r="E218" s="456" t="s">
        <v>1289</v>
      </c>
      <c r="F218" s="457">
        <v>841295</v>
      </c>
      <c r="G218" s="457">
        <v>838706.36</v>
      </c>
    </row>
    <row r="219" spans="1:7" ht="33.75">
      <c r="A219" s="452" t="s">
        <v>1615</v>
      </c>
      <c r="B219" s="453" t="s">
        <v>472</v>
      </c>
      <c r="C219" s="453" t="s">
        <v>454</v>
      </c>
      <c r="D219" s="453" t="s">
        <v>1616</v>
      </c>
      <c r="E219" s="453"/>
      <c r="F219" s="454">
        <v>147751.20000000001</v>
      </c>
      <c r="G219" s="454">
        <v>125856</v>
      </c>
    </row>
    <row r="220" spans="1:7" ht="22.5">
      <c r="A220" s="455" t="s">
        <v>445</v>
      </c>
      <c r="B220" s="456" t="s">
        <v>472</v>
      </c>
      <c r="C220" s="456" t="s">
        <v>454</v>
      </c>
      <c r="D220" s="456" t="s">
        <v>1616</v>
      </c>
      <c r="E220" s="456" t="s">
        <v>446</v>
      </c>
      <c r="F220" s="457">
        <v>147751.20000000001</v>
      </c>
      <c r="G220" s="457">
        <v>125856</v>
      </c>
    </row>
    <row r="221" spans="1:7" ht="22.5">
      <c r="A221" s="452" t="s">
        <v>304</v>
      </c>
      <c r="B221" s="453" t="s">
        <v>246</v>
      </c>
      <c r="C221" s="453"/>
      <c r="D221" s="453"/>
      <c r="E221" s="453"/>
      <c r="F221" s="454">
        <v>169651017.61000001</v>
      </c>
      <c r="G221" s="454">
        <v>152001785.81999999</v>
      </c>
    </row>
    <row r="222" spans="1:7">
      <c r="A222" s="452" t="s">
        <v>287</v>
      </c>
      <c r="B222" s="453" t="s">
        <v>246</v>
      </c>
      <c r="C222" s="453" t="s">
        <v>1607</v>
      </c>
      <c r="D222" s="453"/>
      <c r="E222" s="453"/>
      <c r="F222" s="454">
        <v>53369005.18</v>
      </c>
      <c r="G222" s="454">
        <v>36712947.670000002</v>
      </c>
    </row>
    <row r="223" spans="1:7">
      <c r="A223" s="452" t="s">
        <v>181</v>
      </c>
      <c r="B223" s="453" t="s">
        <v>246</v>
      </c>
      <c r="C223" s="453" t="s">
        <v>482</v>
      </c>
      <c r="D223" s="453"/>
      <c r="E223" s="453"/>
      <c r="F223" s="454">
        <v>49722917.979999997</v>
      </c>
      <c r="G223" s="454">
        <v>33076330.469999999</v>
      </c>
    </row>
    <row r="224" spans="1:7" ht="67.5">
      <c r="A224" s="458" t="s">
        <v>2614</v>
      </c>
      <c r="B224" s="453" t="s">
        <v>246</v>
      </c>
      <c r="C224" s="453" t="s">
        <v>482</v>
      </c>
      <c r="D224" s="453" t="s">
        <v>1747</v>
      </c>
      <c r="E224" s="453"/>
      <c r="F224" s="454">
        <v>22520470.420000002</v>
      </c>
      <c r="G224" s="454">
        <v>20826764.73</v>
      </c>
    </row>
    <row r="225" spans="1:7" ht="22.5">
      <c r="A225" s="455" t="s">
        <v>461</v>
      </c>
      <c r="B225" s="456" t="s">
        <v>246</v>
      </c>
      <c r="C225" s="456" t="s">
        <v>482</v>
      </c>
      <c r="D225" s="456" t="s">
        <v>1747</v>
      </c>
      <c r="E225" s="456" t="s">
        <v>462</v>
      </c>
      <c r="F225" s="457">
        <v>22520470.420000002</v>
      </c>
      <c r="G225" s="457">
        <v>20826764.73</v>
      </c>
    </row>
    <row r="226" spans="1:7" ht="67.5">
      <c r="A226" s="458" t="s">
        <v>2606</v>
      </c>
      <c r="B226" s="453" t="s">
        <v>246</v>
      </c>
      <c r="C226" s="453" t="s">
        <v>482</v>
      </c>
      <c r="D226" s="453" t="s">
        <v>902</v>
      </c>
      <c r="E226" s="453"/>
      <c r="F226" s="454">
        <v>26649837.309999999</v>
      </c>
      <c r="G226" s="454">
        <v>11728322.68</v>
      </c>
    </row>
    <row r="227" spans="1:7" ht="22.5">
      <c r="A227" s="455" t="s">
        <v>461</v>
      </c>
      <c r="B227" s="456" t="s">
        <v>246</v>
      </c>
      <c r="C227" s="456" t="s">
        <v>482</v>
      </c>
      <c r="D227" s="456" t="s">
        <v>902</v>
      </c>
      <c r="E227" s="456" t="s">
        <v>462</v>
      </c>
      <c r="F227" s="457">
        <v>12032817.9</v>
      </c>
      <c r="G227" s="457">
        <v>11728322.68</v>
      </c>
    </row>
    <row r="228" spans="1:7" ht="33.75">
      <c r="A228" s="455" t="s">
        <v>1748</v>
      </c>
      <c r="B228" s="456" t="s">
        <v>246</v>
      </c>
      <c r="C228" s="456" t="s">
        <v>482</v>
      </c>
      <c r="D228" s="456" t="s">
        <v>902</v>
      </c>
      <c r="E228" s="456" t="s">
        <v>1749</v>
      </c>
      <c r="F228" s="457">
        <v>14617019.41</v>
      </c>
      <c r="G228" s="457">
        <v>0</v>
      </c>
    </row>
    <row r="229" spans="1:7" ht="67.5">
      <c r="A229" s="458" t="s">
        <v>2615</v>
      </c>
      <c r="B229" s="453" t="s">
        <v>246</v>
      </c>
      <c r="C229" s="453" t="s">
        <v>482</v>
      </c>
      <c r="D229" s="453" t="s">
        <v>1751</v>
      </c>
      <c r="E229" s="453"/>
      <c r="F229" s="454">
        <v>109080.25</v>
      </c>
      <c r="G229" s="454">
        <v>88273.06</v>
      </c>
    </row>
    <row r="230" spans="1:7" ht="22.5">
      <c r="A230" s="455" t="s">
        <v>445</v>
      </c>
      <c r="B230" s="456" t="s">
        <v>246</v>
      </c>
      <c r="C230" s="456" t="s">
        <v>482</v>
      </c>
      <c r="D230" s="456" t="s">
        <v>1751</v>
      </c>
      <c r="E230" s="456" t="s">
        <v>446</v>
      </c>
      <c r="F230" s="457">
        <v>109080.25</v>
      </c>
      <c r="G230" s="457">
        <v>88273.06</v>
      </c>
    </row>
    <row r="231" spans="1:7" ht="67.5">
      <c r="A231" s="458" t="s">
        <v>2616</v>
      </c>
      <c r="B231" s="453" t="s">
        <v>246</v>
      </c>
      <c r="C231" s="453" t="s">
        <v>482</v>
      </c>
      <c r="D231" s="453" t="s">
        <v>1753</v>
      </c>
      <c r="E231" s="453"/>
      <c r="F231" s="454">
        <v>443530</v>
      </c>
      <c r="G231" s="454">
        <v>432970</v>
      </c>
    </row>
    <row r="232" spans="1:7" ht="22.5">
      <c r="A232" s="455" t="s">
        <v>461</v>
      </c>
      <c r="B232" s="456" t="s">
        <v>246</v>
      </c>
      <c r="C232" s="456" t="s">
        <v>482</v>
      </c>
      <c r="D232" s="456" t="s">
        <v>1753</v>
      </c>
      <c r="E232" s="456" t="s">
        <v>462</v>
      </c>
      <c r="F232" s="457">
        <v>443530</v>
      </c>
      <c r="G232" s="457">
        <v>432970</v>
      </c>
    </row>
    <row r="233" spans="1:7" ht="22.5">
      <c r="A233" s="452" t="s">
        <v>186</v>
      </c>
      <c r="B233" s="453" t="s">
        <v>246</v>
      </c>
      <c r="C233" s="453" t="s">
        <v>507</v>
      </c>
      <c r="D233" s="453"/>
      <c r="E233" s="453"/>
      <c r="F233" s="454">
        <v>3646087.2</v>
      </c>
      <c r="G233" s="454">
        <v>3636617.2</v>
      </c>
    </row>
    <row r="234" spans="1:7" ht="33.75">
      <c r="A234" s="452" t="s">
        <v>508</v>
      </c>
      <c r="B234" s="453" t="s">
        <v>246</v>
      </c>
      <c r="C234" s="453" t="s">
        <v>507</v>
      </c>
      <c r="D234" s="453" t="s">
        <v>903</v>
      </c>
      <c r="E234" s="453"/>
      <c r="F234" s="454">
        <v>3449350</v>
      </c>
      <c r="G234" s="454">
        <v>3439880</v>
      </c>
    </row>
    <row r="235" spans="1:7">
      <c r="A235" s="455" t="s">
        <v>1603</v>
      </c>
      <c r="B235" s="456" t="s">
        <v>246</v>
      </c>
      <c r="C235" s="456" t="s">
        <v>507</v>
      </c>
      <c r="D235" s="456" t="s">
        <v>903</v>
      </c>
      <c r="E235" s="456" t="s">
        <v>460</v>
      </c>
      <c r="F235" s="457">
        <v>2496697</v>
      </c>
      <c r="G235" s="457">
        <v>2490352.08</v>
      </c>
    </row>
    <row r="236" spans="1:7" ht="22.5">
      <c r="A236" s="455" t="s">
        <v>1617</v>
      </c>
      <c r="B236" s="456" t="s">
        <v>246</v>
      </c>
      <c r="C236" s="456" t="s">
        <v>507</v>
      </c>
      <c r="D236" s="456" t="s">
        <v>903</v>
      </c>
      <c r="E236" s="456" t="s">
        <v>509</v>
      </c>
      <c r="F236" s="457">
        <v>109739.9</v>
      </c>
      <c r="G236" s="457">
        <v>109016.54</v>
      </c>
    </row>
    <row r="237" spans="1:7" ht="33.75">
      <c r="A237" s="455" t="s">
        <v>1604</v>
      </c>
      <c r="B237" s="456" t="s">
        <v>246</v>
      </c>
      <c r="C237" s="456" t="s">
        <v>507</v>
      </c>
      <c r="D237" s="456" t="s">
        <v>903</v>
      </c>
      <c r="E237" s="456" t="s">
        <v>1290</v>
      </c>
      <c r="F237" s="457">
        <v>754003</v>
      </c>
      <c r="G237" s="457">
        <v>751601.28</v>
      </c>
    </row>
    <row r="238" spans="1:7" ht="22.5">
      <c r="A238" s="455" t="s">
        <v>445</v>
      </c>
      <c r="B238" s="456" t="s">
        <v>246</v>
      </c>
      <c r="C238" s="456" t="s">
        <v>507</v>
      </c>
      <c r="D238" s="456" t="s">
        <v>903</v>
      </c>
      <c r="E238" s="456" t="s">
        <v>446</v>
      </c>
      <c r="F238" s="457">
        <v>87900</v>
      </c>
      <c r="G238" s="457">
        <v>87900</v>
      </c>
    </row>
    <row r="239" spans="1:7">
      <c r="A239" s="455" t="s">
        <v>1293</v>
      </c>
      <c r="B239" s="456" t="s">
        <v>246</v>
      </c>
      <c r="C239" s="456" t="s">
        <v>507</v>
      </c>
      <c r="D239" s="456" t="s">
        <v>903</v>
      </c>
      <c r="E239" s="456" t="s">
        <v>1294</v>
      </c>
      <c r="F239" s="457">
        <v>1010.1</v>
      </c>
      <c r="G239" s="457">
        <v>1010.1</v>
      </c>
    </row>
    <row r="240" spans="1:7" ht="45">
      <c r="A240" s="452" t="s">
        <v>728</v>
      </c>
      <c r="B240" s="453" t="s">
        <v>246</v>
      </c>
      <c r="C240" s="453" t="s">
        <v>507</v>
      </c>
      <c r="D240" s="453" t="s">
        <v>904</v>
      </c>
      <c r="E240" s="453"/>
      <c r="F240" s="454">
        <v>196737.2</v>
      </c>
      <c r="G240" s="454">
        <v>196737.2</v>
      </c>
    </row>
    <row r="241" spans="1:7" ht="22.5">
      <c r="A241" s="455" t="s">
        <v>1617</v>
      </c>
      <c r="B241" s="456" t="s">
        <v>246</v>
      </c>
      <c r="C241" s="456" t="s">
        <v>507</v>
      </c>
      <c r="D241" s="456" t="s">
        <v>904</v>
      </c>
      <c r="E241" s="456" t="s">
        <v>509</v>
      </c>
      <c r="F241" s="457">
        <v>196737.2</v>
      </c>
      <c r="G241" s="457">
        <v>196737.2</v>
      </c>
    </row>
    <row r="242" spans="1:7">
      <c r="A242" s="452" t="s">
        <v>173</v>
      </c>
      <c r="B242" s="453" t="s">
        <v>246</v>
      </c>
      <c r="C242" s="453" t="s">
        <v>1608</v>
      </c>
      <c r="D242" s="453"/>
      <c r="E242" s="453"/>
      <c r="F242" s="454">
        <v>115980060.43000001</v>
      </c>
      <c r="G242" s="454">
        <v>114986886.15000001</v>
      </c>
    </row>
    <row r="243" spans="1:7">
      <c r="A243" s="452" t="s">
        <v>187</v>
      </c>
      <c r="B243" s="453" t="s">
        <v>246</v>
      </c>
      <c r="C243" s="453" t="s">
        <v>528</v>
      </c>
      <c r="D243" s="453"/>
      <c r="E243" s="453"/>
      <c r="F243" s="454">
        <v>71732861.319999993</v>
      </c>
      <c r="G243" s="454">
        <v>71732861.319999993</v>
      </c>
    </row>
    <row r="244" spans="1:7" ht="56.25">
      <c r="A244" s="452" t="s">
        <v>1754</v>
      </c>
      <c r="B244" s="453" t="s">
        <v>246</v>
      </c>
      <c r="C244" s="453" t="s">
        <v>528</v>
      </c>
      <c r="D244" s="453" t="s">
        <v>1755</v>
      </c>
      <c r="E244" s="453"/>
      <c r="F244" s="454">
        <v>1351046.37</v>
      </c>
      <c r="G244" s="454">
        <v>1351046.37</v>
      </c>
    </row>
    <row r="245" spans="1:7" ht="22.5">
      <c r="A245" s="455" t="s">
        <v>461</v>
      </c>
      <c r="B245" s="456" t="s">
        <v>246</v>
      </c>
      <c r="C245" s="456" t="s">
        <v>528</v>
      </c>
      <c r="D245" s="456" t="s">
        <v>1755</v>
      </c>
      <c r="E245" s="456" t="s">
        <v>462</v>
      </c>
      <c r="F245" s="457">
        <v>1351046.37</v>
      </c>
      <c r="G245" s="457">
        <v>1351046.37</v>
      </c>
    </row>
    <row r="246" spans="1:7" ht="67.5">
      <c r="A246" s="458" t="s">
        <v>2617</v>
      </c>
      <c r="B246" s="453" t="s">
        <v>246</v>
      </c>
      <c r="C246" s="453" t="s">
        <v>528</v>
      </c>
      <c r="D246" s="453" t="s">
        <v>1809</v>
      </c>
      <c r="E246" s="453"/>
      <c r="F246" s="454">
        <v>68047203.189999998</v>
      </c>
      <c r="G246" s="454">
        <v>68047203.189999998</v>
      </c>
    </row>
    <row r="247" spans="1:7" ht="22.5">
      <c r="A247" s="455" t="s">
        <v>445</v>
      </c>
      <c r="B247" s="456" t="s">
        <v>246</v>
      </c>
      <c r="C247" s="456" t="s">
        <v>528</v>
      </c>
      <c r="D247" s="456" t="s">
        <v>1809</v>
      </c>
      <c r="E247" s="456" t="s">
        <v>446</v>
      </c>
      <c r="F247" s="457">
        <v>8226825.9400000004</v>
      </c>
      <c r="G247" s="457">
        <v>8226825.9400000004</v>
      </c>
    </row>
    <row r="248" spans="1:7" ht="33.75">
      <c r="A248" s="455" t="s">
        <v>1748</v>
      </c>
      <c r="B248" s="456" t="s">
        <v>246</v>
      </c>
      <c r="C248" s="456" t="s">
        <v>528</v>
      </c>
      <c r="D248" s="456" t="s">
        <v>1809</v>
      </c>
      <c r="E248" s="456" t="s">
        <v>1749</v>
      </c>
      <c r="F248" s="457">
        <v>59820377.25</v>
      </c>
      <c r="G248" s="457">
        <v>59820377.25</v>
      </c>
    </row>
    <row r="249" spans="1:7" ht="67.5">
      <c r="A249" s="458" t="s">
        <v>2618</v>
      </c>
      <c r="B249" s="453" t="s">
        <v>246</v>
      </c>
      <c r="C249" s="453" t="s">
        <v>528</v>
      </c>
      <c r="D249" s="453" t="s">
        <v>905</v>
      </c>
      <c r="E249" s="453"/>
      <c r="F249" s="454">
        <v>2334611.7599999998</v>
      </c>
      <c r="G249" s="454">
        <v>2334611.7599999998</v>
      </c>
    </row>
    <row r="250" spans="1:7" ht="33.75">
      <c r="A250" s="455" t="s">
        <v>1748</v>
      </c>
      <c r="B250" s="456" t="s">
        <v>246</v>
      </c>
      <c r="C250" s="456" t="s">
        <v>528</v>
      </c>
      <c r="D250" s="456" t="s">
        <v>905</v>
      </c>
      <c r="E250" s="456" t="s">
        <v>1749</v>
      </c>
      <c r="F250" s="457">
        <v>2334611.7599999998</v>
      </c>
      <c r="G250" s="457">
        <v>2334611.7599999998</v>
      </c>
    </row>
    <row r="251" spans="1:7">
      <c r="A251" s="452" t="s">
        <v>188</v>
      </c>
      <c r="B251" s="453" t="s">
        <v>246</v>
      </c>
      <c r="C251" s="453" t="s">
        <v>515</v>
      </c>
      <c r="D251" s="453"/>
      <c r="E251" s="453"/>
      <c r="F251" s="454">
        <v>43423195.390000001</v>
      </c>
      <c r="G251" s="454">
        <v>42430021.109999999</v>
      </c>
    </row>
    <row r="252" spans="1:7" ht="56.25">
      <c r="A252" s="452" t="s">
        <v>1754</v>
      </c>
      <c r="B252" s="453" t="s">
        <v>246</v>
      </c>
      <c r="C252" s="453" t="s">
        <v>515</v>
      </c>
      <c r="D252" s="453" t="s">
        <v>1755</v>
      </c>
      <c r="E252" s="453"/>
      <c r="F252" s="454">
        <v>1333439.28</v>
      </c>
      <c r="G252" s="454">
        <v>340265</v>
      </c>
    </row>
    <row r="253" spans="1:7" ht="22.5">
      <c r="A253" s="455" t="s">
        <v>461</v>
      </c>
      <c r="B253" s="456" t="s">
        <v>246</v>
      </c>
      <c r="C253" s="456" t="s">
        <v>515</v>
      </c>
      <c r="D253" s="456" t="s">
        <v>1755</v>
      </c>
      <c r="E253" s="456" t="s">
        <v>462</v>
      </c>
      <c r="F253" s="457">
        <v>1333439.28</v>
      </c>
      <c r="G253" s="457">
        <v>340265</v>
      </c>
    </row>
    <row r="254" spans="1:7" ht="56.25">
      <c r="A254" s="452" t="s">
        <v>1061</v>
      </c>
      <c r="B254" s="453" t="s">
        <v>246</v>
      </c>
      <c r="C254" s="453" t="s">
        <v>515</v>
      </c>
      <c r="D254" s="453" t="s">
        <v>1060</v>
      </c>
      <c r="E254" s="453"/>
      <c r="F254" s="454">
        <v>234480.2</v>
      </c>
      <c r="G254" s="454">
        <v>234480.2</v>
      </c>
    </row>
    <row r="255" spans="1:7" ht="22.5">
      <c r="A255" s="455" t="s">
        <v>461</v>
      </c>
      <c r="B255" s="456" t="s">
        <v>246</v>
      </c>
      <c r="C255" s="456" t="s">
        <v>515</v>
      </c>
      <c r="D255" s="456" t="s">
        <v>1060</v>
      </c>
      <c r="E255" s="456" t="s">
        <v>462</v>
      </c>
      <c r="F255" s="457">
        <v>234480.2</v>
      </c>
      <c r="G255" s="457">
        <v>234480.2</v>
      </c>
    </row>
    <row r="256" spans="1:7" ht="67.5">
      <c r="A256" s="458" t="s">
        <v>2617</v>
      </c>
      <c r="B256" s="453" t="s">
        <v>246</v>
      </c>
      <c r="C256" s="453" t="s">
        <v>515</v>
      </c>
      <c r="D256" s="453" t="s">
        <v>1809</v>
      </c>
      <c r="E256" s="453"/>
      <c r="F256" s="454">
        <v>38776460.359999999</v>
      </c>
      <c r="G256" s="454">
        <v>38776460.359999999</v>
      </c>
    </row>
    <row r="257" spans="1:7" ht="22.5">
      <c r="A257" s="455" t="s">
        <v>445</v>
      </c>
      <c r="B257" s="456" t="s">
        <v>246</v>
      </c>
      <c r="C257" s="456" t="s">
        <v>515</v>
      </c>
      <c r="D257" s="456" t="s">
        <v>1809</v>
      </c>
      <c r="E257" s="456" t="s">
        <v>446</v>
      </c>
      <c r="F257" s="457">
        <v>871956</v>
      </c>
      <c r="G257" s="457">
        <v>871956</v>
      </c>
    </row>
    <row r="258" spans="1:7" ht="33.75">
      <c r="A258" s="455" t="s">
        <v>1748</v>
      </c>
      <c r="B258" s="456" t="s">
        <v>246</v>
      </c>
      <c r="C258" s="456" t="s">
        <v>515</v>
      </c>
      <c r="D258" s="456" t="s">
        <v>1809</v>
      </c>
      <c r="E258" s="456" t="s">
        <v>1749</v>
      </c>
      <c r="F258" s="457">
        <v>37904504.359999999</v>
      </c>
      <c r="G258" s="457">
        <v>37904504.359999999</v>
      </c>
    </row>
    <row r="259" spans="1:7" ht="67.5">
      <c r="A259" s="458" t="s">
        <v>2618</v>
      </c>
      <c r="B259" s="453" t="s">
        <v>246</v>
      </c>
      <c r="C259" s="453" t="s">
        <v>515</v>
      </c>
      <c r="D259" s="453" t="s">
        <v>905</v>
      </c>
      <c r="E259" s="453"/>
      <c r="F259" s="454">
        <v>6819.22</v>
      </c>
      <c r="G259" s="454">
        <v>6819.22</v>
      </c>
    </row>
    <row r="260" spans="1:7" ht="33.75">
      <c r="A260" s="455" t="s">
        <v>1748</v>
      </c>
      <c r="B260" s="456" t="s">
        <v>246</v>
      </c>
      <c r="C260" s="456" t="s">
        <v>515</v>
      </c>
      <c r="D260" s="456" t="s">
        <v>905</v>
      </c>
      <c r="E260" s="456" t="s">
        <v>1749</v>
      </c>
      <c r="F260" s="457">
        <v>6819.22</v>
      </c>
      <c r="G260" s="457">
        <v>6819.22</v>
      </c>
    </row>
    <row r="261" spans="1:7" ht="67.5">
      <c r="A261" s="458" t="s">
        <v>2619</v>
      </c>
      <c r="B261" s="453" t="s">
        <v>246</v>
      </c>
      <c r="C261" s="453" t="s">
        <v>515</v>
      </c>
      <c r="D261" s="453" t="s">
        <v>1864</v>
      </c>
      <c r="E261" s="453"/>
      <c r="F261" s="454">
        <v>30073</v>
      </c>
      <c r="G261" s="454">
        <v>30073</v>
      </c>
    </row>
    <row r="262" spans="1:7" ht="22.5">
      <c r="A262" s="455" t="s">
        <v>461</v>
      </c>
      <c r="B262" s="456" t="s">
        <v>246</v>
      </c>
      <c r="C262" s="456" t="s">
        <v>515</v>
      </c>
      <c r="D262" s="456" t="s">
        <v>1864</v>
      </c>
      <c r="E262" s="456" t="s">
        <v>462</v>
      </c>
      <c r="F262" s="457">
        <v>30073</v>
      </c>
      <c r="G262" s="457">
        <v>30073</v>
      </c>
    </row>
    <row r="263" spans="1:7" ht="67.5">
      <c r="A263" s="458" t="s">
        <v>2620</v>
      </c>
      <c r="B263" s="453" t="s">
        <v>246</v>
      </c>
      <c r="C263" s="453" t="s">
        <v>515</v>
      </c>
      <c r="D263" s="453" t="s">
        <v>1858</v>
      </c>
      <c r="E263" s="453"/>
      <c r="F263" s="454">
        <v>2904242.44</v>
      </c>
      <c r="G263" s="454">
        <v>2904242.44</v>
      </c>
    </row>
    <row r="264" spans="1:7" ht="22.5">
      <c r="A264" s="455" t="s">
        <v>461</v>
      </c>
      <c r="B264" s="456" t="s">
        <v>246</v>
      </c>
      <c r="C264" s="456" t="s">
        <v>515</v>
      </c>
      <c r="D264" s="456" t="s">
        <v>1858</v>
      </c>
      <c r="E264" s="456" t="s">
        <v>462</v>
      </c>
      <c r="F264" s="457">
        <v>2904242.44</v>
      </c>
      <c r="G264" s="457">
        <v>2904242.44</v>
      </c>
    </row>
    <row r="265" spans="1:7" ht="33.75">
      <c r="A265" s="452" t="s">
        <v>1756</v>
      </c>
      <c r="B265" s="453" t="s">
        <v>246</v>
      </c>
      <c r="C265" s="453" t="s">
        <v>515</v>
      </c>
      <c r="D265" s="453" t="s">
        <v>1757</v>
      </c>
      <c r="E265" s="453"/>
      <c r="F265" s="454">
        <v>137680.89000000001</v>
      </c>
      <c r="G265" s="454">
        <v>137680.89000000001</v>
      </c>
    </row>
    <row r="266" spans="1:7" ht="22.5">
      <c r="A266" s="455" t="s">
        <v>1758</v>
      </c>
      <c r="B266" s="456" t="s">
        <v>246</v>
      </c>
      <c r="C266" s="456" t="s">
        <v>515</v>
      </c>
      <c r="D266" s="456" t="s">
        <v>1757</v>
      </c>
      <c r="E266" s="456" t="s">
        <v>552</v>
      </c>
      <c r="F266" s="457">
        <v>137680.89000000001</v>
      </c>
      <c r="G266" s="457">
        <v>137680.89000000001</v>
      </c>
    </row>
    <row r="267" spans="1:7">
      <c r="A267" s="452" t="s">
        <v>1442</v>
      </c>
      <c r="B267" s="453" t="s">
        <v>246</v>
      </c>
      <c r="C267" s="453" t="s">
        <v>1443</v>
      </c>
      <c r="D267" s="453"/>
      <c r="E267" s="453"/>
      <c r="F267" s="454">
        <v>824003.72</v>
      </c>
      <c r="G267" s="454">
        <v>824003.72</v>
      </c>
    </row>
    <row r="268" spans="1:7" ht="56.25">
      <c r="A268" s="452" t="s">
        <v>1754</v>
      </c>
      <c r="B268" s="453" t="s">
        <v>246</v>
      </c>
      <c r="C268" s="453" t="s">
        <v>1443</v>
      </c>
      <c r="D268" s="453" t="s">
        <v>1755</v>
      </c>
      <c r="E268" s="453"/>
      <c r="F268" s="454">
        <v>824003.72</v>
      </c>
      <c r="G268" s="454">
        <v>824003.72</v>
      </c>
    </row>
    <row r="269" spans="1:7" ht="22.5">
      <c r="A269" s="455" t="s">
        <v>461</v>
      </c>
      <c r="B269" s="456" t="s">
        <v>246</v>
      </c>
      <c r="C269" s="456" t="s">
        <v>1443</v>
      </c>
      <c r="D269" s="456" t="s">
        <v>1755</v>
      </c>
      <c r="E269" s="456" t="s">
        <v>462</v>
      </c>
      <c r="F269" s="457">
        <v>824003.72</v>
      </c>
      <c r="G269" s="457">
        <v>824003.72</v>
      </c>
    </row>
    <row r="270" spans="1:7">
      <c r="A270" s="452" t="s">
        <v>298</v>
      </c>
      <c r="B270" s="453" t="s">
        <v>246</v>
      </c>
      <c r="C270" s="453" t="s">
        <v>1618</v>
      </c>
      <c r="D270" s="453"/>
      <c r="E270" s="453"/>
      <c r="F270" s="454">
        <v>301952</v>
      </c>
      <c r="G270" s="454">
        <v>301952</v>
      </c>
    </row>
    <row r="271" spans="1:7">
      <c r="A271" s="452" t="s">
        <v>254</v>
      </c>
      <c r="B271" s="453" t="s">
        <v>246</v>
      </c>
      <c r="C271" s="453" t="s">
        <v>510</v>
      </c>
      <c r="D271" s="453"/>
      <c r="E271" s="453"/>
      <c r="F271" s="454">
        <v>301952</v>
      </c>
      <c r="G271" s="454">
        <v>301952</v>
      </c>
    </row>
    <row r="272" spans="1:7" ht="56.25">
      <c r="A272" s="452" t="s">
        <v>1759</v>
      </c>
      <c r="B272" s="453" t="s">
        <v>246</v>
      </c>
      <c r="C272" s="453" t="s">
        <v>510</v>
      </c>
      <c r="D272" s="453" t="s">
        <v>1760</v>
      </c>
      <c r="E272" s="453"/>
      <c r="F272" s="454">
        <v>301952</v>
      </c>
      <c r="G272" s="454">
        <v>301952</v>
      </c>
    </row>
    <row r="273" spans="1:7" ht="22.5">
      <c r="A273" s="455" t="s">
        <v>461</v>
      </c>
      <c r="B273" s="456" t="s">
        <v>246</v>
      </c>
      <c r="C273" s="456" t="s">
        <v>510</v>
      </c>
      <c r="D273" s="456" t="s">
        <v>1760</v>
      </c>
      <c r="E273" s="456" t="s">
        <v>462</v>
      </c>
      <c r="F273" s="457">
        <v>301952</v>
      </c>
      <c r="G273" s="457">
        <v>301952</v>
      </c>
    </row>
    <row r="274" spans="1:7" ht="22.5">
      <c r="A274" s="452" t="s">
        <v>511</v>
      </c>
      <c r="B274" s="453" t="s">
        <v>177</v>
      </c>
      <c r="C274" s="453"/>
      <c r="D274" s="453"/>
      <c r="E274" s="453"/>
      <c r="F274" s="454">
        <v>65401154</v>
      </c>
      <c r="G274" s="454">
        <v>65399405.899999999</v>
      </c>
    </row>
    <row r="275" spans="1:7">
      <c r="A275" s="452" t="s">
        <v>174</v>
      </c>
      <c r="B275" s="453" t="s">
        <v>177</v>
      </c>
      <c r="C275" s="453" t="s">
        <v>1609</v>
      </c>
      <c r="D275" s="453"/>
      <c r="E275" s="453"/>
      <c r="F275" s="454">
        <v>65401154</v>
      </c>
      <c r="G275" s="454">
        <v>65399405.899999999</v>
      </c>
    </row>
    <row r="276" spans="1:7">
      <c r="A276" s="452" t="s">
        <v>126</v>
      </c>
      <c r="B276" s="453" t="s">
        <v>177</v>
      </c>
      <c r="C276" s="453" t="s">
        <v>513</v>
      </c>
      <c r="D276" s="453"/>
      <c r="E276" s="453"/>
      <c r="F276" s="454">
        <v>46039251</v>
      </c>
      <c r="G276" s="454">
        <v>46039251</v>
      </c>
    </row>
    <row r="277" spans="1:7" ht="67.5">
      <c r="A277" s="458" t="s">
        <v>2621</v>
      </c>
      <c r="B277" s="453" t="s">
        <v>177</v>
      </c>
      <c r="C277" s="453" t="s">
        <v>513</v>
      </c>
      <c r="D277" s="453" t="s">
        <v>908</v>
      </c>
      <c r="E277" s="453"/>
      <c r="F277" s="454">
        <v>46039251</v>
      </c>
      <c r="G277" s="454">
        <v>46039251</v>
      </c>
    </row>
    <row r="278" spans="1:7" ht="45">
      <c r="A278" s="455" t="s">
        <v>465</v>
      </c>
      <c r="B278" s="456" t="s">
        <v>177</v>
      </c>
      <c r="C278" s="456" t="s">
        <v>513</v>
      </c>
      <c r="D278" s="456" t="s">
        <v>908</v>
      </c>
      <c r="E278" s="456" t="s">
        <v>466</v>
      </c>
      <c r="F278" s="457">
        <v>46039251</v>
      </c>
      <c r="G278" s="457">
        <v>46039251</v>
      </c>
    </row>
    <row r="279" spans="1:7">
      <c r="A279" s="452" t="s">
        <v>127</v>
      </c>
      <c r="B279" s="453" t="s">
        <v>177</v>
      </c>
      <c r="C279" s="453" t="s">
        <v>496</v>
      </c>
      <c r="D279" s="453"/>
      <c r="E279" s="453"/>
      <c r="F279" s="454">
        <v>357854</v>
      </c>
      <c r="G279" s="454">
        <v>356105.9</v>
      </c>
    </row>
    <row r="280" spans="1:7" ht="67.5">
      <c r="A280" s="458" t="s">
        <v>2622</v>
      </c>
      <c r="B280" s="453" t="s">
        <v>177</v>
      </c>
      <c r="C280" s="453" t="s">
        <v>496</v>
      </c>
      <c r="D280" s="453" t="s">
        <v>1310</v>
      </c>
      <c r="E280" s="453"/>
      <c r="F280" s="454">
        <v>337500</v>
      </c>
      <c r="G280" s="454">
        <v>335751.9</v>
      </c>
    </row>
    <row r="281" spans="1:7" ht="22.5">
      <c r="A281" s="455" t="s">
        <v>445</v>
      </c>
      <c r="B281" s="456" t="s">
        <v>177</v>
      </c>
      <c r="C281" s="456" t="s">
        <v>496</v>
      </c>
      <c r="D281" s="456" t="s">
        <v>1310</v>
      </c>
      <c r="E281" s="456" t="s">
        <v>446</v>
      </c>
      <c r="F281" s="457">
        <v>337500</v>
      </c>
      <c r="G281" s="457">
        <v>335751.9</v>
      </c>
    </row>
    <row r="282" spans="1:7" ht="33.75">
      <c r="A282" s="452" t="s">
        <v>547</v>
      </c>
      <c r="B282" s="453" t="s">
        <v>177</v>
      </c>
      <c r="C282" s="453" t="s">
        <v>496</v>
      </c>
      <c r="D282" s="453" t="s">
        <v>1002</v>
      </c>
      <c r="E282" s="453"/>
      <c r="F282" s="454">
        <v>20354</v>
      </c>
      <c r="G282" s="454">
        <v>20354</v>
      </c>
    </row>
    <row r="283" spans="1:7" ht="22.5">
      <c r="A283" s="455" t="s">
        <v>445</v>
      </c>
      <c r="B283" s="456" t="s">
        <v>177</v>
      </c>
      <c r="C283" s="456" t="s">
        <v>496</v>
      </c>
      <c r="D283" s="456" t="s">
        <v>1002</v>
      </c>
      <c r="E283" s="456" t="s">
        <v>446</v>
      </c>
      <c r="F283" s="457">
        <v>354</v>
      </c>
      <c r="G283" s="457">
        <v>354</v>
      </c>
    </row>
    <row r="284" spans="1:7" ht="22.5">
      <c r="A284" s="455" t="s">
        <v>497</v>
      </c>
      <c r="B284" s="456" t="s">
        <v>177</v>
      </c>
      <c r="C284" s="456" t="s">
        <v>496</v>
      </c>
      <c r="D284" s="456" t="s">
        <v>1002</v>
      </c>
      <c r="E284" s="456" t="s">
        <v>498</v>
      </c>
      <c r="F284" s="457">
        <v>20000</v>
      </c>
      <c r="G284" s="457">
        <v>20000</v>
      </c>
    </row>
    <row r="285" spans="1:7">
      <c r="A285" s="452" t="s">
        <v>81</v>
      </c>
      <c r="B285" s="453" t="s">
        <v>177</v>
      </c>
      <c r="C285" s="453" t="s">
        <v>514</v>
      </c>
      <c r="D285" s="453"/>
      <c r="E285" s="453"/>
      <c r="F285" s="454">
        <v>19004049</v>
      </c>
      <c r="G285" s="454">
        <v>19004049</v>
      </c>
    </row>
    <row r="286" spans="1:7" ht="67.5">
      <c r="A286" s="458" t="s">
        <v>2623</v>
      </c>
      <c r="B286" s="453" t="s">
        <v>177</v>
      </c>
      <c r="C286" s="453" t="s">
        <v>514</v>
      </c>
      <c r="D286" s="453" t="s">
        <v>910</v>
      </c>
      <c r="E286" s="453"/>
      <c r="F286" s="454">
        <v>19004049</v>
      </c>
      <c r="G286" s="454">
        <v>19004049</v>
      </c>
    </row>
    <row r="287" spans="1:7" ht="22.5">
      <c r="A287" s="455" t="s">
        <v>1165</v>
      </c>
      <c r="B287" s="456" t="s">
        <v>177</v>
      </c>
      <c r="C287" s="456" t="s">
        <v>514</v>
      </c>
      <c r="D287" s="456" t="s">
        <v>910</v>
      </c>
      <c r="E287" s="456" t="s">
        <v>440</v>
      </c>
      <c r="F287" s="457">
        <v>11608100</v>
      </c>
      <c r="G287" s="457">
        <v>11608100</v>
      </c>
    </row>
    <row r="288" spans="1:7" ht="22.5">
      <c r="A288" s="455" t="s">
        <v>441</v>
      </c>
      <c r="B288" s="456" t="s">
        <v>177</v>
      </c>
      <c r="C288" s="456" t="s">
        <v>514</v>
      </c>
      <c r="D288" s="456" t="s">
        <v>910</v>
      </c>
      <c r="E288" s="456" t="s">
        <v>442</v>
      </c>
      <c r="F288" s="457">
        <v>396008.86</v>
      </c>
      <c r="G288" s="457">
        <v>396008.86</v>
      </c>
    </row>
    <row r="289" spans="1:7" ht="33.75">
      <c r="A289" s="455" t="s">
        <v>1288</v>
      </c>
      <c r="B289" s="456" t="s">
        <v>177</v>
      </c>
      <c r="C289" s="456" t="s">
        <v>514</v>
      </c>
      <c r="D289" s="456" t="s">
        <v>910</v>
      </c>
      <c r="E289" s="456" t="s">
        <v>1289</v>
      </c>
      <c r="F289" s="457">
        <v>3496325.4</v>
      </c>
      <c r="G289" s="457">
        <v>3496325.4</v>
      </c>
    </row>
    <row r="290" spans="1:7" ht="22.5">
      <c r="A290" s="455" t="s">
        <v>445</v>
      </c>
      <c r="B290" s="456" t="s">
        <v>177</v>
      </c>
      <c r="C290" s="456" t="s">
        <v>514</v>
      </c>
      <c r="D290" s="456" t="s">
        <v>910</v>
      </c>
      <c r="E290" s="456" t="s">
        <v>446</v>
      </c>
      <c r="F290" s="457">
        <v>3496236.08</v>
      </c>
      <c r="G290" s="457">
        <v>3496236.08</v>
      </c>
    </row>
    <row r="291" spans="1:7">
      <c r="A291" s="455" t="s">
        <v>1168</v>
      </c>
      <c r="B291" s="456" t="s">
        <v>177</v>
      </c>
      <c r="C291" s="456" t="s">
        <v>514</v>
      </c>
      <c r="D291" s="456" t="s">
        <v>910</v>
      </c>
      <c r="E291" s="456" t="s">
        <v>626</v>
      </c>
      <c r="F291" s="457">
        <v>5450</v>
      </c>
      <c r="G291" s="457">
        <v>5450</v>
      </c>
    </row>
    <row r="292" spans="1:7">
      <c r="A292" s="455" t="s">
        <v>1293</v>
      </c>
      <c r="B292" s="456" t="s">
        <v>177</v>
      </c>
      <c r="C292" s="456" t="s">
        <v>514</v>
      </c>
      <c r="D292" s="456" t="s">
        <v>910</v>
      </c>
      <c r="E292" s="456" t="s">
        <v>1294</v>
      </c>
      <c r="F292" s="457">
        <v>1928.66</v>
      </c>
      <c r="G292" s="457">
        <v>1928.66</v>
      </c>
    </row>
    <row r="293" spans="1:7" ht="22.5">
      <c r="A293" s="452" t="s">
        <v>305</v>
      </c>
      <c r="B293" s="453" t="s">
        <v>278</v>
      </c>
      <c r="C293" s="453"/>
      <c r="D293" s="453"/>
      <c r="E293" s="453"/>
      <c r="F293" s="454">
        <v>218775551.5</v>
      </c>
      <c r="G293" s="454">
        <v>205862557.63</v>
      </c>
    </row>
    <row r="294" spans="1:7">
      <c r="A294" s="452" t="s">
        <v>173</v>
      </c>
      <c r="B294" s="453" t="s">
        <v>278</v>
      </c>
      <c r="C294" s="453" t="s">
        <v>1608</v>
      </c>
      <c r="D294" s="453"/>
      <c r="E294" s="453"/>
      <c r="F294" s="454">
        <v>44000094.880000003</v>
      </c>
      <c r="G294" s="454">
        <v>42084092.030000001</v>
      </c>
    </row>
    <row r="295" spans="1:7">
      <c r="A295" s="452" t="s">
        <v>1442</v>
      </c>
      <c r="B295" s="453" t="s">
        <v>278</v>
      </c>
      <c r="C295" s="453" t="s">
        <v>1443</v>
      </c>
      <c r="D295" s="453"/>
      <c r="E295" s="453"/>
      <c r="F295" s="454">
        <v>44000094.880000003</v>
      </c>
      <c r="G295" s="454">
        <v>42084092.030000001</v>
      </c>
    </row>
    <row r="296" spans="1:7" ht="45">
      <c r="A296" s="452" t="s">
        <v>637</v>
      </c>
      <c r="B296" s="453" t="s">
        <v>278</v>
      </c>
      <c r="C296" s="453" t="s">
        <v>1443</v>
      </c>
      <c r="D296" s="453" t="s">
        <v>911</v>
      </c>
      <c r="E296" s="453"/>
      <c r="F296" s="454">
        <v>158550</v>
      </c>
      <c r="G296" s="454">
        <v>158550</v>
      </c>
    </row>
    <row r="297" spans="1:7">
      <c r="A297" s="455" t="s">
        <v>484</v>
      </c>
      <c r="B297" s="456" t="s">
        <v>278</v>
      </c>
      <c r="C297" s="456" t="s">
        <v>1443</v>
      </c>
      <c r="D297" s="456" t="s">
        <v>911</v>
      </c>
      <c r="E297" s="456" t="s">
        <v>485</v>
      </c>
      <c r="F297" s="457">
        <v>158550</v>
      </c>
      <c r="G297" s="457">
        <v>158550</v>
      </c>
    </row>
    <row r="298" spans="1:7" ht="67.5">
      <c r="A298" s="458" t="s">
        <v>2624</v>
      </c>
      <c r="B298" s="453" t="s">
        <v>278</v>
      </c>
      <c r="C298" s="453" t="s">
        <v>1443</v>
      </c>
      <c r="D298" s="453" t="s">
        <v>1897</v>
      </c>
      <c r="E298" s="453"/>
      <c r="F298" s="454">
        <v>1017100</v>
      </c>
      <c r="G298" s="454">
        <v>1011794.88</v>
      </c>
    </row>
    <row r="299" spans="1:7" ht="45">
      <c r="A299" s="455" t="s">
        <v>465</v>
      </c>
      <c r="B299" s="456" t="s">
        <v>278</v>
      </c>
      <c r="C299" s="456" t="s">
        <v>1443</v>
      </c>
      <c r="D299" s="456" t="s">
        <v>1897</v>
      </c>
      <c r="E299" s="456" t="s">
        <v>466</v>
      </c>
      <c r="F299" s="457">
        <v>1017100</v>
      </c>
      <c r="G299" s="457">
        <v>1011794.88</v>
      </c>
    </row>
    <row r="300" spans="1:7" ht="67.5">
      <c r="A300" s="458" t="s">
        <v>2625</v>
      </c>
      <c r="B300" s="453" t="s">
        <v>278</v>
      </c>
      <c r="C300" s="453" t="s">
        <v>1443</v>
      </c>
      <c r="D300" s="453" t="s">
        <v>912</v>
      </c>
      <c r="E300" s="453"/>
      <c r="F300" s="454">
        <v>31081009.050000001</v>
      </c>
      <c r="G300" s="454">
        <v>30479717.530000001</v>
      </c>
    </row>
    <row r="301" spans="1:7" ht="45">
      <c r="A301" s="455" t="s">
        <v>465</v>
      </c>
      <c r="B301" s="456" t="s">
        <v>278</v>
      </c>
      <c r="C301" s="456" t="s">
        <v>1443</v>
      </c>
      <c r="D301" s="456" t="s">
        <v>912</v>
      </c>
      <c r="E301" s="456" t="s">
        <v>466</v>
      </c>
      <c r="F301" s="457">
        <v>31081009.050000001</v>
      </c>
      <c r="G301" s="457">
        <v>30479717.530000001</v>
      </c>
    </row>
    <row r="302" spans="1:7" ht="67.5">
      <c r="A302" s="458" t="s">
        <v>2609</v>
      </c>
      <c r="B302" s="453" t="s">
        <v>278</v>
      </c>
      <c r="C302" s="453" t="s">
        <v>1443</v>
      </c>
      <c r="D302" s="453" t="s">
        <v>913</v>
      </c>
      <c r="E302" s="453"/>
      <c r="F302" s="454">
        <v>7227500</v>
      </c>
      <c r="G302" s="454">
        <v>6575884.75</v>
      </c>
    </row>
    <row r="303" spans="1:7" ht="45">
      <c r="A303" s="455" t="s">
        <v>465</v>
      </c>
      <c r="B303" s="456" t="s">
        <v>278</v>
      </c>
      <c r="C303" s="456" t="s">
        <v>1443</v>
      </c>
      <c r="D303" s="456" t="s">
        <v>913</v>
      </c>
      <c r="E303" s="456" t="s">
        <v>466</v>
      </c>
      <c r="F303" s="457">
        <v>7227500</v>
      </c>
      <c r="G303" s="457">
        <v>6575884.75</v>
      </c>
    </row>
    <row r="304" spans="1:7" ht="67.5">
      <c r="A304" s="458" t="s">
        <v>2626</v>
      </c>
      <c r="B304" s="453" t="s">
        <v>278</v>
      </c>
      <c r="C304" s="453" t="s">
        <v>1443</v>
      </c>
      <c r="D304" s="453" t="s">
        <v>914</v>
      </c>
      <c r="E304" s="453"/>
      <c r="F304" s="454">
        <v>276930.27</v>
      </c>
      <c r="G304" s="454">
        <v>169570.01</v>
      </c>
    </row>
    <row r="305" spans="1:7" ht="45">
      <c r="A305" s="455" t="s">
        <v>465</v>
      </c>
      <c r="B305" s="456" t="s">
        <v>278</v>
      </c>
      <c r="C305" s="456" t="s">
        <v>1443</v>
      </c>
      <c r="D305" s="456" t="s">
        <v>914</v>
      </c>
      <c r="E305" s="456" t="s">
        <v>466</v>
      </c>
      <c r="F305" s="457">
        <v>276930.27</v>
      </c>
      <c r="G305" s="457">
        <v>169570.01</v>
      </c>
    </row>
    <row r="306" spans="1:7" ht="67.5">
      <c r="A306" s="458" t="s">
        <v>2627</v>
      </c>
      <c r="B306" s="453" t="s">
        <v>278</v>
      </c>
      <c r="C306" s="453" t="s">
        <v>1443</v>
      </c>
      <c r="D306" s="453" t="s">
        <v>915</v>
      </c>
      <c r="E306" s="453"/>
      <c r="F306" s="454">
        <v>542925.39</v>
      </c>
      <c r="G306" s="454">
        <v>542925.39</v>
      </c>
    </row>
    <row r="307" spans="1:7">
      <c r="A307" s="455" t="s">
        <v>484</v>
      </c>
      <c r="B307" s="456" t="s">
        <v>278</v>
      </c>
      <c r="C307" s="456" t="s">
        <v>1443</v>
      </c>
      <c r="D307" s="456" t="s">
        <v>915</v>
      </c>
      <c r="E307" s="456" t="s">
        <v>485</v>
      </c>
      <c r="F307" s="457">
        <v>542925.39</v>
      </c>
      <c r="G307" s="457">
        <v>542925.39</v>
      </c>
    </row>
    <row r="308" spans="1:7" ht="67.5">
      <c r="A308" s="458" t="s">
        <v>2628</v>
      </c>
      <c r="B308" s="453" t="s">
        <v>278</v>
      </c>
      <c r="C308" s="453" t="s">
        <v>1443</v>
      </c>
      <c r="D308" s="453" t="s">
        <v>916</v>
      </c>
      <c r="E308" s="453"/>
      <c r="F308" s="454">
        <v>2460125.5699999998</v>
      </c>
      <c r="G308" s="454">
        <v>1962439.94</v>
      </c>
    </row>
    <row r="309" spans="1:7" ht="45">
      <c r="A309" s="455" t="s">
        <v>465</v>
      </c>
      <c r="B309" s="456" t="s">
        <v>278</v>
      </c>
      <c r="C309" s="456" t="s">
        <v>1443</v>
      </c>
      <c r="D309" s="456" t="s">
        <v>916</v>
      </c>
      <c r="E309" s="456" t="s">
        <v>466</v>
      </c>
      <c r="F309" s="457">
        <v>2460125.5699999998</v>
      </c>
      <c r="G309" s="457">
        <v>1962439.94</v>
      </c>
    </row>
    <row r="310" spans="1:7" ht="67.5">
      <c r="A310" s="458" t="s">
        <v>2629</v>
      </c>
      <c r="B310" s="453" t="s">
        <v>278</v>
      </c>
      <c r="C310" s="453" t="s">
        <v>1443</v>
      </c>
      <c r="D310" s="453" t="s">
        <v>1174</v>
      </c>
      <c r="E310" s="453"/>
      <c r="F310" s="454">
        <v>280880</v>
      </c>
      <c r="G310" s="454">
        <v>228139.93</v>
      </c>
    </row>
    <row r="311" spans="1:7" ht="45">
      <c r="A311" s="455" t="s">
        <v>465</v>
      </c>
      <c r="B311" s="456" t="s">
        <v>278</v>
      </c>
      <c r="C311" s="456" t="s">
        <v>1443</v>
      </c>
      <c r="D311" s="456" t="s">
        <v>1174</v>
      </c>
      <c r="E311" s="456" t="s">
        <v>466</v>
      </c>
      <c r="F311" s="457">
        <v>280880</v>
      </c>
      <c r="G311" s="457">
        <v>228139.93</v>
      </c>
    </row>
    <row r="312" spans="1:7" ht="67.5">
      <c r="A312" s="458" t="s">
        <v>2630</v>
      </c>
      <c r="B312" s="453" t="s">
        <v>278</v>
      </c>
      <c r="C312" s="453" t="s">
        <v>1443</v>
      </c>
      <c r="D312" s="453" t="s">
        <v>2009</v>
      </c>
      <c r="E312" s="453"/>
      <c r="F312" s="454">
        <v>47020</v>
      </c>
      <c r="G312" s="454">
        <v>47015</v>
      </c>
    </row>
    <row r="313" spans="1:7">
      <c r="A313" s="455" t="s">
        <v>484</v>
      </c>
      <c r="B313" s="456" t="s">
        <v>278</v>
      </c>
      <c r="C313" s="456" t="s">
        <v>1443</v>
      </c>
      <c r="D313" s="456" t="s">
        <v>2009</v>
      </c>
      <c r="E313" s="456" t="s">
        <v>485</v>
      </c>
      <c r="F313" s="457">
        <v>47020</v>
      </c>
      <c r="G313" s="457">
        <v>47015</v>
      </c>
    </row>
    <row r="314" spans="1:7" ht="56.25">
      <c r="A314" s="452" t="s">
        <v>1759</v>
      </c>
      <c r="B314" s="453" t="s">
        <v>278</v>
      </c>
      <c r="C314" s="453" t="s">
        <v>1443</v>
      </c>
      <c r="D314" s="453" t="s">
        <v>1760</v>
      </c>
      <c r="E314" s="453"/>
      <c r="F314" s="454">
        <v>664257.30000000005</v>
      </c>
      <c r="G314" s="454">
        <v>664257.30000000005</v>
      </c>
    </row>
    <row r="315" spans="1:7">
      <c r="A315" s="455" t="s">
        <v>484</v>
      </c>
      <c r="B315" s="456" t="s">
        <v>278</v>
      </c>
      <c r="C315" s="456" t="s">
        <v>1443</v>
      </c>
      <c r="D315" s="456" t="s">
        <v>1760</v>
      </c>
      <c r="E315" s="456" t="s">
        <v>485</v>
      </c>
      <c r="F315" s="457">
        <v>664257.30000000005</v>
      </c>
      <c r="G315" s="457">
        <v>664257.30000000005</v>
      </c>
    </row>
    <row r="316" spans="1:7" ht="56.25">
      <c r="A316" s="452" t="s">
        <v>641</v>
      </c>
      <c r="B316" s="453" t="s">
        <v>278</v>
      </c>
      <c r="C316" s="453" t="s">
        <v>1443</v>
      </c>
      <c r="D316" s="453" t="s">
        <v>940</v>
      </c>
      <c r="E316" s="453"/>
      <c r="F316" s="454">
        <v>83659</v>
      </c>
      <c r="G316" s="454">
        <v>83659</v>
      </c>
    </row>
    <row r="317" spans="1:7">
      <c r="A317" s="455" t="s">
        <v>484</v>
      </c>
      <c r="B317" s="456" t="s">
        <v>278</v>
      </c>
      <c r="C317" s="456" t="s">
        <v>1443</v>
      </c>
      <c r="D317" s="456" t="s">
        <v>940</v>
      </c>
      <c r="E317" s="456" t="s">
        <v>485</v>
      </c>
      <c r="F317" s="457">
        <v>83659</v>
      </c>
      <c r="G317" s="457">
        <v>83659</v>
      </c>
    </row>
    <row r="318" spans="1:7" ht="67.5">
      <c r="A318" s="458" t="s">
        <v>2631</v>
      </c>
      <c r="B318" s="453" t="s">
        <v>278</v>
      </c>
      <c r="C318" s="453" t="s">
        <v>1443</v>
      </c>
      <c r="D318" s="453" t="s">
        <v>941</v>
      </c>
      <c r="E318" s="453"/>
      <c r="F318" s="454">
        <v>160138.29999999999</v>
      </c>
      <c r="G318" s="454">
        <v>160138.29999999999</v>
      </c>
    </row>
    <row r="319" spans="1:7">
      <c r="A319" s="455" t="s">
        <v>484</v>
      </c>
      <c r="B319" s="456" t="s">
        <v>278</v>
      </c>
      <c r="C319" s="456" t="s">
        <v>1443</v>
      </c>
      <c r="D319" s="456" t="s">
        <v>941</v>
      </c>
      <c r="E319" s="456" t="s">
        <v>485</v>
      </c>
      <c r="F319" s="457">
        <v>160138.29999999999</v>
      </c>
      <c r="G319" s="457">
        <v>160138.29999999999</v>
      </c>
    </row>
    <row r="320" spans="1:7">
      <c r="A320" s="452" t="s">
        <v>298</v>
      </c>
      <c r="B320" s="453" t="s">
        <v>278</v>
      </c>
      <c r="C320" s="453" t="s">
        <v>1618</v>
      </c>
      <c r="D320" s="453"/>
      <c r="E320" s="453"/>
      <c r="F320" s="454">
        <v>173029756.62</v>
      </c>
      <c r="G320" s="454">
        <v>162341521.24000001</v>
      </c>
    </row>
    <row r="321" spans="1:7">
      <c r="A321" s="452" t="s">
        <v>254</v>
      </c>
      <c r="B321" s="453" t="s">
        <v>278</v>
      </c>
      <c r="C321" s="453" t="s">
        <v>510</v>
      </c>
      <c r="D321" s="453"/>
      <c r="E321" s="453"/>
      <c r="F321" s="454">
        <v>137412086.33000001</v>
      </c>
      <c r="G321" s="454">
        <v>127690795.12</v>
      </c>
    </row>
    <row r="322" spans="1:7" ht="67.5">
      <c r="A322" s="452" t="s">
        <v>1761</v>
      </c>
      <c r="B322" s="453" t="s">
        <v>278</v>
      </c>
      <c r="C322" s="453" t="s">
        <v>510</v>
      </c>
      <c r="D322" s="453" t="s">
        <v>1762</v>
      </c>
      <c r="E322" s="453"/>
      <c r="F322" s="454">
        <v>823791</v>
      </c>
      <c r="G322" s="454">
        <v>796786.43</v>
      </c>
    </row>
    <row r="323" spans="1:7" ht="45">
      <c r="A323" s="455" t="s">
        <v>465</v>
      </c>
      <c r="B323" s="456" t="s">
        <v>278</v>
      </c>
      <c r="C323" s="456" t="s">
        <v>510</v>
      </c>
      <c r="D323" s="456" t="s">
        <v>1762</v>
      </c>
      <c r="E323" s="456" t="s">
        <v>466</v>
      </c>
      <c r="F323" s="457">
        <v>823791</v>
      </c>
      <c r="G323" s="457">
        <v>796786.43</v>
      </c>
    </row>
    <row r="324" spans="1:7" ht="67.5">
      <c r="A324" s="458" t="s">
        <v>2632</v>
      </c>
      <c r="B324" s="453" t="s">
        <v>278</v>
      </c>
      <c r="C324" s="453" t="s">
        <v>510</v>
      </c>
      <c r="D324" s="453" t="s">
        <v>1899</v>
      </c>
      <c r="E324" s="453"/>
      <c r="F324" s="454">
        <v>4576480.62</v>
      </c>
      <c r="G324" s="454">
        <v>3856560.39</v>
      </c>
    </row>
    <row r="325" spans="1:7" ht="45">
      <c r="A325" s="455" t="s">
        <v>465</v>
      </c>
      <c r="B325" s="456" t="s">
        <v>278</v>
      </c>
      <c r="C325" s="456" t="s">
        <v>510</v>
      </c>
      <c r="D325" s="456" t="s">
        <v>1899</v>
      </c>
      <c r="E325" s="456" t="s">
        <v>466</v>
      </c>
      <c r="F325" s="457">
        <v>4576480.62</v>
      </c>
      <c r="G325" s="457">
        <v>3856560.39</v>
      </c>
    </row>
    <row r="326" spans="1:7" ht="67.5">
      <c r="A326" s="458" t="s">
        <v>2633</v>
      </c>
      <c r="B326" s="453" t="s">
        <v>278</v>
      </c>
      <c r="C326" s="453" t="s">
        <v>510</v>
      </c>
      <c r="D326" s="453" t="s">
        <v>917</v>
      </c>
      <c r="E326" s="453"/>
      <c r="F326" s="454">
        <v>25057996.329999998</v>
      </c>
      <c r="G326" s="454">
        <v>23886053.030000001</v>
      </c>
    </row>
    <row r="327" spans="1:7" ht="45">
      <c r="A327" s="455" t="s">
        <v>465</v>
      </c>
      <c r="B327" s="456" t="s">
        <v>278</v>
      </c>
      <c r="C327" s="456" t="s">
        <v>510</v>
      </c>
      <c r="D327" s="456" t="s">
        <v>917</v>
      </c>
      <c r="E327" s="456" t="s">
        <v>466</v>
      </c>
      <c r="F327" s="457">
        <v>25057996.329999998</v>
      </c>
      <c r="G327" s="457">
        <v>23886053.030000001</v>
      </c>
    </row>
    <row r="328" spans="1:7" ht="67.5">
      <c r="A328" s="458" t="s">
        <v>2609</v>
      </c>
      <c r="B328" s="453" t="s">
        <v>278</v>
      </c>
      <c r="C328" s="453" t="s">
        <v>510</v>
      </c>
      <c r="D328" s="453" t="s">
        <v>918</v>
      </c>
      <c r="E328" s="453"/>
      <c r="F328" s="454">
        <v>4120101.67</v>
      </c>
      <c r="G328" s="454">
        <v>4120101.67</v>
      </c>
    </row>
    <row r="329" spans="1:7" ht="45">
      <c r="A329" s="455" t="s">
        <v>465</v>
      </c>
      <c r="B329" s="456" t="s">
        <v>278</v>
      </c>
      <c r="C329" s="456" t="s">
        <v>510</v>
      </c>
      <c r="D329" s="456" t="s">
        <v>918</v>
      </c>
      <c r="E329" s="456" t="s">
        <v>466</v>
      </c>
      <c r="F329" s="457">
        <v>4120101.67</v>
      </c>
      <c r="G329" s="457">
        <v>4120101.67</v>
      </c>
    </row>
    <row r="330" spans="1:7" ht="67.5">
      <c r="A330" s="458" t="s">
        <v>2634</v>
      </c>
      <c r="B330" s="453" t="s">
        <v>278</v>
      </c>
      <c r="C330" s="453" t="s">
        <v>510</v>
      </c>
      <c r="D330" s="453" t="s">
        <v>1304</v>
      </c>
      <c r="E330" s="453"/>
      <c r="F330" s="454">
        <v>29000</v>
      </c>
      <c r="G330" s="454">
        <v>22195.56</v>
      </c>
    </row>
    <row r="331" spans="1:7" ht="45">
      <c r="A331" s="455" t="s">
        <v>465</v>
      </c>
      <c r="B331" s="456" t="s">
        <v>278</v>
      </c>
      <c r="C331" s="456" t="s">
        <v>510</v>
      </c>
      <c r="D331" s="456" t="s">
        <v>1304</v>
      </c>
      <c r="E331" s="456" t="s">
        <v>466</v>
      </c>
      <c r="F331" s="457">
        <v>29000</v>
      </c>
      <c r="G331" s="457">
        <v>22195.56</v>
      </c>
    </row>
    <row r="332" spans="1:7" ht="67.5">
      <c r="A332" s="458" t="s">
        <v>2635</v>
      </c>
      <c r="B332" s="453" t="s">
        <v>278</v>
      </c>
      <c r="C332" s="453" t="s">
        <v>510</v>
      </c>
      <c r="D332" s="453" t="s">
        <v>919</v>
      </c>
      <c r="E332" s="453"/>
      <c r="F332" s="454">
        <v>510908</v>
      </c>
      <c r="G332" s="454">
        <v>510908</v>
      </c>
    </row>
    <row r="333" spans="1:7">
      <c r="A333" s="455" t="s">
        <v>484</v>
      </c>
      <c r="B333" s="456" t="s">
        <v>278</v>
      </c>
      <c r="C333" s="456" t="s">
        <v>510</v>
      </c>
      <c r="D333" s="456" t="s">
        <v>919</v>
      </c>
      <c r="E333" s="456" t="s">
        <v>485</v>
      </c>
      <c r="F333" s="457">
        <v>510908</v>
      </c>
      <c r="G333" s="457">
        <v>510908</v>
      </c>
    </row>
    <row r="334" spans="1:7" ht="67.5">
      <c r="A334" s="458" t="s">
        <v>2636</v>
      </c>
      <c r="B334" s="453" t="s">
        <v>278</v>
      </c>
      <c r="C334" s="453" t="s">
        <v>510</v>
      </c>
      <c r="D334" s="453" t="s">
        <v>920</v>
      </c>
      <c r="E334" s="453"/>
      <c r="F334" s="454">
        <v>2987473.78</v>
      </c>
      <c r="G334" s="454">
        <v>2539951.23</v>
      </c>
    </row>
    <row r="335" spans="1:7" ht="45">
      <c r="A335" s="455" t="s">
        <v>465</v>
      </c>
      <c r="B335" s="456" t="s">
        <v>278</v>
      </c>
      <c r="C335" s="456" t="s">
        <v>510</v>
      </c>
      <c r="D335" s="456" t="s">
        <v>920</v>
      </c>
      <c r="E335" s="456" t="s">
        <v>466</v>
      </c>
      <c r="F335" s="457">
        <v>2987473.78</v>
      </c>
      <c r="G335" s="457">
        <v>2539951.23</v>
      </c>
    </row>
    <row r="336" spans="1:7" ht="67.5">
      <c r="A336" s="458" t="s">
        <v>2637</v>
      </c>
      <c r="B336" s="453" t="s">
        <v>278</v>
      </c>
      <c r="C336" s="453" t="s">
        <v>510</v>
      </c>
      <c r="D336" s="453" t="s">
        <v>1176</v>
      </c>
      <c r="E336" s="453"/>
      <c r="F336" s="454">
        <v>672000</v>
      </c>
      <c r="G336" s="454">
        <v>627199.13</v>
      </c>
    </row>
    <row r="337" spans="1:7" ht="45">
      <c r="A337" s="455" t="s">
        <v>465</v>
      </c>
      <c r="B337" s="456" t="s">
        <v>278</v>
      </c>
      <c r="C337" s="456" t="s">
        <v>510</v>
      </c>
      <c r="D337" s="456" t="s">
        <v>1176</v>
      </c>
      <c r="E337" s="456" t="s">
        <v>466</v>
      </c>
      <c r="F337" s="457">
        <v>672000</v>
      </c>
      <c r="G337" s="457">
        <v>627199.13</v>
      </c>
    </row>
    <row r="338" spans="1:7" ht="45">
      <c r="A338" s="452" t="s">
        <v>520</v>
      </c>
      <c r="B338" s="453" t="s">
        <v>278</v>
      </c>
      <c r="C338" s="453" t="s">
        <v>510</v>
      </c>
      <c r="D338" s="453" t="s">
        <v>926</v>
      </c>
      <c r="E338" s="453"/>
      <c r="F338" s="454">
        <v>150901.68</v>
      </c>
      <c r="G338" s="454">
        <v>144626.68</v>
      </c>
    </row>
    <row r="339" spans="1:7">
      <c r="A339" s="455" t="s">
        <v>484</v>
      </c>
      <c r="B339" s="456" t="s">
        <v>278</v>
      </c>
      <c r="C339" s="456" t="s">
        <v>510</v>
      </c>
      <c r="D339" s="456" t="s">
        <v>926</v>
      </c>
      <c r="E339" s="456" t="s">
        <v>485</v>
      </c>
      <c r="F339" s="457">
        <v>150901.68</v>
      </c>
      <c r="G339" s="457">
        <v>144626.68</v>
      </c>
    </row>
    <row r="340" spans="1:7" ht="33.75">
      <c r="A340" s="452" t="s">
        <v>521</v>
      </c>
      <c r="B340" s="453" t="s">
        <v>278</v>
      </c>
      <c r="C340" s="453" t="s">
        <v>510</v>
      </c>
      <c r="D340" s="453" t="s">
        <v>927</v>
      </c>
      <c r="E340" s="453"/>
      <c r="F340" s="454">
        <v>111097.32</v>
      </c>
      <c r="G340" s="454">
        <v>25000</v>
      </c>
    </row>
    <row r="341" spans="1:7">
      <c r="A341" s="455" t="s">
        <v>484</v>
      </c>
      <c r="B341" s="456" t="s">
        <v>278</v>
      </c>
      <c r="C341" s="456" t="s">
        <v>510</v>
      </c>
      <c r="D341" s="456" t="s">
        <v>927</v>
      </c>
      <c r="E341" s="456" t="s">
        <v>485</v>
      </c>
      <c r="F341" s="457">
        <v>111097.32</v>
      </c>
      <c r="G341" s="457">
        <v>25000</v>
      </c>
    </row>
    <row r="342" spans="1:7" ht="45">
      <c r="A342" s="452" t="s">
        <v>1763</v>
      </c>
      <c r="B342" s="453" t="s">
        <v>278</v>
      </c>
      <c r="C342" s="453" t="s">
        <v>510</v>
      </c>
      <c r="D342" s="453" t="s">
        <v>1764</v>
      </c>
      <c r="E342" s="453"/>
      <c r="F342" s="454">
        <v>1945</v>
      </c>
      <c r="G342" s="454">
        <v>1945</v>
      </c>
    </row>
    <row r="343" spans="1:7">
      <c r="A343" s="455" t="s">
        <v>484</v>
      </c>
      <c r="B343" s="456" t="s">
        <v>278</v>
      </c>
      <c r="C343" s="456" t="s">
        <v>510</v>
      </c>
      <c r="D343" s="456" t="s">
        <v>1764</v>
      </c>
      <c r="E343" s="456" t="s">
        <v>485</v>
      </c>
      <c r="F343" s="457">
        <v>1945</v>
      </c>
      <c r="G343" s="457">
        <v>1945</v>
      </c>
    </row>
    <row r="344" spans="1:7" ht="33.75">
      <c r="A344" s="452" t="s">
        <v>1765</v>
      </c>
      <c r="B344" s="453" t="s">
        <v>278</v>
      </c>
      <c r="C344" s="453" t="s">
        <v>510</v>
      </c>
      <c r="D344" s="453" t="s">
        <v>1766</v>
      </c>
      <c r="E344" s="453"/>
      <c r="F344" s="454">
        <v>361700</v>
      </c>
      <c r="G344" s="454">
        <v>361700</v>
      </c>
    </row>
    <row r="345" spans="1:7">
      <c r="A345" s="455" t="s">
        <v>484</v>
      </c>
      <c r="B345" s="456" t="s">
        <v>278</v>
      </c>
      <c r="C345" s="456" t="s">
        <v>510</v>
      </c>
      <c r="D345" s="456" t="s">
        <v>1766</v>
      </c>
      <c r="E345" s="456" t="s">
        <v>485</v>
      </c>
      <c r="F345" s="457">
        <v>361700</v>
      </c>
      <c r="G345" s="457">
        <v>361700</v>
      </c>
    </row>
    <row r="346" spans="1:7" ht="56.25">
      <c r="A346" s="452" t="s">
        <v>1810</v>
      </c>
      <c r="B346" s="453" t="s">
        <v>278</v>
      </c>
      <c r="C346" s="453" t="s">
        <v>510</v>
      </c>
      <c r="D346" s="453" t="s">
        <v>1811</v>
      </c>
      <c r="E346" s="453"/>
      <c r="F346" s="454">
        <v>86100</v>
      </c>
      <c r="G346" s="454">
        <v>86100</v>
      </c>
    </row>
    <row r="347" spans="1:7">
      <c r="A347" s="455" t="s">
        <v>484</v>
      </c>
      <c r="B347" s="456" t="s">
        <v>278</v>
      </c>
      <c r="C347" s="456" t="s">
        <v>510</v>
      </c>
      <c r="D347" s="456" t="s">
        <v>1811</v>
      </c>
      <c r="E347" s="456" t="s">
        <v>485</v>
      </c>
      <c r="F347" s="457">
        <v>86100</v>
      </c>
      <c r="G347" s="457">
        <v>86100</v>
      </c>
    </row>
    <row r="348" spans="1:7" ht="45">
      <c r="A348" s="452" t="s">
        <v>519</v>
      </c>
      <c r="B348" s="453" t="s">
        <v>278</v>
      </c>
      <c r="C348" s="453" t="s">
        <v>510</v>
      </c>
      <c r="D348" s="453" t="s">
        <v>922</v>
      </c>
      <c r="E348" s="453"/>
      <c r="F348" s="454">
        <v>1590411.85</v>
      </c>
      <c r="G348" s="454">
        <v>1438203.18</v>
      </c>
    </row>
    <row r="349" spans="1:7" ht="45">
      <c r="A349" s="455" t="s">
        <v>465</v>
      </c>
      <c r="B349" s="456" t="s">
        <v>278</v>
      </c>
      <c r="C349" s="456" t="s">
        <v>510</v>
      </c>
      <c r="D349" s="456" t="s">
        <v>922</v>
      </c>
      <c r="E349" s="456" t="s">
        <v>466</v>
      </c>
      <c r="F349" s="457">
        <v>1560411.85</v>
      </c>
      <c r="G349" s="457">
        <v>1408235.18</v>
      </c>
    </row>
    <row r="350" spans="1:7">
      <c r="A350" s="455" t="s">
        <v>484</v>
      </c>
      <c r="B350" s="456" t="s">
        <v>278</v>
      </c>
      <c r="C350" s="456" t="s">
        <v>510</v>
      </c>
      <c r="D350" s="456" t="s">
        <v>922</v>
      </c>
      <c r="E350" s="456" t="s">
        <v>485</v>
      </c>
      <c r="F350" s="457">
        <v>30000</v>
      </c>
      <c r="G350" s="457">
        <v>29968</v>
      </c>
    </row>
    <row r="351" spans="1:7" ht="67.5">
      <c r="A351" s="458" t="s">
        <v>2638</v>
      </c>
      <c r="B351" s="453" t="s">
        <v>278</v>
      </c>
      <c r="C351" s="453" t="s">
        <v>510</v>
      </c>
      <c r="D351" s="453" t="s">
        <v>1812</v>
      </c>
      <c r="E351" s="453"/>
      <c r="F351" s="454">
        <v>64209</v>
      </c>
      <c r="G351" s="454">
        <v>61911.81</v>
      </c>
    </row>
    <row r="352" spans="1:7" ht="45">
      <c r="A352" s="455" t="s">
        <v>465</v>
      </c>
      <c r="B352" s="456" t="s">
        <v>278</v>
      </c>
      <c r="C352" s="456" t="s">
        <v>510</v>
      </c>
      <c r="D352" s="456" t="s">
        <v>1812</v>
      </c>
      <c r="E352" s="456" t="s">
        <v>466</v>
      </c>
      <c r="F352" s="457">
        <v>64209</v>
      </c>
      <c r="G352" s="457">
        <v>61911.81</v>
      </c>
    </row>
    <row r="353" spans="1:7" ht="67.5">
      <c r="A353" s="458" t="s">
        <v>2639</v>
      </c>
      <c r="B353" s="453" t="s">
        <v>278</v>
      </c>
      <c r="C353" s="453" t="s">
        <v>510</v>
      </c>
      <c r="D353" s="453" t="s">
        <v>923</v>
      </c>
      <c r="E353" s="453"/>
      <c r="F353" s="454">
        <v>49015.15</v>
      </c>
      <c r="G353" s="454">
        <v>49015.15</v>
      </c>
    </row>
    <row r="354" spans="1:7" ht="45">
      <c r="A354" s="455" t="s">
        <v>465</v>
      </c>
      <c r="B354" s="456" t="s">
        <v>278</v>
      </c>
      <c r="C354" s="456" t="s">
        <v>510</v>
      </c>
      <c r="D354" s="456" t="s">
        <v>923</v>
      </c>
      <c r="E354" s="456" t="s">
        <v>466</v>
      </c>
      <c r="F354" s="457">
        <v>49015.15</v>
      </c>
      <c r="G354" s="457">
        <v>49015.15</v>
      </c>
    </row>
    <row r="355" spans="1:7" ht="67.5">
      <c r="A355" s="458" t="s">
        <v>2640</v>
      </c>
      <c r="B355" s="453" t="s">
        <v>278</v>
      </c>
      <c r="C355" s="453" t="s">
        <v>510</v>
      </c>
      <c r="D355" s="453" t="s">
        <v>924</v>
      </c>
      <c r="E355" s="453"/>
      <c r="F355" s="454">
        <v>100000</v>
      </c>
      <c r="G355" s="454">
        <v>27781.88</v>
      </c>
    </row>
    <row r="356" spans="1:7">
      <c r="A356" s="455" t="s">
        <v>484</v>
      </c>
      <c r="B356" s="456" t="s">
        <v>278</v>
      </c>
      <c r="C356" s="456" t="s">
        <v>510</v>
      </c>
      <c r="D356" s="456" t="s">
        <v>924</v>
      </c>
      <c r="E356" s="456" t="s">
        <v>485</v>
      </c>
      <c r="F356" s="457">
        <v>100000</v>
      </c>
      <c r="G356" s="457">
        <v>27781.88</v>
      </c>
    </row>
    <row r="357" spans="1:7" ht="67.5">
      <c r="A357" s="458" t="s">
        <v>2641</v>
      </c>
      <c r="B357" s="453" t="s">
        <v>278</v>
      </c>
      <c r="C357" s="453" t="s">
        <v>510</v>
      </c>
      <c r="D357" s="453" t="s">
        <v>925</v>
      </c>
      <c r="E357" s="453"/>
      <c r="F357" s="454">
        <v>56634</v>
      </c>
      <c r="G357" s="454">
        <v>47740.01</v>
      </c>
    </row>
    <row r="358" spans="1:7" ht="45">
      <c r="A358" s="455" t="s">
        <v>465</v>
      </c>
      <c r="B358" s="456" t="s">
        <v>278</v>
      </c>
      <c r="C358" s="456" t="s">
        <v>510</v>
      </c>
      <c r="D358" s="456" t="s">
        <v>925</v>
      </c>
      <c r="E358" s="456" t="s">
        <v>466</v>
      </c>
      <c r="F358" s="457">
        <v>56634</v>
      </c>
      <c r="G358" s="457">
        <v>47740.01</v>
      </c>
    </row>
    <row r="359" spans="1:7" ht="67.5">
      <c r="A359" s="458" t="s">
        <v>2642</v>
      </c>
      <c r="B359" s="453" t="s">
        <v>278</v>
      </c>
      <c r="C359" s="453" t="s">
        <v>510</v>
      </c>
      <c r="D359" s="453" t="s">
        <v>1178</v>
      </c>
      <c r="E359" s="453"/>
      <c r="F359" s="454">
        <v>137214</v>
      </c>
      <c r="G359" s="454">
        <v>128239.03999999999</v>
      </c>
    </row>
    <row r="360" spans="1:7" ht="45">
      <c r="A360" s="455" t="s">
        <v>465</v>
      </c>
      <c r="B360" s="456" t="s">
        <v>278</v>
      </c>
      <c r="C360" s="456" t="s">
        <v>510</v>
      </c>
      <c r="D360" s="456" t="s">
        <v>1178</v>
      </c>
      <c r="E360" s="456" t="s">
        <v>466</v>
      </c>
      <c r="F360" s="457">
        <v>137214</v>
      </c>
      <c r="G360" s="457">
        <v>128239.03999999999</v>
      </c>
    </row>
    <row r="361" spans="1:7" ht="67.5">
      <c r="A361" s="458" t="s">
        <v>2632</v>
      </c>
      <c r="B361" s="453" t="s">
        <v>278</v>
      </c>
      <c r="C361" s="453" t="s">
        <v>510</v>
      </c>
      <c r="D361" s="453" t="s">
        <v>1901</v>
      </c>
      <c r="E361" s="453"/>
      <c r="F361" s="454">
        <v>7847835.0899999999</v>
      </c>
      <c r="G361" s="454">
        <v>7625233.9500000002</v>
      </c>
    </row>
    <row r="362" spans="1:7" ht="45">
      <c r="A362" s="455" t="s">
        <v>465</v>
      </c>
      <c r="B362" s="456" t="s">
        <v>278</v>
      </c>
      <c r="C362" s="456" t="s">
        <v>510</v>
      </c>
      <c r="D362" s="456" t="s">
        <v>1901</v>
      </c>
      <c r="E362" s="456" t="s">
        <v>466</v>
      </c>
      <c r="F362" s="457">
        <v>7847835.0899999999</v>
      </c>
      <c r="G362" s="457">
        <v>7625233.9500000002</v>
      </c>
    </row>
    <row r="363" spans="1:7" ht="67.5">
      <c r="A363" s="458" t="s">
        <v>2643</v>
      </c>
      <c r="B363" s="453" t="s">
        <v>278</v>
      </c>
      <c r="C363" s="453" t="s">
        <v>510</v>
      </c>
      <c r="D363" s="453" t="s">
        <v>929</v>
      </c>
      <c r="E363" s="453"/>
      <c r="F363" s="454">
        <v>33849156.299999997</v>
      </c>
      <c r="G363" s="454">
        <v>31331728.940000001</v>
      </c>
    </row>
    <row r="364" spans="1:7" ht="45">
      <c r="A364" s="455" t="s">
        <v>465</v>
      </c>
      <c r="B364" s="456" t="s">
        <v>278</v>
      </c>
      <c r="C364" s="456" t="s">
        <v>510</v>
      </c>
      <c r="D364" s="456" t="s">
        <v>929</v>
      </c>
      <c r="E364" s="456" t="s">
        <v>466</v>
      </c>
      <c r="F364" s="457">
        <v>33849156.299999997</v>
      </c>
      <c r="G364" s="457">
        <v>31331728.940000001</v>
      </c>
    </row>
    <row r="365" spans="1:7" ht="67.5">
      <c r="A365" s="458" t="s">
        <v>2609</v>
      </c>
      <c r="B365" s="453" t="s">
        <v>278</v>
      </c>
      <c r="C365" s="453" t="s">
        <v>510</v>
      </c>
      <c r="D365" s="453" t="s">
        <v>930</v>
      </c>
      <c r="E365" s="453"/>
      <c r="F365" s="454">
        <v>7575081.7000000002</v>
      </c>
      <c r="G365" s="454">
        <v>7575081.7000000002</v>
      </c>
    </row>
    <row r="366" spans="1:7" ht="45">
      <c r="A366" s="455" t="s">
        <v>465</v>
      </c>
      <c r="B366" s="456" t="s">
        <v>278</v>
      </c>
      <c r="C366" s="456" t="s">
        <v>510</v>
      </c>
      <c r="D366" s="456" t="s">
        <v>930</v>
      </c>
      <c r="E366" s="456" t="s">
        <v>466</v>
      </c>
      <c r="F366" s="457">
        <v>7575081.7000000002</v>
      </c>
      <c r="G366" s="457">
        <v>7575081.7000000002</v>
      </c>
    </row>
    <row r="367" spans="1:7" ht="67.5">
      <c r="A367" s="458" t="s">
        <v>2644</v>
      </c>
      <c r="B367" s="453" t="s">
        <v>278</v>
      </c>
      <c r="C367" s="453" t="s">
        <v>510</v>
      </c>
      <c r="D367" s="453" t="s">
        <v>932</v>
      </c>
      <c r="E367" s="453"/>
      <c r="F367" s="454">
        <v>696626.61</v>
      </c>
      <c r="G367" s="454">
        <v>693479.14</v>
      </c>
    </row>
    <row r="368" spans="1:7">
      <c r="A368" s="455" t="s">
        <v>484</v>
      </c>
      <c r="B368" s="456" t="s">
        <v>278</v>
      </c>
      <c r="C368" s="456" t="s">
        <v>510</v>
      </c>
      <c r="D368" s="456" t="s">
        <v>932</v>
      </c>
      <c r="E368" s="456" t="s">
        <v>485</v>
      </c>
      <c r="F368" s="457">
        <v>696626.61</v>
      </c>
      <c r="G368" s="457">
        <v>693479.14</v>
      </c>
    </row>
    <row r="369" spans="1:7" ht="67.5">
      <c r="A369" s="458" t="s">
        <v>2645</v>
      </c>
      <c r="B369" s="453" t="s">
        <v>278</v>
      </c>
      <c r="C369" s="453" t="s">
        <v>510</v>
      </c>
      <c r="D369" s="453" t="s">
        <v>933</v>
      </c>
      <c r="E369" s="453"/>
      <c r="F369" s="454">
        <v>13453806.52</v>
      </c>
      <c r="G369" s="454">
        <v>11852973.01</v>
      </c>
    </row>
    <row r="370" spans="1:7" ht="45">
      <c r="A370" s="455" t="s">
        <v>465</v>
      </c>
      <c r="B370" s="456" t="s">
        <v>278</v>
      </c>
      <c r="C370" s="456" t="s">
        <v>510</v>
      </c>
      <c r="D370" s="456" t="s">
        <v>933</v>
      </c>
      <c r="E370" s="456" t="s">
        <v>466</v>
      </c>
      <c r="F370" s="457">
        <v>13453806.52</v>
      </c>
      <c r="G370" s="457">
        <v>11852973.01</v>
      </c>
    </row>
    <row r="371" spans="1:7" ht="67.5">
      <c r="A371" s="458" t="s">
        <v>2646</v>
      </c>
      <c r="B371" s="453" t="s">
        <v>278</v>
      </c>
      <c r="C371" s="453" t="s">
        <v>510</v>
      </c>
      <c r="D371" s="453" t="s">
        <v>1180</v>
      </c>
      <c r="E371" s="453"/>
      <c r="F371" s="454">
        <v>1562226</v>
      </c>
      <c r="G371" s="454">
        <v>1524884.2</v>
      </c>
    </row>
    <row r="372" spans="1:7" ht="45">
      <c r="A372" s="455" t="s">
        <v>465</v>
      </c>
      <c r="B372" s="456" t="s">
        <v>278</v>
      </c>
      <c r="C372" s="456" t="s">
        <v>510</v>
      </c>
      <c r="D372" s="456" t="s">
        <v>1180</v>
      </c>
      <c r="E372" s="456" t="s">
        <v>466</v>
      </c>
      <c r="F372" s="457">
        <v>1562226</v>
      </c>
      <c r="G372" s="457">
        <v>1524884.2</v>
      </c>
    </row>
    <row r="373" spans="1:7" ht="45">
      <c r="A373" s="452" t="s">
        <v>637</v>
      </c>
      <c r="B373" s="453" t="s">
        <v>278</v>
      </c>
      <c r="C373" s="453" t="s">
        <v>510</v>
      </c>
      <c r="D373" s="453" t="s">
        <v>911</v>
      </c>
      <c r="E373" s="453"/>
      <c r="F373" s="454">
        <v>3434000</v>
      </c>
      <c r="G373" s="454">
        <v>3184318</v>
      </c>
    </row>
    <row r="374" spans="1:7">
      <c r="A374" s="455" t="s">
        <v>484</v>
      </c>
      <c r="B374" s="456" t="s">
        <v>278</v>
      </c>
      <c r="C374" s="456" t="s">
        <v>510</v>
      </c>
      <c r="D374" s="456" t="s">
        <v>911</v>
      </c>
      <c r="E374" s="456" t="s">
        <v>485</v>
      </c>
      <c r="F374" s="457">
        <v>3434000</v>
      </c>
      <c r="G374" s="457">
        <v>3184318</v>
      </c>
    </row>
    <row r="375" spans="1:7" ht="56.25">
      <c r="A375" s="452" t="s">
        <v>649</v>
      </c>
      <c r="B375" s="453" t="s">
        <v>278</v>
      </c>
      <c r="C375" s="453" t="s">
        <v>510</v>
      </c>
      <c r="D375" s="453" t="s">
        <v>934</v>
      </c>
      <c r="E375" s="453"/>
      <c r="F375" s="454">
        <v>16078558</v>
      </c>
      <c r="G375" s="454">
        <v>15331382.859999999</v>
      </c>
    </row>
    <row r="376" spans="1:7" ht="45">
      <c r="A376" s="455" t="s">
        <v>465</v>
      </c>
      <c r="B376" s="456" t="s">
        <v>278</v>
      </c>
      <c r="C376" s="456" t="s">
        <v>510</v>
      </c>
      <c r="D376" s="456" t="s">
        <v>934</v>
      </c>
      <c r="E376" s="456" t="s">
        <v>466</v>
      </c>
      <c r="F376" s="457">
        <v>16078558</v>
      </c>
      <c r="G376" s="457">
        <v>15331382.859999999</v>
      </c>
    </row>
    <row r="377" spans="1:7" ht="67.5">
      <c r="A377" s="458" t="s">
        <v>2647</v>
      </c>
      <c r="B377" s="453" t="s">
        <v>278</v>
      </c>
      <c r="C377" s="453" t="s">
        <v>510</v>
      </c>
      <c r="D377" s="453" t="s">
        <v>935</v>
      </c>
      <c r="E377" s="453"/>
      <c r="F377" s="454">
        <v>3256034.11</v>
      </c>
      <c r="G377" s="454">
        <v>2926479.3</v>
      </c>
    </row>
    <row r="378" spans="1:7" ht="45">
      <c r="A378" s="455" t="s">
        <v>465</v>
      </c>
      <c r="B378" s="456" t="s">
        <v>278</v>
      </c>
      <c r="C378" s="456" t="s">
        <v>510</v>
      </c>
      <c r="D378" s="456" t="s">
        <v>935</v>
      </c>
      <c r="E378" s="456" t="s">
        <v>466</v>
      </c>
      <c r="F378" s="457">
        <v>3256034.11</v>
      </c>
      <c r="G378" s="457">
        <v>2926479.3</v>
      </c>
    </row>
    <row r="379" spans="1:7" ht="67.5">
      <c r="A379" s="458" t="s">
        <v>2648</v>
      </c>
      <c r="B379" s="453" t="s">
        <v>278</v>
      </c>
      <c r="C379" s="453" t="s">
        <v>510</v>
      </c>
      <c r="D379" s="453" t="s">
        <v>937</v>
      </c>
      <c r="E379" s="453"/>
      <c r="F379" s="454">
        <v>721770</v>
      </c>
      <c r="G379" s="454">
        <v>385001.93</v>
      </c>
    </row>
    <row r="380" spans="1:7">
      <c r="A380" s="455" t="s">
        <v>484</v>
      </c>
      <c r="B380" s="456" t="s">
        <v>278</v>
      </c>
      <c r="C380" s="456" t="s">
        <v>510</v>
      </c>
      <c r="D380" s="456" t="s">
        <v>937</v>
      </c>
      <c r="E380" s="456" t="s">
        <v>485</v>
      </c>
      <c r="F380" s="457">
        <v>721770</v>
      </c>
      <c r="G380" s="457">
        <v>385001.93</v>
      </c>
    </row>
    <row r="381" spans="1:7" ht="67.5">
      <c r="A381" s="458" t="s">
        <v>2649</v>
      </c>
      <c r="B381" s="453" t="s">
        <v>278</v>
      </c>
      <c r="C381" s="453" t="s">
        <v>510</v>
      </c>
      <c r="D381" s="453" t="s">
        <v>938</v>
      </c>
      <c r="E381" s="453"/>
      <c r="F381" s="454">
        <v>4310842</v>
      </c>
      <c r="G381" s="454">
        <v>3470721.53</v>
      </c>
    </row>
    <row r="382" spans="1:7" ht="45">
      <c r="A382" s="455" t="s">
        <v>465</v>
      </c>
      <c r="B382" s="456" t="s">
        <v>278</v>
      </c>
      <c r="C382" s="456" t="s">
        <v>510</v>
      </c>
      <c r="D382" s="456" t="s">
        <v>938</v>
      </c>
      <c r="E382" s="456" t="s">
        <v>466</v>
      </c>
      <c r="F382" s="457">
        <v>4310842</v>
      </c>
      <c r="G382" s="457">
        <v>3470721.53</v>
      </c>
    </row>
    <row r="383" spans="1:7" ht="67.5">
      <c r="A383" s="458" t="s">
        <v>2650</v>
      </c>
      <c r="B383" s="453" t="s">
        <v>278</v>
      </c>
      <c r="C383" s="453" t="s">
        <v>510</v>
      </c>
      <c r="D383" s="453" t="s">
        <v>1182</v>
      </c>
      <c r="E383" s="453"/>
      <c r="F383" s="454">
        <v>732774</v>
      </c>
      <c r="G383" s="454">
        <v>711593.5</v>
      </c>
    </row>
    <row r="384" spans="1:7" ht="45">
      <c r="A384" s="455" t="s">
        <v>465</v>
      </c>
      <c r="B384" s="456" t="s">
        <v>278</v>
      </c>
      <c r="C384" s="456" t="s">
        <v>510</v>
      </c>
      <c r="D384" s="456" t="s">
        <v>1182</v>
      </c>
      <c r="E384" s="456" t="s">
        <v>466</v>
      </c>
      <c r="F384" s="457">
        <v>732774</v>
      </c>
      <c r="G384" s="457">
        <v>711593.5</v>
      </c>
    </row>
    <row r="385" spans="1:7" ht="67.5">
      <c r="A385" s="458" t="s">
        <v>2630</v>
      </c>
      <c r="B385" s="453" t="s">
        <v>278</v>
      </c>
      <c r="C385" s="453" t="s">
        <v>510</v>
      </c>
      <c r="D385" s="453" t="s">
        <v>2009</v>
      </c>
      <c r="E385" s="453"/>
      <c r="F385" s="454">
        <v>1052990</v>
      </c>
      <c r="G385" s="454">
        <v>1052989.8700000001</v>
      </c>
    </row>
    <row r="386" spans="1:7">
      <c r="A386" s="455" t="s">
        <v>484</v>
      </c>
      <c r="B386" s="456" t="s">
        <v>278</v>
      </c>
      <c r="C386" s="456" t="s">
        <v>510</v>
      </c>
      <c r="D386" s="456" t="s">
        <v>2009</v>
      </c>
      <c r="E386" s="456" t="s">
        <v>485</v>
      </c>
      <c r="F386" s="457">
        <v>1052990</v>
      </c>
      <c r="G386" s="457">
        <v>1052989.8700000001</v>
      </c>
    </row>
    <row r="387" spans="1:7" ht="56.25">
      <c r="A387" s="452" t="s">
        <v>1759</v>
      </c>
      <c r="B387" s="453" t="s">
        <v>278</v>
      </c>
      <c r="C387" s="453" t="s">
        <v>510</v>
      </c>
      <c r="D387" s="453" t="s">
        <v>1760</v>
      </c>
      <c r="E387" s="453"/>
      <c r="F387" s="454">
        <v>407780.63</v>
      </c>
      <c r="G387" s="454">
        <v>407780.63</v>
      </c>
    </row>
    <row r="388" spans="1:7">
      <c r="A388" s="455" t="s">
        <v>484</v>
      </c>
      <c r="B388" s="456" t="s">
        <v>278</v>
      </c>
      <c r="C388" s="456" t="s">
        <v>510</v>
      </c>
      <c r="D388" s="456" t="s">
        <v>1760</v>
      </c>
      <c r="E388" s="456" t="s">
        <v>485</v>
      </c>
      <c r="F388" s="457">
        <v>407780.63</v>
      </c>
      <c r="G388" s="457">
        <v>407780.63</v>
      </c>
    </row>
    <row r="389" spans="1:7" ht="56.25">
      <c r="A389" s="452" t="s">
        <v>1109</v>
      </c>
      <c r="B389" s="453" t="s">
        <v>278</v>
      </c>
      <c r="C389" s="453" t="s">
        <v>510</v>
      </c>
      <c r="D389" s="453" t="s">
        <v>1108</v>
      </c>
      <c r="E389" s="453"/>
      <c r="F389" s="454">
        <v>119000</v>
      </c>
      <c r="G389" s="454">
        <v>119000</v>
      </c>
    </row>
    <row r="390" spans="1:7">
      <c r="A390" s="455" t="s">
        <v>484</v>
      </c>
      <c r="B390" s="456" t="s">
        <v>278</v>
      </c>
      <c r="C390" s="456" t="s">
        <v>510</v>
      </c>
      <c r="D390" s="456" t="s">
        <v>1108</v>
      </c>
      <c r="E390" s="456" t="s">
        <v>485</v>
      </c>
      <c r="F390" s="457">
        <v>119000</v>
      </c>
      <c r="G390" s="457">
        <v>119000</v>
      </c>
    </row>
    <row r="391" spans="1:7" ht="67.5">
      <c r="A391" s="458" t="s">
        <v>2651</v>
      </c>
      <c r="B391" s="453" t="s">
        <v>278</v>
      </c>
      <c r="C391" s="453" t="s">
        <v>510</v>
      </c>
      <c r="D391" s="453" t="s">
        <v>1833</v>
      </c>
      <c r="E391" s="453"/>
      <c r="F391" s="454">
        <v>611100</v>
      </c>
      <c r="G391" s="454">
        <v>611100</v>
      </c>
    </row>
    <row r="392" spans="1:7">
      <c r="A392" s="455" t="s">
        <v>484</v>
      </c>
      <c r="B392" s="456" t="s">
        <v>278</v>
      </c>
      <c r="C392" s="456" t="s">
        <v>510</v>
      </c>
      <c r="D392" s="456" t="s">
        <v>1833</v>
      </c>
      <c r="E392" s="456" t="s">
        <v>485</v>
      </c>
      <c r="F392" s="457">
        <v>611100</v>
      </c>
      <c r="G392" s="457">
        <v>611100</v>
      </c>
    </row>
    <row r="393" spans="1:7" ht="67.5">
      <c r="A393" s="458" t="s">
        <v>2652</v>
      </c>
      <c r="B393" s="453" t="s">
        <v>278</v>
      </c>
      <c r="C393" s="453" t="s">
        <v>510</v>
      </c>
      <c r="D393" s="453" t="s">
        <v>1814</v>
      </c>
      <c r="E393" s="453"/>
      <c r="F393" s="454">
        <v>6900</v>
      </c>
      <c r="G393" s="454">
        <v>6900</v>
      </c>
    </row>
    <row r="394" spans="1:7">
      <c r="A394" s="455" t="s">
        <v>484</v>
      </c>
      <c r="B394" s="456" t="s">
        <v>278</v>
      </c>
      <c r="C394" s="456" t="s">
        <v>510</v>
      </c>
      <c r="D394" s="456" t="s">
        <v>1814</v>
      </c>
      <c r="E394" s="456" t="s">
        <v>485</v>
      </c>
      <c r="F394" s="457">
        <v>6900</v>
      </c>
      <c r="G394" s="457">
        <v>6900</v>
      </c>
    </row>
    <row r="395" spans="1:7" ht="67.5">
      <c r="A395" s="458" t="s">
        <v>2653</v>
      </c>
      <c r="B395" s="453" t="s">
        <v>278</v>
      </c>
      <c r="C395" s="453" t="s">
        <v>510</v>
      </c>
      <c r="D395" s="453" t="s">
        <v>1952</v>
      </c>
      <c r="E395" s="453"/>
      <c r="F395" s="454">
        <v>7032.37</v>
      </c>
      <c r="G395" s="454">
        <v>7032.37</v>
      </c>
    </row>
    <row r="396" spans="1:7">
      <c r="A396" s="455" t="s">
        <v>484</v>
      </c>
      <c r="B396" s="456" t="s">
        <v>278</v>
      </c>
      <c r="C396" s="456" t="s">
        <v>510</v>
      </c>
      <c r="D396" s="456" t="s">
        <v>1952</v>
      </c>
      <c r="E396" s="456" t="s">
        <v>485</v>
      </c>
      <c r="F396" s="457">
        <v>7032.37</v>
      </c>
      <c r="G396" s="457">
        <v>7032.37</v>
      </c>
    </row>
    <row r="397" spans="1:7" ht="67.5">
      <c r="A397" s="458" t="s">
        <v>2631</v>
      </c>
      <c r="B397" s="453" t="s">
        <v>278</v>
      </c>
      <c r="C397" s="453" t="s">
        <v>510</v>
      </c>
      <c r="D397" s="453" t="s">
        <v>941</v>
      </c>
      <c r="E397" s="453"/>
      <c r="F397" s="454">
        <v>141096</v>
      </c>
      <c r="G397" s="454">
        <v>141096</v>
      </c>
    </row>
    <row r="398" spans="1:7">
      <c r="A398" s="455" t="s">
        <v>484</v>
      </c>
      <c r="B398" s="456" t="s">
        <v>278</v>
      </c>
      <c r="C398" s="456" t="s">
        <v>510</v>
      </c>
      <c r="D398" s="456" t="s">
        <v>941</v>
      </c>
      <c r="E398" s="456" t="s">
        <v>485</v>
      </c>
      <c r="F398" s="457">
        <v>141096</v>
      </c>
      <c r="G398" s="457">
        <v>141096</v>
      </c>
    </row>
    <row r="399" spans="1:7" ht="67.5">
      <c r="A399" s="458" t="s">
        <v>2654</v>
      </c>
      <c r="B399" s="453" t="s">
        <v>278</v>
      </c>
      <c r="C399" s="453" t="s">
        <v>510</v>
      </c>
      <c r="D399" s="453" t="s">
        <v>1866</v>
      </c>
      <c r="E399" s="453"/>
      <c r="F399" s="454">
        <v>60497.599999999999</v>
      </c>
      <c r="G399" s="454">
        <v>0</v>
      </c>
    </row>
    <row r="400" spans="1:7">
      <c r="A400" s="455" t="s">
        <v>484</v>
      </c>
      <c r="B400" s="456" t="s">
        <v>278</v>
      </c>
      <c r="C400" s="456" t="s">
        <v>510</v>
      </c>
      <c r="D400" s="456" t="s">
        <v>1866</v>
      </c>
      <c r="E400" s="456" t="s">
        <v>485</v>
      </c>
      <c r="F400" s="457">
        <v>60497.599999999999</v>
      </c>
      <c r="G400" s="457">
        <v>0</v>
      </c>
    </row>
    <row r="401" spans="1:7">
      <c r="A401" s="452" t="s">
        <v>0</v>
      </c>
      <c r="B401" s="453" t="s">
        <v>278</v>
      </c>
      <c r="C401" s="453" t="s">
        <v>522</v>
      </c>
      <c r="D401" s="453"/>
      <c r="E401" s="453"/>
      <c r="F401" s="454">
        <v>35617670.289999999</v>
      </c>
      <c r="G401" s="454">
        <v>34650726.119999997</v>
      </c>
    </row>
    <row r="402" spans="1:7" ht="67.5">
      <c r="A402" s="458" t="s">
        <v>2625</v>
      </c>
      <c r="B402" s="453" t="s">
        <v>278</v>
      </c>
      <c r="C402" s="453" t="s">
        <v>522</v>
      </c>
      <c r="D402" s="453" t="s">
        <v>912</v>
      </c>
      <c r="E402" s="453"/>
      <c r="F402" s="454">
        <v>14126003.24</v>
      </c>
      <c r="G402" s="454">
        <v>13886397.119999999</v>
      </c>
    </row>
    <row r="403" spans="1:7">
      <c r="A403" s="455" t="s">
        <v>1603</v>
      </c>
      <c r="B403" s="456" t="s">
        <v>278</v>
      </c>
      <c r="C403" s="456" t="s">
        <v>522</v>
      </c>
      <c r="D403" s="456" t="s">
        <v>912</v>
      </c>
      <c r="E403" s="456" t="s">
        <v>460</v>
      </c>
      <c r="F403" s="457">
        <v>9423030</v>
      </c>
      <c r="G403" s="457">
        <v>9415643.4700000007</v>
      </c>
    </row>
    <row r="404" spans="1:7" ht="22.5">
      <c r="A404" s="455" t="s">
        <v>1617</v>
      </c>
      <c r="B404" s="456" t="s">
        <v>278</v>
      </c>
      <c r="C404" s="456" t="s">
        <v>522</v>
      </c>
      <c r="D404" s="456" t="s">
        <v>912</v>
      </c>
      <c r="E404" s="456" t="s">
        <v>509</v>
      </c>
      <c r="F404" s="457">
        <v>33658.58</v>
      </c>
      <c r="G404" s="457">
        <v>33658.58</v>
      </c>
    </row>
    <row r="405" spans="1:7" ht="33.75">
      <c r="A405" s="455" t="s">
        <v>1604</v>
      </c>
      <c r="B405" s="456" t="s">
        <v>278</v>
      </c>
      <c r="C405" s="456" t="s">
        <v>522</v>
      </c>
      <c r="D405" s="456" t="s">
        <v>912</v>
      </c>
      <c r="E405" s="456" t="s">
        <v>1290</v>
      </c>
      <c r="F405" s="457">
        <v>2882253</v>
      </c>
      <c r="G405" s="457">
        <v>2879503.76</v>
      </c>
    </row>
    <row r="406" spans="1:7" ht="22.5">
      <c r="A406" s="455" t="s">
        <v>445</v>
      </c>
      <c r="B406" s="456" t="s">
        <v>278</v>
      </c>
      <c r="C406" s="456" t="s">
        <v>522</v>
      </c>
      <c r="D406" s="456" t="s">
        <v>912</v>
      </c>
      <c r="E406" s="456" t="s">
        <v>446</v>
      </c>
      <c r="F406" s="457">
        <v>1786799.64</v>
      </c>
      <c r="G406" s="457">
        <v>1557329.29</v>
      </c>
    </row>
    <row r="407" spans="1:7">
      <c r="A407" s="455" t="s">
        <v>1293</v>
      </c>
      <c r="B407" s="456" t="s">
        <v>278</v>
      </c>
      <c r="C407" s="456" t="s">
        <v>522</v>
      </c>
      <c r="D407" s="456" t="s">
        <v>912</v>
      </c>
      <c r="E407" s="456" t="s">
        <v>1294</v>
      </c>
      <c r="F407" s="457">
        <v>262.02</v>
      </c>
      <c r="G407" s="457">
        <v>262.02</v>
      </c>
    </row>
    <row r="408" spans="1:7" ht="56.25">
      <c r="A408" s="452" t="s">
        <v>1867</v>
      </c>
      <c r="B408" s="453" t="s">
        <v>278</v>
      </c>
      <c r="C408" s="453" t="s">
        <v>522</v>
      </c>
      <c r="D408" s="453" t="s">
        <v>1868</v>
      </c>
      <c r="E408" s="453"/>
      <c r="F408" s="454">
        <v>5945459</v>
      </c>
      <c r="G408" s="454">
        <v>5867357.04</v>
      </c>
    </row>
    <row r="409" spans="1:7">
      <c r="A409" s="455" t="s">
        <v>1603</v>
      </c>
      <c r="B409" s="456" t="s">
        <v>278</v>
      </c>
      <c r="C409" s="456" t="s">
        <v>522</v>
      </c>
      <c r="D409" s="456" t="s">
        <v>1868</v>
      </c>
      <c r="E409" s="456" t="s">
        <v>460</v>
      </c>
      <c r="F409" s="457">
        <v>4472762</v>
      </c>
      <c r="G409" s="457">
        <v>4394660.26</v>
      </c>
    </row>
    <row r="410" spans="1:7" ht="22.5">
      <c r="A410" s="455" t="s">
        <v>1617</v>
      </c>
      <c r="B410" s="456" t="s">
        <v>278</v>
      </c>
      <c r="C410" s="456" t="s">
        <v>522</v>
      </c>
      <c r="D410" s="456" t="s">
        <v>1868</v>
      </c>
      <c r="E410" s="456" t="s">
        <v>509</v>
      </c>
      <c r="F410" s="457">
        <v>1170</v>
      </c>
      <c r="G410" s="457">
        <v>1170</v>
      </c>
    </row>
    <row r="411" spans="1:7" ht="33.75">
      <c r="A411" s="455" t="s">
        <v>1604</v>
      </c>
      <c r="B411" s="456" t="s">
        <v>278</v>
      </c>
      <c r="C411" s="456" t="s">
        <v>522</v>
      </c>
      <c r="D411" s="456" t="s">
        <v>1868</v>
      </c>
      <c r="E411" s="456" t="s">
        <v>1290</v>
      </c>
      <c r="F411" s="457">
        <v>1471527</v>
      </c>
      <c r="G411" s="457">
        <v>1471526.78</v>
      </c>
    </row>
    <row r="412" spans="1:7" ht="67.5">
      <c r="A412" s="458" t="s">
        <v>2609</v>
      </c>
      <c r="B412" s="453" t="s">
        <v>278</v>
      </c>
      <c r="C412" s="453" t="s">
        <v>522</v>
      </c>
      <c r="D412" s="453" t="s">
        <v>913</v>
      </c>
      <c r="E412" s="453"/>
      <c r="F412" s="454">
        <v>802500</v>
      </c>
      <c r="G412" s="454">
        <v>680986.3</v>
      </c>
    </row>
    <row r="413" spans="1:7">
      <c r="A413" s="455" t="s">
        <v>1603</v>
      </c>
      <c r="B413" s="456" t="s">
        <v>278</v>
      </c>
      <c r="C413" s="456" t="s">
        <v>522</v>
      </c>
      <c r="D413" s="456" t="s">
        <v>913</v>
      </c>
      <c r="E413" s="456" t="s">
        <v>460</v>
      </c>
      <c r="F413" s="457">
        <v>604360</v>
      </c>
      <c r="G413" s="457">
        <v>533906.23</v>
      </c>
    </row>
    <row r="414" spans="1:7" ht="33.75">
      <c r="A414" s="455" t="s">
        <v>1604</v>
      </c>
      <c r="B414" s="456" t="s">
        <v>278</v>
      </c>
      <c r="C414" s="456" t="s">
        <v>522</v>
      </c>
      <c r="D414" s="456" t="s">
        <v>913</v>
      </c>
      <c r="E414" s="456" t="s">
        <v>1290</v>
      </c>
      <c r="F414" s="457">
        <v>198140</v>
      </c>
      <c r="G414" s="457">
        <v>147080.07</v>
      </c>
    </row>
    <row r="415" spans="1:7" ht="67.5">
      <c r="A415" s="458" t="s">
        <v>2655</v>
      </c>
      <c r="B415" s="453" t="s">
        <v>278</v>
      </c>
      <c r="C415" s="453" t="s">
        <v>522</v>
      </c>
      <c r="D415" s="453" t="s">
        <v>1870</v>
      </c>
      <c r="E415" s="453"/>
      <c r="F415" s="454">
        <v>9348494</v>
      </c>
      <c r="G415" s="454">
        <v>8961836.2699999996</v>
      </c>
    </row>
    <row r="416" spans="1:7">
      <c r="A416" s="455" t="s">
        <v>1603</v>
      </c>
      <c r="B416" s="456" t="s">
        <v>278</v>
      </c>
      <c r="C416" s="456" t="s">
        <v>522</v>
      </c>
      <c r="D416" s="456" t="s">
        <v>1870</v>
      </c>
      <c r="E416" s="456" t="s">
        <v>460</v>
      </c>
      <c r="F416" s="457">
        <v>7180101</v>
      </c>
      <c r="G416" s="457">
        <v>7016324.54</v>
      </c>
    </row>
    <row r="417" spans="1:7" ht="33.75">
      <c r="A417" s="455" t="s">
        <v>1604</v>
      </c>
      <c r="B417" s="456" t="s">
        <v>278</v>
      </c>
      <c r="C417" s="456" t="s">
        <v>522</v>
      </c>
      <c r="D417" s="456" t="s">
        <v>1870</v>
      </c>
      <c r="E417" s="456" t="s">
        <v>1290</v>
      </c>
      <c r="F417" s="457">
        <v>2168393</v>
      </c>
      <c r="G417" s="457">
        <v>1945511.73</v>
      </c>
    </row>
    <row r="418" spans="1:7" ht="67.5">
      <c r="A418" s="458" t="s">
        <v>2627</v>
      </c>
      <c r="B418" s="453" t="s">
        <v>278</v>
      </c>
      <c r="C418" s="453" t="s">
        <v>522</v>
      </c>
      <c r="D418" s="453" t="s">
        <v>915</v>
      </c>
      <c r="E418" s="453"/>
      <c r="F418" s="454">
        <v>178152</v>
      </c>
      <c r="G418" s="454">
        <v>178152</v>
      </c>
    </row>
    <row r="419" spans="1:7" ht="22.5">
      <c r="A419" s="455" t="s">
        <v>1617</v>
      </c>
      <c r="B419" s="456" t="s">
        <v>278</v>
      </c>
      <c r="C419" s="456" t="s">
        <v>522</v>
      </c>
      <c r="D419" s="456" t="s">
        <v>915</v>
      </c>
      <c r="E419" s="456" t="s">
        <v>509</v>
      </c>
      <c r="F419" s="457">
        <v>178152</v>
      </c>
      <c r="G419" s="457">
        <v>178152</v>
      </c>
    </row>
    <row r="420" spans="1:7" ht="67.5">
      <c r="A420" s="458" t="s">
        <v>2628</v>
      </c>
      <c r="B420" s="453" t="s">
        <v>278</v>
      </c>
      <c r="C420" s="453" t="s">
        <v>522</v>
      </c>
      <c r="D420" s="453" t="s">
        <v>916</v>
      </c>
      <c r="E420" s="453"/>
      <c r="F420" s="454">
        <v>308531.76</v>
      </c>
      <c r="G420" s="454">
        <v>243199.76</v>
      </c>
    </row>
    <row r="421" spans="1:7" ht="22.5">
      <c r="A421" s="455" t="s">
        <v>445</v>
      </c>
      <c r="B421" s="456" t="s">
        <v>278</v>
      </c>
      <c r="C421" s="456" t="s">
        <v>522</v>
      </c>
      <c r="D421" s="456" t="s">
        <v>916</v>
      </c>
      <c r="E421" s="456" t="s">
        <v>446</v>
      </c>
      <c r="F421" s="457">
        <v>308531.76</v>
      </c>
      <c r="G421" s="457">
        <v>243199.76</v>
      </c>
    </row>
    <row r="422" spans="1:7" ht="56.25">
      <c r="A422" s="452" t="s">
        <v>1183</v>
      </c>
      <c r="B422" s="453" t="s">
        <v>278</v>
      </c>
      <c r="C422" s="453" t="s">
        <v>522</v>
      </c>
      <c r="D422" s="453" t="s">
        <v>1184</v>
      </c>
      <c r="E422" s="453"/>
      <c r="F422" s="454">
        <v>74603</v>
      </c>
      <c r="G422" s="454">
        <v>74603</v>
      </c>
    </row>
    <row r="423" spans="1:7" ht="22.5">
      <c r="A423" s="455" t="s">
        <v>445</v>
      </c>
      <c r="B423" s="456" t="s">
        <v>278</v>
      </c>
      <c r="C423" s="456" t="s">
        <v>522</v>
      </c>
      <c r="D423" s="456" t="s">
        <v>1184</v>
      </c>
      <c r="E423" s="456" t="s">
        <v>446</v>
      </c>
      <c r="F423" s="457">
        <v>74603</v>
      </c>
      <c r="G423" s="457">
        <v>74603</v>
      </c>
    </row>
    <row r="424" spans="1:7" ht="67.5">
      <c r="A424" s="458" t="s">
        <v>2629</v>
      </c>
      <c r="B424" s="453" t="s">
        <v>278</v>
      </c>
      <c r="C424" s="453" t="s">
        <v>522</v>
      </c>
      <c r="D424" s="453" t="s">
        <v>1174</v>
      </c>
      <c r="E424" s="453"/>
      <c r="F424" s="454">
        <v>141000</v>
      </c>
      <c r="G424" s="454">
        <v>141000</v>
      </c>
    </row>
    <row r="425" spans="1:7" ht="22.5">
      <c r="A425" s="455" t="s">
        <v>445</v>
      </c>
      <c r="B425" s="456" t="s">
        <v>278</v>
      </c>
      <c r="C425" s="456" t="s">
        <v>522</v>
      </c>
      <c r="D425" s="456" t="s">
        <v>1174</v>
      </c>
      <c r="E425" s="456" t="s">
        <v>446</v>
      </c>
      <c r="F425" s="457">
        <v>141000</v>
      </c>
      <c r="G425" s="457">
        <v>141000</v>
      </c>
    </row>
    <row r="426" spans="1:7" ht="67.5">
      <c r="A426" s="458" t="s">
        <v>2630</v>
      </c>
      <c r="B426" s="453" t="s">
        <v>278</v>
      </c>
      <c r="C426" s="453" t="s">
        <v>522</v>
      </c>
      <c r="D426" s="453" t="s">
        <v>2009</v>
      </c>
      <c r="E426" s="453"/>
      <c r="F426" s="454">
        <v>13020</v>
      </c>
      <c r="G426" s="454">
        <v>13020</v>
      </c>
    </row>
    <row r="427" spans="1:7">
      <c r="A427" s="455" t="s">
        <v>1603</v>
      </c>
      <c r="B427" s="456" t="s">
        <v>278</v>
      </c>
      <c r="C427" s="456" t="s">
        <v>522</v>
      </c>
      <c r="D427" s="456" t="s">
        <v>2009</v>
      </c>
      <c r="E427" s="456" t="s">
        <v>460</v>
      </c>
      <c r="F427" s="457">
        <v>10000</v>
      </c>
      <c r="G427" s="457">
        <v>10000</v>
      </c>
    </row>
    <row r="428" spans="1:7" ht="33.75">
      <c r="A428" s="455" t="s">
        <v>1604</v>
      </c>
      <c r="B428" s="456" t="s">
        <v>278</v>
      </c>
      <c r="C428" s="456" t="s">
        <v>522</v>
      </c>
      <c r="D428" s="456" t="s">
        <v>2009</v>
      </c>
      <c r="E428" s="456" t="s">
        <v>1290</v>
      </c>
      <c r="F428" s="457">
        <v>3020</v>
      </c>
      <c r="G428" s="457">
        <v>3020</v>
      </c>
    </row>
    <row r="429" spans="1:7" ht="67.5">
      <c r="A429" s="458" t="s">
        <v>2656</v>
      </c>
      <c r="B429" s="453" t="s">
        <v>278</v>
      </c>
      <c r="C429" s="453" t="s">
        <v>522</v>
      </c>
      <c r="D429" s="453" t="s">
        <v>1872</v>
      </c>
      <c r="E429" s="453"/>
      <c r="F429" s="454">
        <v>1701155</v>
      </c>
      <c r="G429" s="454">
        <v>1698801.83</v>
      </c>
    </row>
    <row r="430" spans="1:7">
      <c r="A430" s="455" t="s">
        <v>1603</v>
      </c>
      <c r="B430" s="456" t="s">
        <v>278</v>
      </c>
      <c r="C430" s="456" t="s">
        <v>522</v>
      </c>
      <c r="D430" s="456" t="s">
        <v>1872</v>
      </c>
      <c r="E430" s="456" t="s">
        <v>460</v>
      </c>
      <c r="F430" s="457">
        <v>1296624</v>
      </c>
      <c r="G430" s="457">
        <v>1296623.29</v>
      </c>
    </row>
    <row r="431" spans="1:7" ht="22.5">
      <c r="A431" s="455" t="s">
        <v>1617</v>
      </c>
      <c r="B431" s="456" t="s">
        <v>278</v>
      </c>
      <c r="C431" s="456" t="s">
        <v>522</v>
      </c>
      <c r="D431" s="456" t="s">
        <v>1872</v>
      </c>
      <c r="E431" s="456" t="s">
        <v>509</v>
      </c>
      <c r="F431" s="457">
        <v>780</v>
      </c>
      <c r="G431" s="457">
        <v>144.68</v>
      </c>
    </row>
    <row r="432" spans="1:7" ht="33.75">
      <c r="A432" s="455" t="s">
        <v>1604</v>
      </c>
      <c r="B432" s="456" t="s">
        <v>278</v>
      </c>
      <c r="C432" s="456" t="s">
        <v>522</v>
      </c>
      <c r="D432" s="456" t="s">
        <v>1872</v>
      </c>
      <c r="E432" s="456" t="s">
        <v>1290</v>
      </c>
      <c r="F432" s="457">
        <v>403751</v>
      </c>
      <c r="G432" s="457">
        <v>402033.86</v>
      </c>
    </row>
    <row r="433" spans="1:7" ht="67.5">
      <c r="A433" s="458" t="s">
        <v>2657</v>
      </c>
      <c r="B433" s="453" t="s">
        <v>278</v>
      </c>
      <c r="C433" s="453" t="s">
        <v>522</v>
      </c>
      <c r="D433" s="453" t="s">
        <v>1874</v>
      </c>
      <c r="E433" s="453"/>
      <c r="F433" s="454">
        <v>35804</v>
      </c>
      <c r="G433" s="454">
        <v>32470.41</v>
      </c>
    </row>
    <row r="434" spans="1:7">
      <c r="A434" s="455" t="s">
        <v>1603</v>
      </c>
      <c r="B434" s="456" t="s">
        <v>278</v>
      </c>
      <c r="C434" s="456" t="s">
        <v>522</v>
      </c>
      <c r="D434" s="456" t="s">
        <v>1874</v>
      </c>
      <c r="E434" s="456" t="s">
        <v>460</v>
      </c>
      <c r="F434" s="457">
        <v>27499</v>
      </c>
      <c r="G434" s="457">
        <v>25311.49</v>
      </c>
    </row>
    <row r="435" spans="1:7" ht="33.75">
      <c r="A435" s="455" t="s">
        <v>1604</v>
      </c>
      <c r="B435" s="456" t="s">
        <v>278</v>
      </c>
      <c r="C435" s="456" t="s">
        <v>522</v>
      </c>
      <c r="D435" s="456" t="s">
        <v>1874</v>
      </c>
      <c r="E435" s="456" t="s">
        <v>1290</v>
      </c>
      <c r="F435" s="457">
        <v>8305</v>
      </c>
      <c r="G435" s="457">
        <v>7158.92</v>
      </c>
    </row>
    <row r="436" spans="1:7" ht="67.5">
      <c r="A436" s="458" t="s">
        <v>2647</v>
      </c>
      <c r="B436" s="453" t="s">
        <v>278</v>
      </c>
      <c r="C436" s="453" t="s">
        <v>522</v>
      </c>
      <c r="D436" s="453" t="s">
        <v>1876</v>
      </c>
      <c r="E436" s="453"/>
      <c r="F436" s="454">
        <v>2872817.29</v>
      </c>
      <c r="G436" s="454">
        <v>2828412.07</v>
      </c>
    </row>
    <row r="437" spans="1:7">
      <c r="A437" s="455" t="s">
        <v>1603</v>
      </c>
      <c r="B437" s="456" t="s">
        <v>278</v>
      </c>
      <c r="C437" s="456" t="s">
        <v>522</v>
      </c>
      <c r="D437" s="456" t="s">
        <v>1876</v>
      </c>
      <c r="E437" s="456" t="s">
        <v>460</v>
      </c>
      <c r="F437" s="457">
        <v>2252648.3199999998</v>
      </c>
      <c r="G437" s="457">
        <v>2215298.96</v>
      </c>
    </row>
    <row r="438" spans="1:7" ht="33.75">
      <c r="A438" s="455" t="s">
        <v>1604</v>
      </c>
      <c r="B438" s="456" t="s">
        <v>278</v>
      </c>
      <c r="C438" s="456" t="s">
        <v>522</v>
      </c>
      <c r="D438" s="456" t="s">
        <v>1876</v>
      </c>
      <c r="E438" s="456" t="s">
        <v>1290</v>
      </c>
      <c r="F438" s="457">
        <v>620168.97</v>
      </c>
      <c r="G438" s="457">
        <v>613113.11</v>
      </c>
    </row>
    <row r="439" spans="1:7" ht="67.5">
      <c r="A439" s="458" t="s">
        <v>2639</v>
      </c>
      <c r="B439" s="453" t="s">
        <v>278</v>
      </c>
      <c r="C439" s="453" t="s">
        <v>522</v>
      </c>
      <c r="D439" s="453" t="s">
        <v>1878</v>
      </c>
      <c r="E439" s="453"/>
      <c r="F439" s="454">
        <v>70131</v>
      </c>
      <c r="G439" s="454">
        <v>44490.32</v>
      </c>
    </row>
    <row r="440" spans="1:7">
      <c r="A440" s="455" t="s">
        <v>1603</v>
      </c>
      <c r="B440" s="456" t="s">
        <v>278</v>
      </c>
      <c r="C440" s="456" t="s">
        <v>522</v>
      </c>
      <c r="D440" s="456" t="s">
        <v>1878</v>
      </c>
      <c r="E440" s="456" t="s">
        <v>460</v>
      </c>
      <c r="F440" s="457">
        <v>53864</v>
      </c>
      <c r="G440" s="457">
        <v>34689.4</v>
      </c>
    </row>
    <row r="441" spans="1:7" ht="33.75">
      <c r="A441" s="455" t="s">
        <v>1604</v>
      </c>
      <c r="B441" s="456" t="s">
        <v>278</v>
      </c>
      <c r="C441" s="456" t="s">
        <v>522</v>
      </c>
      <c r="D441" s="456" t="s">
        <v>1878</v>
      </c>
      <c r="E441" s="456" t="s">
        <v>1290</v>
      </c>
      <c r="F441" s="457">
        <v>16267</v>
      </c>
      <c r="G441" s="457">
        <v>9800.92</v>
      </c>
    </row>
    <row r="442" spans="1:7">
      <c r="A442" s="452" t="s">
        <v>297</v>
      </c>
      <c r="B442" s="453" t="s">
        <v>278</v>
      </c>
      <c r="C442" s="453" t="s">
        <v>1610</v>
      </c>
      <c r="D442" s="453"/>
      <c r="E442" s="453"/>
      <c r="F442" s="454">
        <v>1745700</v>
      </c>
      <c r="G442" s="454">
        <v>1436944.36</v>
      </c>
    </row>
    <row r="443" spans="1:7">
      <c r="A443" s="452" t="s">
        <v>258</v>
      </c>
      <c r="B443" s="453" t="s">
        <v>278</v>
      </c>
      <c r="C443" s="453" t="s">
        <v>499</v>
      </c>
      <c r="D443" s="453"/>
      <c r="E443" s="453"/>
      <c r="F443" s="454">
        <v>1745700</v>
      </c>
      <c r="G443" s="454">
        <v>1436944.36</v>
      </c>
    </row>
    <row r="444" spans="1:7" ht="67.5">
      <c r="A444" s="452" t="s">
        <v>500</v>
      </c>
      <c r="B444" s="453" t="s">
        <v>278</v>
      </c>
      <c r="C444" s="453" t="s">
        <v>499</v>
      </c>
      <c r="D444" s="453" t="s">
        <v>897</v>
      </c>
      <c r="E444" s="453"/>
      <c r="F444" s="454">
        <v>632026.26</v>
      </c>
      <c r="G444" s="454">
        <v>468562.93</v>
      </c>
    </row>
    <row r="445" spans="1:7" ht="33.75">
      <c r="A445" s="455" t="s">
        <v>1619</v>
      </c>
      <c r="B445" s="456" t="s">
        <v>278</v>
      </c>
      <c r="C445" s="456" t="s">
        <v>499</v>
      </c>
      <c r="D445" s="456" t="s">
        <v>897</v>
      </c>
      <c r="E445" s="456" t="s">
        <v>1295</v>
      </c>
      <c r="F445" s="457">
        <v>20000</v>
      </c>
      <c r="G445" s="457">
        <v>20000</v>
      </c>
    </row>
    <row r="446" spans="1:7" ht="22.5">
      <c r="A446" s="455" t="s">
        <v>445</v>
      </c>
      <c r="B446" s="456" t="s">
        <v>278</v>
      </c>
      <c r="C446" s="456" t="s">
        <v>499</v>
      </c>
      <c r="D446" s="456" t="s">
        <v>897</v>
      </c>
      <c r="E446" s="456" t="s">
        <v>446</v>
      </c>
      <c r="F446" s="457">
        <v>612026.26</v>
      </c>
      <c r="G446" s="457">
        <v>448562.93</v>
      </c>
    </row>
    <row r="447" spans="1:7" ht="67.5">
      <c r="A447" s="452" t="s">
        <v>501</v>
      </c>
      <c r="B447" s="453" t="s">
        <v>278</v>
      </c>
      <c r="C447" s="453" t="s">
        <v>499</v>
      </c>
      <c r="D447" s="453" t="s">
        <v>898</v>
      </c>
      <c r="E447" s="453"/>
      <c r="F447" s="454">
        <v>858738.74</v>
      </c>
      <c r="G447" s="454">
        <v>713446.43</v>
      </c>
    </row>
    <row r="448" spans="1:7" ht="22.5">
      <c r="A448" s="455" t="s">
        <v>1617</v>
      </c>
      <c r="B448" s="456" t="s">
        <v>278</v>
      </c>
      <c r="C448" s="456" t="s">
        <v>499</v>
      </c>
      <c r="D448" s="456" t="s">
        <v>898</v>
      </c>
      <c r="E448" s="456" t="s">
        <v>509</v>
      </c>
      <c r="F448" s="457">
        <v>60000</v>
      </c>
      <c r="G448" s="457">
        <v>53531</v>
      </c>
    </row>
    <row r="449" spans="1:7" ht="33.75">
      <c r="A449" s="455" t="s">
        <v>1619</v>
      </c>
      <c r="B449" s="456" t="s">
        <v>278</v>
      </c>
      <c r="C449" s="456" t="s">
        <v>499</v>
      </c>
      <c r="D449" s="456" t="s">
        <v>898</v>
      </c>
      <c r="E449" s="456" t="s">
        <v>1295</v>
      </c>
      <c r="F449" s="457">
        <v>486123.61</v>
      </c>
      <c r="G449" s="457">
        <v>462713.2</v>
      </c>
    </row>
    <row r="450" spans="1:7" ht="22.5">
      <c r="A450" s="455" t="s">
        <v>445</v>
      </c>
      <c r="B450" s="456" t="s">
        <v>278</v>
      </c>
      <c r="C450" s="456" t="s">
        <v>499</v>
      </c>
      <c r="D450" s="456" t="s">
        <v>898</v>
      </c>
      <c r="E450" s="456" t="s">
        <v>446</v>
      </c>
      <c r="F450" s="457">
        <v>312615.13</v>
      </c>
      <c r="G450" s="457">
        <v>197202.23</v>
      </c>
    </row>
    <row r="451" spans="1:7" ht="56.25">
      <c r="A451" s="452" t="s">
        <v>1620</v>
      </c>
      <c r="B451" s="453" t="s">
        <v>278</v>
      </c>
      <c r="C451" s="453" t="s">
        <v>499</v>
      </c>
      <c r="D451" s="453" t="s">
        <v>1621</v>
      </c>
      <c r="E451" s="453"/>
      <c r="F451" s="454">
        <v>254935</v>
      </c>
      <c r="G451" s="454">
        <v>254935</v>
      </c>
    </row>
    <row r="452" spans="1:7" ht="22.5">
      <c r="A452" s="455" t="s">
        <v>445</v>
      </c>
      <c r="B452" s="456" t="s">
        <v>278</v>
      </c>
      <c r="C452" s="456" t="s">
        <v>499</v>
      </c>
      <c r="D452" s="456" t="s">
        <v>1621</v>
      </c>
      <c r="E452" s="456" t="s">
        <v>446</v>
      </c>
      <c r="F452" s="457">
        <v>254935</v>
      </c>
      <c r="G452" s="457">
        <v>254935</v>
      </c>
    </row>
    <row r="453" spans="1:7" ht="22.5">
      <c r="A453" s="452" t="s">
        <v>231</v>
      </c>
      <c r="B453" s="453" t="s">
        <v>88</v>
      </c>
      <c r="C453" s="453"/>
      <c r="D453" s="453"/>
      <c r="E453" s="453"/>
      <c r="F453" s="454">
        <v>18907434.620000001</v>
      </c>
      <c r="G453" s="454">
        <v>15119270.130000001</v>
      </c>
    </row>
    <row r="454" spans="1:7">
      <c r="A454" s="452" t="s">
        <v>282</v>
      </c>
      <c r="B454" s="453" t="s">
        <v>88</v>
      </c>
      <c r="C454" s="453" t="s">
        <v>1598</v>
      </c>
      <c r="D454" s="453"/>
      <c r="E454" s="453"/>
      <c r="F454" s="454">
        <v>851467.55</v>
      </c>
      <c r="G454" s="454">
        <v>851467.55</v>
      </c>
    </row>
    <row r="455" spans="1:7">
      <c r="A455" s="452" t="s">
        <v>265</v>
      </c>
      <c r="B455" s="453" t="s">
        <v>88</v>
      </c>
      <c r="C455" s="453" t="s">
        <v>454</v>
      </c>
      <c r="D455" s="453"/>
      <c r="E455" s="453"/>
      <c r="F455" s="454">
        <v>851467.55</v>
      </c>
      <c r="G455" s="454">
        <v>851467.55</v>
      </c>
    </row>
    <row r="456" spans="1:7" ht="45">
      <c r="A456" s="452" t="s">
        <v>656</v>
      </c>
      <c r="B456" s="453" t="s">
        <v>88</v>
      </c>
      <c r="C456" s="453" t="s">
        <v>454</v>
      </c>
      <c r="D456" s="453" t="s">
        <v>943</v>
      </c>
      <c r="E456" s="453"/>
      <c r="F456" s="454">
        <v>851467.55</v>
      </c>
      <c r="G456" s="454">
        <v>851467.55</v>
      </c>
    </row>
    <row r="457" spans="1:7" ht="22.5">
      <c r="A457" s="455" t="s">
        <v>445</v>
      </c>
      <c r="B457" s="456" t="s">
        <v>88</v>
      </c>
      <c r="C457" s="456" t="s">
        <v>454</v>
      </c>
      <c r="D457" s="456" t="s">
        <v>943</v>
      </c>
      <c r="E457" s="456" t="s">
        <v>446</v>
      </c>
      <c r="F457" s="457">
        <v>851467.55</v>
      </c>
      <c r="G457" s="457">
        <v>851467.55</v>
      </c>
    </row>
    <row r="458" spans="1:7">
      <c r="A458" s="452" t="s">
        <v>222</v>
      </c>
      <c r="B458" s="453" t="s">
        <v>88</v>
      </c>
      <c r="C458" s="453" t="s">
        <v>1605</v>
      </c>
      <c r="D458" s="453"/>
      <c r="E458" s="453"/>
      <c r="F458" s="454">
        <v>4002431.15</v>
      </c>
      <c r="G458" s="454">
        <v>1197332.45</v>
      </c>
    </row>
    <row r="459" spans="1:7">
      <c r="A459" s="452" t="s">
        <v>180</v>
      </c>
      <c r="B459" s="453" t="s">
        <v>88</v>
      </c>
      <c r="C459" s="453" t="s">
        <v>478</v>
      </c>
      <c r="D459" s="453"/>
      <c r="E459" s="453"/>
      <c r="F459" s="454">
        <v>4002431.15</v>
      </c>
      <c r="G459" s="454">
        <v>1197332.45</v>
      </c>
    </row>
    <row r="460" spans="1:7" ht="67.5">
      <c r="A460" s="458" t="s">
        <v>2658</v>
      </c>
      <c r="B460" s="453" t="s">
        <v>88</v>
      </c>
      <c r="C460" s="453" t="s">
        <v>478</v>
      </c>
      <c r="D460" s="453" t="s">
        <v>1958</v>
      </c>
      <c r="E460" s="453"/>
      <c r="F460" s="454">
        <v>2761000</v>
      </c>
      <c r="G460" s="454">
        <v>0</v>
      </c>
    </row>
    <row r="461" spans="1:7" ht="22.5">
      <c r="A461" s="455" t="s">
        <v>445</v>
      </c>
      <c r="B461" s="456" t="s">
        <v>88</v>
      </c>
      <c r="C461" s="456" t="s">
        <v>478</v>
      </c>
      <c r="D461" s="456" t="s">
        <v>1958</v>
      </c>
      <c r="E461" s="456" t="s">
        <v>446</v>
      </c>
      <c r="F461" s="457">
        <v>2761000</v>
      </c>
      <c r="G461" s="457">
        <v>0</v>
      </c>
    </row>
    <row r="462" spans="1:7" ht="67.5">
      <c r="A462" s="458" t="s">
        <v>2659</v>
      </c>
      <c r="B462" s="453" t="s">
        <v>88</v>
      </c>
      <c r="C462" s="453" t="s">
        <v>478</v>
      </c>
      <c r="D462" s="453" t="s">
        <v>1955</v>
      </c>
      <c r="E462" s="453"/>
      <c r="F462" s="454">
        <v>92898.7</v>
      </c>
      <c r="G462" s="454">
        <v>48800</v>
      </c>
    </row>
    <row r="463" spans="1:7" ht="22.5">
      <c r="A463" s="455" t="s">
        <v>445</v>
      </c>
      <c r="B463" s="456" t="s">
        <v>88</v>
      </c>
      <c r="C463" s="456" t="s">
        <v>478</v>
      </c>
      <c r="D463" s="456" t="s">
        <v>1955</v>
      </c>
      <c r="E463" s="456" t="s">
        <v>446</v>
      </c>
      <c r="F463" s="457">
        <v>92898.7</v>
      </c>
      <c r="G463" s="457">
        <v>48800</v>
      </c>
    </row>
    <row r="464" spans="1:7" ht="33.75">
      <c r="A464" s="452" t="s">
        <v>523</v>
      </c>
      <c r="B464" s="453" t="s">
        <v>88</v>
      </c>
      <c r="C464" s="453" t="s">
        <v>478</v>
      </c>
      <c r="D464" s="453" t="s">
        <v>944</v>
      </c>
      <c r="E464" s="453"/>
      <c r="F464" s="454">
        <v>1148532.45</v>
      </c>
      <c r="G464" s="454">
        <v>1148532.45</v>
      </c>
    </row>
    <row r="465" spans="1:7" ht="22.5">
      <c r="A465" s="455" t="s">
        <v>445</v>
      </c>
      <c r="B465" s="456" t="s">
        <v>88</v>
      </c>
      <c r="C465" s="456" t="s">
        <v>478</v>
      </c>
      <c r="D465" s="456" t="s">
        <v>944</v>
      </c>
      <c r="E465" s="456" t="s">
        <v>446</v>
      </c>
      <c r="F465" s="457">
        <v>1148532.45</v>
      </c>
      <c r="G465" s="457">
        <v>1148532.45</v>
      </c>
    </row>
    <row r="466" spans="1:7">
      <c r="A466" s="452" t="s">
        <v>287</v>
      </c>
      <c r="B466" s="453" t="s">
        <v>88</v>
      </c>
      <c r="C466" s="453" t="s">
        <v>1607</v>
      </c>
      <c r="D466" s="453"/>
      <c r="E466" s="453"/>
      <c r="F466" s="454">
        <v>7342031.9199999999</v>
      </c>
      <c r="G466" s="454">
        <v>6358966.1299999999</v>
      </c>
    </row>
    <row r="467" spans="1:7">
      <c r="A467" s="452" t="s">
        <v>3</v>
      </c>
      <c r="B467" s="453" t="s">
        <v>88</v>
      </c>
      <c r="C467" s="453" t="s">
        <v>504</v>
      </c>
      <c r="D467" s="453"/>
      <c r="E467" s="453"/>
      <c r="F467" s="454">
        <v>6138966.1299999999</v>
      </c>
      <c r="G467" s="454">
        <v>6138966.1299999999</v>
      </c>
    </row>
    <row r="468" spans="1:7" ht="67.5">
      <c r="A468" s="458" t="s">
        <v>2660</v>
      </c>
      <c r="B468" s="453" t="s">
        <v>88</v>
      </c>
      <c r="C468" s="453" t="s">
        <v>504</v>
      </c>
      <c r="D468" s="453" t="s">
        <v>946</v>
      </c>
      <c r="E468" s="453"/>
      <c r="F468" s="454">
        <v>138966.13</v>
      </c>
      <c r="G468" s="454">
        <v>138966.13</v>
      </c>
    </row>
    <row r="469" spans="1:7" ht="22.5">
      <c r="A469" s="455" t="s">
        <v>445</v>
      </c>
      <c r="B469" s="456" t="s">
        <v>88</v>
      </c>
      <c r="C469" s="456" t="s">
        <v>504</v>
      </c>
      <c r="D469" s="456" t="s">
        <v>946</v>
      </c>
      <c r="E469" s="456" t="s">
        <v>446</v>
      </c>
      <c r="F469" s="457">
        <v>138966.13</v>
      </c>
      <c r="G469" s="457">
        <v>138966.13</v>
      </c>
    </row>
    <row r="470" spans="1:7" ht="56.25">
      <c r="A470" s="452" t="s">
        <v>657</v>
      </c>
      <c r="B470" s="453" t="s">
        <v>88</v>
      </c>
      <c r="C470" s="453" t="s">
        <v>504</v>
      </c>
      <c r="D470" s="453" t="s">
        <v>945</v>
      </c>
      <c r="E470" s="453"/>
      <c r="F470" s="454">
        <v>6000000</v>
      </c>
      <c r="G470" s="454">
        <v>6000000</v>
      </c>
    </row>
    <row r="471" spans="1:7" ht="33.75">
      <c r="A471" s="455" t="s">
        <v>524</v>
      </c>
      <c r="B471" s="456" t="s">
        <v>88</v>
      </c>
      <c r="C471" s="456" t="s">
        <v>504</v>
      </c>
      <c r="D471" s="456" t="s">
        <v>945</v>
      </c>
      <c r="E471" s="456" t="s">
        <v>525</v>
      </c>
      <c r="F471" s="457">
        <v>6000000</v>
      </c>
      <c r="G471" s="457">
        <v>6000000</v>
      </c>
    </row>
    <row r="472" spans="1:7">
      <c r="A472" s="452" t="s">
        <v>181</v>
      </c>
      <c r="B472" s="453" t="s">
        <v>88</v>
      </c>
      <c r="C472" s="453" t="s">
        <v>482</v>
      </c>
      <c r="D472" s="453"/>
      <c r="E472" s="453"/>
      <c r="F472" s="454">
        <v>1203065.79</v>
      </c>
      <c r="G472" s="454">
        <v>220000</v>
      </c>
    </row>
    <row r="473" spans="1:7" ht="67.5">
      <c r="A473" s="458" t="s">
        <v>2606</v>
      </c>
      <c r="B473" s="453" t="s">
        <v>88</v>
      </c>
      <c r="C473" s="453" t="s">
        <v>482</v>
      </c>
      <c r="D473" s="453" t="s">
        <v>902</v>
      </c>
      <c r="E473" s="453"/>
      <c r="F473" s="454">
        <v>39166.67</v>
      </c>
      <c r="G473" s="454">
        <v>39166.67</v>
      </c>
    </row>
    <row r="474" spans="1:7" ht="22.5">
      <c r="A474" s="455" t="s">
        <v>445</v>
      </c>
      <c r="B474" s="456" t="s">
        <v>88</v>
      </c>
      <c r="C474" s="456" t="s">
        <v>482</v>
      </c>
      <c r="D474" s="456" t="s">
        <v>902</v>
      </c>
      <c r="E474" s="456" t="s">
        <v>446</v>
      </c>
      <c r="F474" s="457">
        <v>39166.67</v>
      </c>
      <c r="G474" s="457">
        <v>39166.67</v>
      </c>
    </row>
    <row r="475" spans="1:7" ht="67.5">
      <c r="A475" s="458" t="s">
        <v>2661</v>
      </c>
      <c r="B475" s="453" t="s">
        <v>88</v>
      </c>
      <c r="C475" s="453" t="s">
        <v>482</v>
      </c>
      <c r="D475" s="453" t="s">
        <v>1957</v>
      </c>
      <c r="E475" s="453"/>
      <c r="F475" s="454">
        <v>180833.33</v>
      </c>
      <c r="G475" s="454">
        <v>180833.33</v>
      </c>
    </row>
    <row r="476" spans="1:7" ht="22.5">
      <c r="A476" s="455" t="s">
        <v>445</v>
      </c>
      <c r="B476" s="456" t="s">
        <v>88</v>
      </c>
      <c r="C476" s="456" t="s">
        <v>482</v>
      </c>
      <c r="D476" s="456" t="s">
        <v>1957</v>
      </c>
      <c r="E476" s="456" t="s">
        <v>446</v>
      </c>
      <c r="F476" s="457">
        <v>180833.33</v>
      </c>
      <c r="G476" s="457">
        <v>180833.33</v>
      </c>
    </row>
    <row r="477" spans="1:7" ht="33.75">
      <c r="A477" s="452" t="s">
        <v>1756</v>
      </c>
      <c r="B477" s="453" t="s">
        <v>88</v>
      </c>
      <c r="C477" s="453" t="s">
        <v>482</v>
      </c>
      <c r="D477" s="453" t="s">
        <v>1757</v>
      </c>
      <c r="E477" s="453"/>
      <c r="F477" s="454">
        <v>983065.79</v>
      </c>
      <c r="G477" s="454">
        <v>0</v>
      </c>
    </row>
    <row r="478" spans="1:7" ht="22.5">
      <c r="A478" s="455" t="s">
        <v>461</v>
      </c>
      <c r="B478" s="456" t="s">
        <v>88</v>
      </c>
      <c r="C478" s="456" t="s">
        <v>482</v>
      </c>
      <c r="D478" s="456" t="s">
        <v>1757</v>
      </c>
      <c r="E478" s="456" t="s">
        <v>462</v>
      </c>
      <c r="F478" s="457">
        <v>969993.74</v>
      </c>
      <c r="G478" s="457">
        <v>0</v>
      </c>
    </row>
    <row r="479" spans="1:7" ht="22.5">
      <c r="A479" s="455" t="s">
        <v>1758</v>
      </c>
      <c r="B479" s="456" t="s">
        <v>88</v>
      </c>
      <c r="C479" s="456" t="s">
        <v>482</v>
      </c>
      <c r="D479" s="456" t="s">
        <v>1757</v>
      </c>
      <c r="E479" s="456" t="s">
        <v>552</v>
      </c>
      <c r="F479" s="457">
        <v>13072.05</v>
      </c>
      <c r="G479" s="457">
        <v>0</v>
      </c>
    </row>
    <row r="480" spans="1:7">
      <c r="A480" s="452" t="s">
        <v>174</v>
      </c>
      <c r="B480" s="453" t="s">
        <v>88</v>
      </c>
      <c r="C480" s="453" t="s">
        <v>1609</v>
      </c>
      <c r="D480" s="453"/>
      <c r="E480" s="453"/>
      <c r="F480" s="454">
        <v>6711504</v>
      </c>
      <c r="G480" s="454">
        <v>6711504</v>
      </c>
    </row>
    <row r="481" spans="1:7">
      <c r="A481" s="452" t="s">
        <v>127</v>
      </c>
      <c r="B481" s="453" t="s">
        <v>88</v>
      </c>
      <c r="C481" s="453" t="s">
        <v>496</v>
      </c>
      <c r="D481" s="453"/>
      <c r="E481" s="453"/>
      <c r="F481" s="454">
        <v>6711504</v>
      </c>
      <c r="G481" s="454">
        <v>6711504</v>
      </c>
    </row>
    <row r="482" spans="1:7" ht="67.5">
      <c r="A482" s="458" t="s">
        <v>2662</v>
      </c>
      <c r="B482" s="453" t="s">
        <v>88</v>
      </c>
      <c r="C482" s="453" t="s">
        <v>496</v>
      </c>
      <c r="D482" s="453" t="s">
        <v>1311</v>
      </c>
      <c r="E482" s="453"/>
      <c r="F482" s="454">
        <v>2555400</v>
      </c>
      <c r="G482" s="454">
        <v>2555400</v>
      </c>
    </row>
    <row r="483" spans="1:7">
      <c r="A483" s="455" t="s">
        <v>768</v>
      </c>
      <c r="B483" s="456" t="s">
        <v>88</v>
      </c>
      <c r="C483" s="456" t="s">
        <v>496</v>
      </c>
      <c r="D483" s="456" t="s">
        <v>1311</v>
      </c>
      <c r="E483" s="456" t="s">
        <v>767</v>
      </c>
      <c r="F483" s="457">
        <v>2555400</v>
      </c>
      <c r="G483" s="457">
        <v>2555400</v>
      </c>
    </row>
    <row r="484" spans="1:7" ht="56.25">
      <c r="A484" s="452" t="s">
        <v>1116</v>
      </c>
      <c r="B484" s="453" t="s">
        <v>88</v>
      </c>
      <c r="C484" s="453" t="s">
        <v>496</v>
      </c>
      <c r="D484" s="453" t="s">
        <v>1815</v>
      </c>
      <c r="E484" s="453"/>
      <c r="F484" s="454">
        <v>4156104</v>
      </c>
      <c r="G484" s="454">
        <v>4156104</v>
      </c>
    </row>
    <row r="485" spans="1:7">
      <c r="A485" s="455" t="s">
        <v>768</v>
      </c>
      <c r="B485" s="456" t="s">
        <v>88</v>
      </c>
      <c r="C485" s="456" t="s">
        <v>496</v>
      </c>
      <c r="D485" s="456" t="s">
        <v>1815</v>
      </c>
      <c r="E485" s="456" t="s">
        <v>767</v>
      </c>
      <c r="F485" s="457">
        <v>4156104</v>
      </c>
      <c r="G485" s="457">
        <v>4156104</v>
      </c>
    </row>
    <row r="486" spans="1:7" ht="22.5">
      <c r="A486" s="452" t="s">
        <v>306</v>
      </c>
      <c r="B486" s="453" t="s">
        <v>252</v>
      </c>
      <c r="C486" s="453"/>
      <c r="D486" s="453"/>
      <c r="E486" s="453"/>
      <c r="F486" s="454">
        <v>1138030146.3599999</v>
      </c>
      <c r="G486" s="454">
        <v>1093879314.49</v>
      </c>
    </row>
    <row r="487" spans="1:7">
      <c r="A487" s="452" t="s">
        <v>173</v>
      </c>
      <c r="B487" s="453" t="s">
        <v>252</v>
      </c>
      <c r="C487" s="453" t="s">
        <v>1608</v>
      </c>
      <c r="D487" s="453"/>
      <c r="E487" s="453"/>
      <c r="F487" s="454">
        <v>1102284746.3599999</v>
      </c>
      <c r="G487" s="454">
        <v>1061316670.26</v>
      </c>
    </row>
    <row r="488" spans="1:7">
      <c r="A488" s="452" t="s">
        <v>187</v>
      </c>
      <c r="B488" s="453" t="s">
        <v>252</v>
      </c>
      <c r="C488" s="453" t="s">
        <v>528</v>
      </c>
      <c r="D488" s="453"/>
      <c r="E488" s="453"/>
      <c r="F488" s="454">
        <v>355789217.56</v>
      </c>
      <c r="G488" s="454">
        <v>341521279.38</v>
      </c>
    </row>
    <row r="489" spans="1:7" ht="67.5">
      <c r="A489" s="458" t="s">
        <v>2663</v>
      </c>
      <c r="B489" s="453" t="s">
        <v>252</v>
      </c>
      <c r="C489" s="453" t="s">
        <v>528</v>
      </c>
      <c r="D489" s="453" t="s">
        <v>951</v>
      </c>
      <c r="E489" s="453"/>
      <c r="F489" s="454">
        <v>40451104.950000003</v>
      </c>
      <c r="G489" s="454">
        <v>38321169.119999997</v>
      </c>
    </row>
    <row r="490" spans="1:7">
      <c r="A490" s="455" t="s">
        <v>1603</v>
      </c>
      <c r="B490" s="456" t="s">
        <v>252</v>
      </c>
      <c r="C490" s="456" t="s">
        <v>528</v>
      </c>
      <c r="D490" s="456" t="s">
        <v>951</v>
      </c>
      <c r="E490" s="456" t="s">
        <v>460</v>
      </c>
      <c r="F490" s="457">
        <v>24641005.48</v>
      </c>
      <c r="G490" s="457">
        <v>24177748.210000001</v>
      </c>
    </row>
    <row r="491" spans="1:7" ht="22.5">
      <c r="A491" s="455" t="s">
        <v>1617</v>
      </c>
      <c r="B491" s="456" t="s">
        <v>252</v>
      </c>
      <c r="C491" s="456" t="s">
        <v>528</v>
      </c>
      <c r="D491" s="456" t="s">
        <v>951</v>
      </c>
      <c r="E491" s="456" t="s">
        <v>509</v>
      </c>
      <c r="F491" s="457">
        <v>55560</v>
      </c>
      <c r="G491" s="457">
        <v>44352</v>
      </c>
    </row>
    <row r="492" spans="1:7" ht="33.75">
      <c r="A492" s="455" t="s">
        <v>1604</v>
      </c>
      <c r="B492" s="456" t="s">
        <v>252</v>
      </c>
      <c r="C492" s="456" t="s">
        <v>528</v>
      </c>
      <c r="D492" s="456" t="s">
        <v>951</v>
      </c>
      <c r="E492" s="456" t="s">
        <v>1290</v>
      </c>
      <c r="F492" s="457">
        <v>8175141.7800000003</v>
      </c>
      <c r="G492" s="457">
        <v>7525289.6799999997</v>
      </c>
    </row>
    <row r="493" spans="1:7" ht="22.5">
      <c r="A493" s="455" t="s">
        <v>461</v>
      </c>
      <c r="B493" s="456" t="s">
        <v>252</v>
      </c>
      <c r="C493" s="456" t="s">
        <v>528</v>
      </c>
      <c r="D493" s="456" t="s">
        <v>951</v>
      </c>
      <c r="E493" s="456" t="s">
        <v>462</v>
      </c>
      <c r="F493" s="457">
        <v>397795</v>
      </c>
      <c r="G493" s="457">
        <v>323506</v>
      </c>
    </row>
    <row r="494" spans="1:7" ht="22.5">
      <c r="A494" s="455" t="s">
        <v>445</v>
      </c>
      <c r="B494" s="456" t="s">
        <v>252</v>
      </c>
      <c r="C494" s="456" t="s">
        <v>528</v>
      </c>
      <c r="D494" s="456" t="s">
        <v>951</v>
      </c>
      <c r="E494" s="456" t="s">
        <v>446</v>
      </c>
      <c r="F494" s="457">
        <v>6823280.4800000004</v>
      </c>
      <c r="G494" s="457">
        <v>5895917.7800000003</v>
      </c>
    </row>
    <row r="495" spans="1:7">
      <c r="A495" s="455" t="s">
        <v>1293</v>
      </c>
      <c r="B495" s="456" t="s">
        <v>252</v>
      </c>
      <c r="C495" s="456" t="s">
        <v>528</v>
      </c>
      <c r="D495" s="456" t="s">
        <v>951</v>
      </c>
      <c r="E495" s="456" t="s">
        <v>1294</v>
      </c>
      <c r="F495" s="457">
        <v>358322.21</v>
      </c>
      <c r="G495" s="457">
        <v>354355.45</v>
      </c>
    </row>
    <row r="496" spans="1:7" ht="67.5">
      <c r="A496" s="458" t="s">
        <v>2664</v>
      </c>
      <c r="B496" s="453" t="s">
        <v>252</v>
      </c>
      <c r="C496" s="453" t="s">
        <v>528</v>
      </c>
      <c r="D496" s="453" t="s">
        <v>952</v>
      </c>
      <c r="E496" s="453"/>
      <c r="F496" s="454">
        <v>45607817.560000002</v>
      </c>
      <c r="G496" s="454">
        <v>44362556.030000001</v>
      </c>
    </row>
    <row r="497" spans="1:7">
      <c r="A497" s="455" t="s">
        <v>1603</v>
      </c>
      <c r="B497" s="456" t="s">
        <v>252</v>
      </c>
      <c r="C497" s="456" t="s">
        <v>528</v>
      </c>
      <c r="D497" s="456" t="s">
        <v>952</v>
      </c>
      <c r="E497" s="456" t="s">
        <v>460</v>
      </c>
      <c r="F497" s="457">
        <v>35128869.329999998</v>
      </c>
      <c r="G497" s="457">
        <v>34246832.130000003</v>
      </c>
    </row>
    <row r="498" spans="1:7" ht="33.75">
      <c r="A498" s="455" t="s">
        <v>1604</v>
      </c>
      <c r="B498" s="456" t="s">
        <v>252</v>
      </c>
      <c r="C498" s="456" t="s">
        <v>528</v>
      </c>
      <c r="D498" s="456" t="s">
        <v>952</v>
      </c>
      <c r="E498" s="456" t="s">
        <v>1290</v>
      </c>
      <c r="F498" s="457">
        <v>10478948.23</v>
      </c>
      <c r="G498" s="457">
        <v>10115723.9</v>
      </c>
    </row>
    <row r="499" spans="1:7" ht="67.5">
      <c r="A499" s="458" t="s">
        <v>2665</v>
      </c>
      <c r="B499" s="453" t="s">
        <v>252</v>
      </c>
      <c r="C499" s="453" t="s">
        <v>528</v>
      </c>
      <c r="D499" s="453" t="s">
        <v>953</v>
      </c>
      <c r="E499" s="453"/>
      <c r="F499" s="454">
        <v>881013.84</v>
      </c>
      <c r="G499" s="454">
        <v>741859.38</v>
      </c>
    </row>
    <row r="500" spans="1:7" ht="22.5">
      <c r="A500" s="455" t="s">
        <v>1617</v>
      </c>
      <c r="B500" s="456" t="s">
        <v>252</v>
      </c>
      <c r="C500" s="456" t="s">
        <v>528</v>
      </c>
      <c r="D500" s="456" t="s">
        <v>953</v>
      </c>
      <c r="E500" s="456" t="s">
        <v>509</v>
      </c>
      <c r="F500" s="457">
        <v>881013.84</v>
      </c>
      <c r="G500" s="457">
        <v>741859.38</v>
      </c>
    </row>
    <row r="501" spans="1:7" ht="67.5">
      <c r="A501" s="458" t="s">
        <v>2666</v>
      </c>
      <c r="B501" s="453" t="s">
        <v>252</v>
      </c>
      <c r="C501" s="453" t="s">
        <v>528</v>
      </c>
      <c r="D501" s="453" t="s">
        <v>954</v>
      </c>
      <c r="E501" s="453"/>
      <c r="F501" s="454">
        <v>30936199.030000001</v>
      </c>
      <c r="G501" s="454">
        <v>25758900.640000001</v>
      </c>
    </row>
    <row r="502" spans="1:7" ht="22.5">
      <c r="A502" s="455" t="s">
        <v>445</v>
      </c>
      <c r="B502" s="456" t="s">
        <v>252</v>
      </c>
      <c r="C502" s="456" t="s">
        <v>528</v>
      </c>
      <c r="D502" s="456" t="s">
        <v>954</v>
      </c>
      <c r="E502" s="456" t="s">
        <v>446</v>
      </c>
      <c r="F502" s="457">
        <v>30936199.030000001</v>
      </c>
      <c r="G502" s="457">
        <v>25758900.640000001</v>
      </c>
    </row>
    <row r="503" spans="1:7" ht="67.5">
      <c r="A503" s="458" t="s">
        <v>2667</v>
      </c>
      <c r="B503" s="453" t="s">
        <v>252</v>
      </c>
      <c r="C503" s="453" t="s">
        <v>528</v>
      </c>
      <c r="D503" s="453" t="s">
        <v>955</v>
      </c>
      <c r="E503" s="453"/>
      <c r="F503" s="454">
        <v>38856480</v>
      </c>
      <c r="G503" s="454">
        <v>38315920.090000004</v>
      </c>
    </row>
    <row r="504" spans="1:7" ht="22.5">
      <c r="A504" s="455" t="s">
        <v>445</v>
      </c>
      <c r="B504" s="456" t="s">
        <v>252</v>
      </c>
      <c r="C504" s="456" t="s">
        <v>528</v>
      </c>
      <c r="D504" s="456" t="s">
        <v>955</v>
      </c>
      <c r="E504" s="456" t="s">
        <v>446</v>
      </c>
      <c r="F504" s="457">
        <v>38856480</v>
      </c>
      <c r="G504" s="457">
        <v>38315920.090000004</v>
      </c>
    </row>
    <row r="505" spans="1:7" ht="67.5">
      <c r="A505" s="452" t="s">
        <v>1767</v>
      </c>
      <c r="B505" s="453" t="s">
        <v>252</v>
      </c>
      <c r="C505" s="453" t="s">
        <v>528</v>
      </c>
      <c r="D505" s="453" t="s">
        <v>1768</v>
      </c>
      <c r="E505" s="453"/>
      <c r="F505" s="454">
        <v>893875.94</v>
      </c>
      <c r="G505" s="454">
        <v>467608.09</v>
      </c>
    </row>
    <row r="506" spans="1:7" ht="22.5">
      <c r="A506" s="455" t="s">
        <v>445</v>
      </c>
      <c r="B506" s="456" t="s">
        <v>252</v>
      </c>
      <c r="C506" s="456" t="s">
        <v>528</v>
      </c>
      <c r="D506" s="456" t="s">
        <v>1768</v>
      </c>
      <c r="E506" s="456" t="s">
        <v>446</v>
      </c>
      <c r="F506" s="457">
        <v>893875.94</v>
      </c>
      <c r="G506" s="457">
        <v>467608.09</v>
      </c>
    </row>
    <row r="507" spans="1:7" ht="67.5">
      <c r="A507" s="458" t="s">
        <v>2668</v>
      </c>
      <c r="B507" s="453" t="s">
        <v>252</v>
      </c>
      <c r="C507" s="453" t="s">
        <v>528</v>
      </c>
      <c r="D507" s="453" t="s">
        <v>1186</v>
      </c>
      <c r="E507" s="453"/>
      <c r="F507" s="454">
        <v>7708624.2400000002</v>
      </c>
      <c r="G507" s="454">
        <v>7526307.1900000004</v>
      </c>
    </row>
    <row r="508" spans="1:7" ht="22.5">
      <c r="A508" s="455" t="s">
        <v>445</v>
      </c>
      <c r="B508" s="456" t="s">
        <v>252</v>
      </c>
      <c r="C508" s="456" t="s">
        <v>528</v>
      </c>
      <c r="D508" s="456" t="s">
        <v>1186</v>
      </c>
      <c r="E508" s="456" t="s">
        <v>446</v>
      </c>
      <c r="F508" s="457">
        <v>7708624.2400000002</v>
      </c>
      <c r="G508" s="457">
        <v>7526307.1900000004</v>
      </c>
    </row>
    <row r="509" spans="1:7" ht="67.5">
      <c r="A509" s="458" t="s">
        <v>2669</v>
      </c>
      <c r="B509" s="453" t="s">
        <v>252</v>
      </c>
      <c r="C509" s="453" t="s">
        <v>528</v>
      </c>
      <c r="D509" s="453" t="s">
        <v>950</v>
      </c>
      <c r="E509" s="453"/>
      <c r="F509" s="454">
        <v>67629160</v>
      </c>
      <c r="G509" s="454">
        <v>65911092.039999999</v>
      </c>
    </row>
    <row r="510" spans="1:7">
      <c r="A510" s="455" t="s">
        <v>1603</v>
      </c>
      <c r="B510" s="456" t="s">
        <v>252</v>
      </c>
      <c r="C510" s="456" t="s">
        <v>528</v>
      </c>
      <c r="D510" s="456" t="s">
        <v>950</v>
      </c>
      <c r="E510" s="456" t="s">
        <v>460</v>
      </c>
      <c r="F510" s="457">
        <v>48417637.159999996</v>
      </c>
      <c r="G510" s="457">
        <v>47691339.950000003</v>
      </c>
    </row>
    <row r="511" spans="1:7" ht="22.5">
      <c r="A511" s="455" t="s">
        <v>1617</v>
      </c>
      <c r="B511" s="456" t="s">
        <v>252</v>
      </c>
      <c r="C511" s="456" t="s">
        <v>528</v>
      </c>
      <c r="D511" s="456" t="s">
        <v>950</v>
      </c>
      <c r="E511" s="456" t="s">
        <v>509</v>
      </c>
      <c r="F511" s="457">
        <v>603260.1</v>
      </c>
      <c r="G511" s="457">
        <v>419754.98</v>
      </c>
    </row>
    <row r="512" spans="1:7" ht="33.75">
      <c r="A512" s="455" t="s">
        <v>1604</v>
      </c>
      <c r="B512" s="456" t="s">
        <v>252</v>
      </c>
      <c r="C512" s="456" t="s">
        <v>528</v>
      </c>
      <c r="D512" s="456" t="s">
        <v>950</v>
      </c>
      <c r="E512" s="456" t="s">
        <v>1290</v>
      </c>
      <c r="F512" s="457">
        <v>15188063.800000001</v>
      </c>
      <c r="G512" s="457">
        <v>14713393.300000001</v>
      </c>
    </row>
    <row r="513" spans="1:7" ht="22.5">
      <c r="A513" s="455" t="s">
        <v>445</v>
      </c>
      <c r="B513" s="456" t="s">
        <v>252</v>
      </c>
      <c r="C513" s="456" t="s">
        <v>528</v>
      </c>
      <c r="D513" s="456" t="s">
        <v>950</v>
      </c>
      <c r="E513" s="456" t="s">
        <v>446</v>
      </c>
      <c r="F513" s="457">
        <v>3420198.94</v>
      </c>
      <c r="G513" s="457">
        <v>3086603.81</v>
      </c>
    </row>
    <row r="514" spans="1:7" ht="67.5">
      <c r="A514" s="458" t="s">
        <v>2670</v>
      </c>
      <c r="B514" s="453" t="s">
        <v>252</v>
      </c>
      <c r="C514" s="453" t="s">
        <v>528</v>
      </c>
      <c r="D514" s="453" t="s">
        <v>948</v>
      </c>
      <c r="E514" s="453"/>
      <c r="F514" s="454">
        <v>121757800</v>
      </c>
      <c r="G514" s="454">
        <v>119604595.7</v>
      </c>
    </row>
    <row r="515" spans="1:7">
      <c r="A515" s="455" t="s">
        <v>1603</v>
      </c>
      <c r="B515" s="456" t="s">
        <v>252</v>
      </c>
      <c r="C515" s="456" t="s">
        <v>528</v>
      </c>
      <c r="D515" s="456" t="s">
        <v>948</v>
      </c>
      <c r="E515" s="456" t="s">
        <v>460</v>
      </c>
      <c r="F515" s="457">
        <v>78293066.609999999</v>
      </c>
      <c r="G515" s="457">
        <v>77702636.090000004</v>
      </c>
    </row>
    <row r="516" spans="1:7" ht="22.5">
      <c r="A516" s="455" t="s">
        <v>1617</v>
      </c>
      <c r="B516" s="456" t="s">
        <v>252</v>
      </c>
      <c r="C516" s="456" t="s">
        <v>528</v>
      </c>
      <c r="D516" s="456" t="s">
        <v>948</v>
      </c>
      <c r="E516" s="456" t="s">
        <v>509</v>
      </c>
      <c r="F516" s="457">
        <v>2073009.67</v>
      </c>
      <c r="G516" s="457">
        <v>1786427.02</v>
      </c>
    </row>
    <row r="517" spans="1:7" ht="33.75">
      <c r="A517" s="455" t="s">
        <v>1604</v>
      </c>
      <c r="B517" s="456" t="s">
        <v>252</v>
      </c>
      <c r="C517" s="456" t="s">
        <v>528</v>
      </c>
      <c r="D517" s="456" t="s">
        <v>948</v>
      </c>
      <c r="E517" s="456" t="s">
        <v>1290</v>
      </c>
      <c r="F517" s="457">
        <v>24513383.32</v>
      </c>
      <c r="G517" s="457">
        <v>23832130.219999999</v>
      </c>
    </row>
    <row r="518" spans="1:7" ht="22.5">
      <c r="A518" s="455" t="s">
        <v>445</v>
      </c>
      <c r="B518" s="456" t="s">
        <v>252</v>
      </c>
      <c r="C518" s="456" t="s">
        <v>528</v>
      </c>
      <c r="D518" s="456" t="s">
        <v>948</v>
      </c>
      <c r="E518" s="456" t="s">
        <v>446</v>
      </c>
      <c r="F518" s="457">
        <v>16873540.399999999</v>
      </c>
      <c r="G518" s="457">
        <v>16282202.369999999</v>
      </c>
    </row>
    <row r="519" spans="1:7">
      <c r="A519" s="455" t="s">
        <v>1168</v>
      </c>
      <c r="B519" s="456" t="s">
        <v>252</v>
      </c>
      <c r="C519" s="456" t="s">
        <v>528</v>
      </c>
      <c r="D519" s="456" t="s">
        <v>948</v>
      </c>
      <c r="E519" s="456" t="s">
        <v>626</v>
      </c>
      <c r="F519" s="457">
        <v>4800</v>
      </c>
      <c r="G519" s="457">
        <v>1200</v>
      </c>
    </row>
    <row r="520" spans="1:7" ht="67.5">
      <c r="A520" s="458" t="s">
        <v>2671</v>
      </c>
      <c r="B520" s="453" t="s">
        <v>252</v>
      </c>
      <c r="C520" s="453" t="s">
        <v>528</v>
      </c>
      <c r="D520" s="453" t="s">
        <v>2011</v>
      </c>
      <c r="E520" s="453"/>
      <c r="F520" s="454">
        <v>1067142</v>
      </c>
      <c r="G520" s="454">
        <v>511271.1</v>
      </c>
    </row>
    <row r="521" spans="1:7" ht="22.5">
      <c r="A521" s="455" t="s">
        <v>461</v>
      </c>
      <c r="B521" s="456" t="s">
        <v>252</v>
      </c>
      <c r="C521" s="456" t="s">
        <v>528</v>
      </c>
      <c r="D521" s="456" t="s">
        <v>2011</v>
      </c>
      <c r="E521" s="456" t="s">
        <v>462</v>
      </c>
      <c r="F521" s="457">
        <v>547970</v>
      </c>
      <c r="G521" s="457">
        <v>0</v>
      </c>
    </row>
    <row r="522" spans="1:7" ht="22.5">
      <c r="A522" s="455" t="s">
        <v>445</v>
      </c>
      <c r="B522" s="456" t="s">
        <v>252</v>
      </c>
      <c r="C522" s="456" t="s">
        <v>528</v>
      </c>
      <c r="D522" s="456" t="s">
        <v>2011</v>
      </c>
      <c r="E522" s="456" t="s">
        <v>446</v>
      </c>
      <c r="F522" s="457">
        <v>519172</v>
      </c>
      <c r="G522" s="457">
        <v>511271.1</v>
      </c>
    </row>
    <row r="523" spans="1:7">
      <c r="A523" s="452" t="s">
        <v>188</v>
      </c>
      <c r="B523" s="453" t="s">
        <v>252</v>
      </c>
      <c r="C523" s="453" t="s">
        <v>515</v>
      </c>
      <c r="D523" s="453"/>
      <c r="E523" s="453"/>
      <c r="F523" s="454">
        <v>655139752.34000003</v>
      </c>
      <c r="G523" s="454">
        <v>632485391.10000002</v>
      </c>
    </row>
    <row r="524" spans="1:7" ht="67.5">
      <c r="A524" s="458" t="s">
        <v>2672</v>
      </c>
      <c r="B524" s="453" t="s">
        <v>252</v>
      </c>
      <c r="C524" s="453" t="s">
        <v>515</v>
      </c>
      <c r="D524" s="453" t="s">
        <v>959</v>
      </c>
      <c r="E524" s="453"/>
      <c r="F524" s="454">
        <v>64472472.560000002</v>
      </c>
      <c r="G524" s="454">
        <v>61662896.340000004</v>
      </c>
    </row>
    <row r="525" spans="1:7">
      <c r="A525" s="455" t="s">
        <v>1603</v>
      </c>
      <c r="B525" s="456" t="s">
        <v>252</v>
      </c>
      <c r="C525" s="456" t="s">
        <v>515</v>
      </c>
      <c r="D525" s="456" t="s">
        <v>959</v>
      </c>
      <c r="E525" s="456" t="s">
        <v>460</v>
      </c>
      <c r="F525" s="457">
        <v>37594945.549999997</v>
      </c>
      <c r="G525" s="457">
        <v>36777740.609999999</v>
      </c>
    </row>
    <row r="526" spans="1:7" ht="22.5">
      <c r="A526" s="455" t="s">
        <v>1617</v>
      </c>
      <c r="B526" s="456" t="s">
        <v>252</v>
      </c>
      <c r="C526" s="456" t="s">
        <v>515</v>
      </c>
      <c r="D526" s="456" t="s">
        <v>959</v>
      </c>
      <c r="E526" s="456" t="s">
        <v>509</v>
      </c>
      <c r="F526" s="457">
        <v>69313.600000000006</v>
      </c>
      <c r="G526" s="457">
        <v>69263.600000000006</v>
      </c>
    </row>
    <row r="527" spans="1:7" ht="33.75">
      <c r="A527" s="455" t="s">
        <v>1604</v>
      </c>
      <c r="B527" s="456" t="s">
        <v>252</v>
      </c>
      <c r="C527" s="456" t="s">
        <v>515</v>
      </c>
      <c r="D527" s="456" t="s">
        <v>959</v>
      </c>
      <c r="E527" s="456" t="s">
        <v>1290</v>
      </c>
      <c r="F527" s="457">
        <v>12054515.890000001</v>
      </c>
      <c r="G527" s="457">
        <v>11473223.449999999</v>
      </c>
    </row>
    <row r="528" spans="1:7" ht="22.5">
      <c r="A528" s="455" t="s">
        <v>461</v>
      </c>
      <c r="B528" s="456" t="s">
        <v>252</v>
      </c>
      <c r="C528" s="456" t="s">
        <v>515</v>
      </c>
      <c r="D528" s="456" t="s">
        <v>959</v>
      </c>
      <c r="E528" s="456" t="s">
        <v>462</v>
      </c>
      <c r="F528" s="457">
        <v>673769.48</v>
      </c>
      <c r="G528" s="457">
        <v>553808.27</v>
      </c>
    </row>
    <row r="529" spans="1:7" ht="22.5">
      <c r="A529" s="455" t="s">
        <v>445</v>
      </c>
      <c r="B529" s="456" t="s">
        <v>252</v>
      </c>
      <c r="C529" s="456" t="s">
        <v>515</v>
      </c>
      <c r="D529" s="456" t="s">
        <v>959</v>
      </c>
      <c r="E529" s="456" t="s">
        <v>446</v>
      </c>
      <c r="F529" s="457">
        <v>13655488.779999999</v>
      </c>
      <c r="G529" s="457">
        <v>12371494.130000001</v>
      </c>
    </row>
    <row r="530" spans="1:7" ht="22.5">
      <c r="A530" s="455" t="s">
        <v>1758</v>
      </c>
      <c r="B530" s="456" t="s">
        <v>252</v>
      </c>
      <c r="C530" s="456" t="s">
        <v>515</v>
      </c>
      <c r="D530" s="456" t="s">
        <v>959</v>
      </c>
      <c r="E530" s="456" t="s">
        <v>552</v>
      </c>
      <c r="F530" s="457">
        <v>1000</v>
      </c>
      <c r="G530" s="457">
        <v>1000</v>
      </c>
    </row>
    <row r="531" spans="1:7">
      <c r="A531" s="455" t="s">
        <v>1168</v>
      </c>
      <c r="B531" s="456" t="s">
        <v>252</v>
      </c>
      <c r="C531" s="456" t="s">
        <v>515</v>
      </c>
      <c r="D531" s="456" t="s">
        <v>959</v>
      </c>
      <c r="E531" s="456" t="s">
        <v>626</v>
      </c>
      <c r="F531" s="457">
        <v>3500</v>
      </c>
      <c r="G531" s="457">
        <v>3500</v>
      </c>
    </row>
    <row r="532" spans="1:7">
      <c r="A532" s="455" t="s">
        <v>1293</v>
      </c>
      <c r="B532" s="456" t="s">
        <v>252</v>
      </c>
      <c r="C532" s="456" t="s">
        <v>515</v>
      </c>
      <c r="D532" s="456" t="s">
        <v>959</v>
      </c>
      <c r="E532" s="456" t="s">
        <v>1294</v>
      </c>
      <c r="F532" s="457">
        <v>419939.26</v>
      </c>
      <c r="G532" s="457">
        <v>412866.28</v>
      </c>
    </row>
    <row r="533" spans="1:7" ht="67.5">
      <c r="A533" s="458" t="s">
        <v>2673</v>
      </c>
      <c r="B533" s="453" t="s">
        <v>252</v>
      </c>
      <c r="C533" s="453" t="s">
        <v>515</v>
      </c>
      <c r="D533" s="453" t="s">
        <v>960</v>
      </c>
      <c r="E533" s="453"/>
      <c r="F533" s="454">
        <v>63939573.609999999</v>
      </c>
      <c r="G533" s="454">
        <v>62894358.539999999</v>
      </c>
    </row>
    <row r="534" spans="1:7">
      <c r="A534" s="455" t="s">
        <v>1603</v>
      </c>
      <c r="B534" s="456" t="s">
        <v>252</v>
      </c>
      <c r="C534" s="456" t="s">
        <v>515</v>
      </c>
      <c r="D534" s="456" t="s">
        <v>960</v>
      </c>
      <c r="E534" s="456" t="s">
        <v>460</v>
      </c>
      <c r="F534" s="457">
        <v>49244387.18</v>
      </c>
      <c r="G534" s="457">
        <v>48641254.549999997</v>
      </c>
    </row>
    <row r="535" spans="1:7" ht="33.75">
      <c r="A535" s="455" t="s">
        <v>1604</v>
      </c>
      <c r="B535" s="456" t="s">
        <v>252</v>
      </c>
      <c r="C535" s="456" t="s">
        <v>515</v>
      </c>
      <c r="D535" s="456" t="s">
        <v>960</v>
      </c>
      <c r="E535" s="456" t="s">
        <v>1290</v>
      </c>
      <c r="F535" s="457">
        <v>14695186.43</v>
      </c>
      <c r="G535" s="457">
        <v>14253103.99</v>
      </c>
    </row>
    <row r="536" spans="1:7" ht="67.5">
      <c r="A536" s="458" t="s">
        <v>2674</v>
      </c>
      <c r="B536" s="453" t="s">
        <v>252</v>
      </c>
      <c r="C536" s="453" t="s">
        <v>515</v>
      </c>
      <c r="D536" s="453" t="s">
        <v>966</v>
      </c>
      <c r="E536" s="453"/>
      <c r="F536" s="454">
        <v>2789584.8</v>
      </c>
      <c r="G536" s="454">
        <v>1551499.7</v>
      </c>
    </row>
    <row r="537" spans="1:7" ht="22.5">
      <c r="A537" s="455" t="s">
        <v>1617</v>
      </c>
      <c r="B537" s="456" t="s">
        <v>252</v>
      </c>
      <c r="C537" s="456" t="s">
        <v>515</v>
      </c>
      <c r="D537" s="456" t="s">
        <v>966</v>
      </c>
      <c r="E537" s="456" t="s">
        <v>509</v>
      </c>
      <c r="F537" s="457">
        <v>677070.8</v>
      </c>
      <c r="G537" s="457">
        <v>386790.6</v>
      </c>
    </row>
    <row r="538" spans="1:7" ht="33.75">
      <c r="A538" s="455" t="s">
        <v>1619</v>
      </c>
      <c r="B538" s="456" t="s">
        <v>252</v>
      </c>
      <c r="C538" s="456" t="s">
        <v>515</v>
      </c>
      <c r="D538" s="456" t="s">
        <v>966</v>
      </c>
      <c r="E538" s="456" t="s">
        <v>1295</v>
      </c>
      <c r="F538" s="457">
        <v>390000</v>
      </c>
      <c r="G538" s="457">
        <v>165702.6</v>
      </c>
    </row>
    <row r="539" spans="1:7" ht="22.5">
      <c r="A539" s="455" t="s">
        <v>445</v>
      </c>
      <c r="B539" s="456" t="s">
        <v>252</v>
      </c>
      <c r="C539" s="456" t="s">
        <v>515</v>
      </c>
      <c r="D539" s="456" t="s">
        <v>966</v>
      </c>
      <c r="E539" s="456" t="s">
        <v>446</v>
      </c>
      <c r="F539" s="457">
        <v>1722514</v>
      </c>
      <c r="G539" s="457">
        <v>999006.5</v>
      </c>
    </row>
    <row r="540" spans="1:7" ht="67.5">
      <c r="A540" s="458" t="s">
        <v>2675</v>
      </c>
      <c r="B540" s="453" t="s">
        <v>252</v>
      </c>
      <c r="C540" s="453" t="s">
        <v>515</v>
      </c>
      <c r="D540" s="453" t="s">
        <v>1042</v>
      </c>
      <c r="E540" s="453"/>
      <c r="F540" s="454">
        <v>4500</v>
      </c>
      <c r="G540" s="454">
        <v>4500</v>
      </c>
    </row>
    <row r="541" spans="1:7" ht="22.5">
      <c r="A541" s="455" t="s">
        <v>1617</v>
      </c>
      <c r="B541" s="456" t="s">
        <v>252</v>
      </c>
      <c r="C541" s="456" t="s">
        <v>515</v>
      </c>
      <c r="D541" s="456" t="s">
        <v>1042</v>
      </c>
      <c r="E541" s="456" t="s">
        <v>509</v>
      </c>
      <c r="F541" s="457">
        <v>4500</v>
      </c>
      <c r="G541" s="457">
        <v>4500</v>
      </c>
    </row>
    <row r="542" spans="1:7" ht="67.5">
      <c r="A542" s="458" t="s">
        <v>2676</v>
      </c>
      <c r="B542" s="453" t="s">
        <v>252</v>
      </c>
      <c r="C542" s="453" t="s">
        <v>515</v>
      </c>
      <c r="D542" s="453" t="s">
        <v>961</v>
      </c>
      <c r="E542" s="453"/>
      <c r="F542" s="454">
        <v>1004737.05</v>
      </c>
      <c r="G542" s="454">
        <v>917081.44</v>
      </c>
    </row>
    <row r="543" spans="1:7" ht="22.5">
      <c r="A543" s="455" t="s">
        <v>1617</v>
      </c>
      <c r="B543" s="456" t="s">
        <v>252</v>
      </c>
      <c r="C543" s="456" t="s">
        <v>515</v>
      </c>
      <c r="D543" s="456" t="s">
        <v>961</v>
      </c>
      <c r="E543" s="456" t="s">
        <v>509</v>
      </c>
      <c r="F543" s="457">
        <v>1004737.05</v>
      </c>
      <c r="G543" s="457">
        <v>917081.44</v>
      </c>
    </row>
    <row r="544" spans="1:7" ht="67.5">
      <c r="A544" s="458" t="s">
        <v>2677</v>
      </c>
      <c r="B544" s="453" t="s">
        <v>252</v>
      </c>
      <c r="C544" s="453" t="s">
        <v>515</v>
      </c>
      <c r="D544" s="453" t="s">
        <v>962</v>
      </c>
      <c r="E544" s="453"/>
      <c r="F544" s="454">
        <v>72513842.480000004</v>
      </c>
      <c r="G544" s="454">
        <v>61849827.640000001</v>
      </c>
    </row>
    <row r="545" spans="1:7" ht="22.5">
      <c r="A545" s="455" t="s">
        <v>445</v>
      </c>
      <c r="B545" s="456" t="s">
        <v>252</v>
      </c>
      <c r="C545" s="456" t="s">
        <v>515</v>
      </c>
      <c r="D545" s="456" t="s">
        <v>962</v>
      </c>
      <c r="E545" s="456" t="s">
        <v>446</v>
      </c>
      <c r="F545" s="457">
        <v>72513842.480000004</v>
      </c>
      <c r="G545" s="457">
        <v>61849827.640000001</v>
      </c>
    </row>
    <row r="546" spans="1:7" ht="67.5">
      <c r="A546" s="458" t="s">
        <v>2678</v>
      </c>
      <c r="B546" s="453" t="s">
        <v>252</v>
      </c>
      <c r="C546" s="453" t="s">
        <v>515</v>
      </c>
      <c r="D546" s="453" t="s">
        <v>967</v>
      </c>
      <c r="E546" s="453"/>
      <c r="F546" s="454">
        <v>3552600</v>
      </c>
      <c r="G546" s="454">
        <v>3532851.7</v>
      </c>
    </row>
    <row r="547" spans="1:7" ht="22.5">
      <c r="A547" s="455" t="s">
        <v>445</v>
      </c>
      <c r="B547" s="456" t="s">
        <v>252</v>
      </c>
      <c r="C547" s="456" t="s">
        <v>515</v>
      </c>
      <c r="D547" s="456" t="s">
        <v>967</v>
      </c>
      <c r="E547" s="456" t="s">
        <v>446</v>
      </c>
      <c r="F547" s="457">
        <v>3552600</v>
      </c>
      <c r="G547" s="457">
        <v>3532851.7</v>
      </c>
    </row>
    <row r="548" spans="1:7" ht="67.5">
      <c r="A548" s="452" t="s">
        <v>1767</v>
      </c>
      <c r="B548" s="453" t="s">
        <v>252</v>
      </c>
      <c r="C548" s="453" t="s">
        <v>515</v>
      </c>
      <c r="D548" s="453" t="s">
        <v>1768</v>
      </c>
      <c r="E548" s="453"/>
      <c r="F548" s="454">
        <v>652078.55000000005</v>
      </c>
      <c r="G548" s="454">
        <v>594179</v>
      </c>
    </row>
    <row r="549" spans="1:7" ht="22.5">
      <c r="A549" s="455" t="s">
        <v>445</v>
      </c>
      <c r="B549" s="456" t="s">
        <v>252</v>
      </c>
      <c r="C549" s="456" t="s">
        <v>515</v>
      </c>
      <c r="D549" s="456" t="s">
        <v>1768</v>
      </c>
      <c r="E549" s="456" t="s">
        <v>446</v>
      </c>
      <c r="F549" s="457">
        <v>652078.55000000005</v>
      </c>
      <c r="G549" s="457">
        <v>594179</v>
      </c>
    </row>
    <row r="550" spans="1:7" ht="67.5">
      <c r="A550" s="458" t="s">
        <v>2679</v>
      </c>
      <c r="B550" s="453" t="s">
        <v>252</v>
      </c>
      <c r="C550" s="453" t="s">
        <v>515</v>
      </c>
      <c r="D550" s="453" t="s">
        <v>1188</v>
      </c>
      <c r="E550" s="453"/>
      <c r="F550" s="454">
        <v>10110834.73</v>
      </c>
      <c r="G550" s="454">
        <v>9445651.6899999995</v>
      </c>
    </row>
    <row r="551" spans="1:7" ht="22.5">
      <c r="A551" s="455" t="s">
        <v>445</v>
      </c>
      <c r="B551" s="456" t="s">
        <v>252</v>
      </c>
      <c r="C551" s="456" t="s">
        <v>515</v>
      </c>
      <c r="D551" s="456" t="s">
        <v>1188</v>
      </c>
      <c r="E551" s="456" t="s">
        <v>446</v>
      </c>
      <c r="F551" s="457">
        <v>10110834.73</v>
      </c>
      <c r="G551" s="457">
        <v>9445651.6899999995</v>
      </c>
    </row>
    <row r="552" spans="1:7" ht="67.5">
      <c r="A552" s="458" t="s">
        <v>2680</v>
      </c>
      <c r="B552" s="453" t="s">
        <v>252</v>
      </c>
      <c r="C552" s="453" t="s">
        <v>515</v>
      </c>
      <c r="D552" s="453" t="s">
        <v>958</v>
      </c>
      <c r="E552" s="453"/>
      <c r="F552" s="454">
        <v>71891700</v>
      </c>
      <c r="G552" s="454">
        <v>69585651.920000002</v>
      </c>
    </row>
    <row r="553" spans="1:7">
      <c r="A553" s="455" t="s">
        <v>1603</v>
      </c>
      <c r="B553" s="456" t="s">
        <v>252</v>
      </c>
      <c r="C553" s="456" t="s">
        <v>515</v>
      </c>
      <c r="D553" s="456" t="s">
        <v>958</v>
      </c>
      <c r="E553" s="456" t="s">
        <v>460</v>
      </c>
      <c r="F553" s="457">
        <v>50129714.719999999</v>
      </c>
      <c r="G553" s="457">
        <v>49373262.369999997</v>
      </c>
    </row>
    <row r="554" spans="1:7" ht="22.5">
      <c r="A554" s="455" t="s">
        <v>1617</v>
      </c>
      <c r="B554" s="456" t="s">
        <v>252</v>
      </c>
      <c r="C554" s="456" t="s">
        <v>515</v>
      </c>
      <c r="D554" s="456" t="s">
        <v>958</v>
      </c>
      <c r="E554" s="456" t="s">
        <v>509</v>
      </c>
      <c r="F554" s="457">
        <v>1422572.98</v>
      </c>
      <c r="G554" s="457">
        <v>1046558.08</v>
      </c>
    </row>
    <row r="555" spans="1:7" ht="33.75">
      <c r="A555" s="455" t="s">
        <v>1604</v>
      </c>
      <c r="B555" s="456" t="s">
        <v>252</v>
      </c>
      <c r="C555" s="456" t="s">
        <v>515</v>
      </c>
      <c r="D555" s="456" t="s">
        <v>958</v>
      </c>
      <c r="E555" s="456" t="s">
        <v>1290</v>
      </c>
      <c r="F555" s="457">
        <v>15727959.220000001</v>
      </c>
      <c r="G555" s="457">
        <v>14918826.369999999</v>
      </c>
    </row>
    <row r="556" spans="1:7" ht="22.5">
      <c r="A556" s="455" t="s">
        <v>445</v>
      </c>
      <c r="B556" s="456" t="s">
        <v>252</v>
      </c>
      <c r="C556" s="456" t="s">
        <v>515</v>
      </c>
      <c r="D556" s="456" t="s">
        <v>958</v>
      </c>
      <c r="E556" s="456" t="s">
        <v>446</v>
      </c>
      <c r="F556" s="457">
        <v>4611453.08</v>
      </c>
      <c r="G556" s="457">
        <v>4247005.0999999996</v>
      </c>
    </row>
    <row r="557" spans="1:7" ht="56.25">
      <c r="A557" s="452" t="s">
        <v>1816</v>
      </c>
      <c r="B557" s="453" t="s">
        <v>252</v>
      </c>
      <c r="C557" s="453" t="s">
        <v>515</v>
      </c>
      <c r="D557" s="453" t="s">
        <v>1817</v>
      </c>
      <c r="E557" s="453"/>
      <c r="F557" s="454">
        <v>5782800</v>
      </c>
      <c r="G557" s="454">
        <v>5782800</v>
      </c>
    </row>
    <row r="558" spans="1:7" ht="22.5">
      <c r="A558" s="455" t="s">
        <v>461</v>
      </c>
      <c r="B558" s="456" t="s">
        <v>252</v>
      </c>
      <c r="C558" s="456" t="s">
        <v>515</v>
      </c>
      <c r="D558" s="456" t="s">
        <v>1817</v>
      </c>
      <c r="E558" s="456" t="s">
        <v>462</v>
      </c>
      <c r="F558" s="457">
        <v>5327732.34</v>
      </c>
      <c r="G558" s="457">
        <v>5327732.34</v>
      </c>
    </row>
    <row r="559" spans="1:7" ht="22.5">
      <c r="A559" s="455" t="s">
        <v>445</v>
      </c>
      <c r="B559" s="456" t="s">
        <v>252</v>
      </c>
      <c r="C559" s="456" t="s">
        <v>515</v>
      </c>
      <c r="D559" s="456" t="s">
        <v>1817</v>
      </c>
      <c r="E559" s="456" t="s">
        <v>446</v>
      </c>
      <c r="F559" s="457">
        <v>455067.66</v>
      </c>
      <c r="G559" s="457">
        <v>455067.66</v>
      </c>
    </row>
    <row r="560" spans="1:7" ht="67.5">
      <c r="A560" s="458" t="s">
        <v>2681</v>
      </c>
      <c r="B560" s="453" t="s">
        <v>252</v>
      </c>
      <c r="C560" s="453" t="s">
        <v>515</v>
      </c>
      <c r="D560" s="453" t="s">
        <v>956</v>
      </c>
      <c r="E560" s="453"/>
      <c r="F560" s="454">
        <v>356835600</v>
      </c>
      <c r="G560" s="454">
        <v>353314045.56999999</v>
      </c>
    </row>
    <row r="561" spans="1:7">
      <c r="A561" s="455" t="s">
        <v>1603</v>
      </c>
      <c r="B561" s="456" t="s">
        <v>252</v>
      </c>
      <c r="C561" s="456" t="s">
        <v>515</v>
      </c>
      <c r="D561" s="456" t="s">
        <v>956</v>
      </c>
      <c r="E561" s="456" t="s">
        <v>460</v>
      </c>
      <c r="F561" s="457">
        <v>249269415</v>
      </c>
      <c r="G561" s="457">
        <v>247836706.83000001</v>
      </c>
    </row>
    <row r="562" spans="1:7" ht="22.5">
      <c r="A562" s="455" t="s">
        <v>1617</v>
      </c>
      <c r="B562" s="456" t="s">
        <v>252</v>
      </c>
      <c r="C562" s="456" t="s">
        <v>515</v>
      </c>
      <c r="D562" s="456" t="s">
        <v>956</v>
      </c>
      <c r="E562" s="456" t="s">
        <v>509</v>
      </c>
      <c r="F562" s="457">
        <v>4553629.51</v>
      </c>
      <c r="G562" s="457">
        <v>4133565.23</v>
      </c>
    </row>
    <row r="563" spans="1:7" ht="33.75">
      <c r="A563" s="455" t="s">
        <v>1604</v>
      </c>
      <c r="B563" s="456" t="s">
        <v>252</v>
      </c>
      <c r="C563" s="456" t="s">
        <v>515</v>
      </c>
      <c r="D563" s="456" t="s">
        <v>956</v>
      </c>
      <c r="E563" s="456" t="s">
        <v>1290</v>
      </c>
      <c r="F563" s="457">
        <v>75941682</v>
      </c>
      <c r="G563" s="457">
        <v>74689731.340000004</v>
      </c>
    </row>
    <row r="564" spans="1:7" ht="22.5">
      <c r="A564" s="455" t="s">
        <v>445</v>
      </c>
      <c r="B564" s="456" t="s">
        <v>252</v>
      </c>
      <c r="C564" s="456" t="s">
        <v>515</v>
      </c>
      <c r="D564" s="456" t="s">
        <v>956</v>
      </c>
      <c r="E564" s="456" t="s">
        <v>446</v>
      </c>
      <c r="F564" s="457">
        <v>27034773.489999998</v>
      </c>
      <c r="G564" s="457">
        <v>26617942.170000002</v>
      </c>
    </row>
    <row r="565" spans="1:7">
      <c r="A565" s="455" t="s">
        <v>1168</v>
      </c>
      <c r="B565" s="456" t="s">
        <v>252</v>
      </c>
      <c r="C565" s="456" t="s">
        <v>515</v>
      </c>
      <c r="D565" s="456" t="s">
        <v>956</v>
      </c>
      <c r="E565" s="456" t="s">
        <v>626</v>
      </c>
      <c r="F565" s="457">
        <v>36100</v>
      </c>
      <c r="G565" s="457">
        <v>36100</v>
      </c>
    </row>
    <row r="566" spans="1:7" ht="67.5">
      <c r="A566" s="458" t="s">
        <v>2671</v>
      </c>
      <c r="B566" s="453" t="s">
        <v>252</v>
      </c>
      <c r="C566" s="453" t="s">
        <v>515</v>
      </c>
      <c r="D566" s="453" t="s">
        <v>2011</v>
      </c>
      <c r="E566" s="453"/>
      <c r="F566" s="454">
        <v>452000</v>
      </c>
      <c r="G566" s="454">
        <v>452000</v>
      </c>
    </row>
    <row r="567" spans="1:7" ht="22.5">
      <c r="A567" s="455" t="s">
        <v>461</v>
      </c>
      <c r="B567" s="456" t="s">
        <v>252</v>
      </c>
      <c r="C567" s="456" t="s">
        <v>515</v>
      </c>
      <c r="D567" s="456" t="s">
        <v>2011</v>
      </c>
      <c r="E567" s="456" t="s">
        <v>462</v>
      </c>
      <c r="F567" s="457">
        <v>245000</v>
      </c>
      <c r="G567" s="457">
        <v>245000</v>
      </c>
    </row>
    <row r="568" spans="1:7" ht="22.5">
      <c r="A568" s="455" t="s">
        <v>445</v>
      </c>
      <c r="B568" s="456" t="s">
        <v>252</v>
      </c>
      <c r="C568" s="456" t="s">
        <v>515</v>
      </c>
      <c r="D568" s="456" t="s">
        <v>2011</v>
      </c>
      <c r="E568" s="456" t="s">
        <v>446</v>
      </c>
      <c r="F568" s="457">
        <v>207000</v>
      </c>
      <c r="G568" s="457">
        <v>207000</v>
      </c>
    </row>
    <row r="569" spans="1:7" ht="56.25">
      <c r="A569" s="452" t="s">
        <v>531</v>
      </c>
      <c r="B569" s="453" t="s">
        <v>252</v>
      </c>
      <c r="C569" s="453" t="s">
        <v>515</v>
      </c>
      <c r="D569" s="453" t="s">
        <v>970</v>
      </c>
      <c r="E569" s="453"/>
      <c r="F569" s="454">
        <v>597912</v>
      </c>
      <c r="G569" s="454">
        <v>361494</v>
      </c>
    </row>
    <row r="570" spans="1:7" ht="22.5">
      <c r="A570" s="455" t="s">
        <v>445</v>
      </c>
      <c r="B570" s="456" t="s">
        <v>252</v>
      </c>
      <c r="C570" s="456" t="s">
        <v>515</v>
      </c>
      <c r="D570" s="456" t="s">
        <v>970</v>
      </c>
      <c r="E570" s="456" t="s">
        <v>446</v>
      </c>
      <c r="F570" s="457">
        <v>472912</v>
      </c>
      <c r="G570" s="457">
        <v>241494</v>
      </c>
    </row>
    <row r="571" spans="1:7">
      <c r="A571" s="455" t="s">
        <v>660</v>
      </c>
      <c r="B571" s="456" t="s">
        <v>252</v>
      </c>
      <c r="C571" s="456" t="s">
        <v>515</v>
      </c>
      <c r="D571" s="456" t="s">
        <v>970</v>
      </c>
      <c r="E571" s="456" t="s">
        <v>661</v>
      </c>
      <c r="F571" s="457">
        <v>125000</v>
      </c>
      <c r="G571" s="457">
        <v>120000</v>
      </c>
    </row>
    <row r="572" spans="1:7" ht="56.25">
      <c r="A572" s="452" t="s">
        <v>662</v>
      </c>
      <c r="B572" s="453" t="s">
        <v>252</v>
      </c>
      <c r="C572" s="453" t="s">
        <v>515</v>
      </c>
      <c r="D572" s="453" t="s">
        <v>973</v>
      </c>
      <c r="E572" s="453"/>
      <c r="F572" s="454">
        <v>172000</v>
      </c>
      <c r="G572" s="454">
        <v>171996</v>
      </c>
    </row>
    <row r="573" spans="1:7" ht="22.5">
      <c r="A573" s="455" t="s">
        <v>456</v>
      </c>
      <c r="B573" s="456" t="s">
        <v>252</v>
      </c>
      <c r="C573" s="456" t="s">
        <v>515</v>
      </c>
      <c r="D573" s="456" t="s">
        <v>973</v>
      </c>
      <c r="E573" s="456" t="s">
        <v>457</v>
      </c>
      <c r="F573" s="457">
        <v>172000</v>
      </c>
      <c r="G573" s="457">
        <v>171996</v>
      </c>
    </row>
    <row r="574" spans="1:7" ht="56.25">
      <c r="A574" s="452" t="s">
        <v>1769</v>
      </c>
      <c r="B574" s="453" t="s">
        <v>252</v>
      </c>
      <c r="C574" s="453" t="s">
        <v>515</v>
      </c>
      <c r="D574" s="453" t="s">
        <v>1770</v>
      </c>
      <c r="E574" s="453"/>
      <c r="F574" s="454">
        <v>131600</v>
      </c>
      <c r="G574" s="454">
        <v>131600</v>
      </c>
    </row>
    <row r="575" spans="1:7" ht="22.5">
      <c r="A575" s="455" t="s">
        <v>1617</v>
      </c>
      <c r="B575" s="456" t="s">
        <v>252</v>
      </c>
      <c r="C575" s="456" t="s">
        <v>515</v>
      </c>
      <c r="D575" s="456" t="s">
        <v>1770</v>
      </c>
      <c r="E575" s="456" t="s">
        <v>509</v>
      </c>
      <c r="F575" s="457">
        <v>20800</v>
      </c>
      <c r="G575" s="457">
        <v>20800</v>
      </c>
    </row>
    <row r="576" spans="1:7" ht="22.5">
      <c r="A576" s="455" t="s">
        <v>445</v>
      </c>
      <c r="B576" s="456" t="s">
        <v>252</v>
      </c>
      <c r="C576" s="456" t="s">
        <v>515</v>
      </c>
      <c r="D576" s="456" t="s">
        <v>1770</v>
      </c>
      <c r="E576" s="456" t="s">
        <v>446</v>
      </c>
      <c r="F576" s="457">
        <v>110800</v>
      </c>
      <c r="G576" s="457">
        <v>110800</v>
      </c>
    </row>
    <row r="577" spans="1:7" ht="56.25">
      <c r="A577" s="452" t="s">
        <v>749</v>
      </c>
      <c r="B577" s="453" t="s">
        <v>252</v>
      </c>
      <c r="C577" s="453" t="s">
        <v>515</v>
      </c>
      <c r="D577" s="453" t="s">
        <v>972</v>
      </c>
      <c r="E577" s="453"/>
      <c r="F577" s="454">
        <v>35000</v>
      </c>
      <c r="G577" s="454">
        <v>34541.5</v>
      </c>
    </row>
    <row r="578" spans="1:7" ht="22.5">
      <c r="A578" s="455" t="s">
        <v>445</v>
      </c>
      <c r="B578" s="456" t="s">
        <v>252</v>
      </c>
      <c r="C578" s="456" t="s">
        <v>515</v>
      </c>
      <c r="D578" s="456" t="s">
        <v>972</v>
      </c>
      <c r="E578" s="456" t="s">
        <v>446</v>
      </c>
      <c r="F578" s="457">
        <v>35000</v>
      </c>
      <c r="G578" s="457">
        <v>34541.5</v>
      </c>
    </row>
    <row r="579" spans="1:7" ht="67.5">
      <c r="A579" s="458" t="s">
        <v>2620</v>
      </c>
      <c r="B579" s="453" t="s">
        <v>252</v>
      </c>
      <c r="C579" s="453" t="s">
        <v>515</v>
      </c>
      <c r="D579" s="453" t="s">
        <v>1858</v>
      </c>
      <c r="E579" s="453"/>
      <c r="F579" s="454">
        <v>72966.559999999998</v>
      </c>
      <c r="G579" s="454">
        <v>72966.559999999998</v>
      </c>
    </row>
    <row r="580" spans="1:7" ht="22.5">
      <c r="A580" s="455" t="s">
        <v>445</v>
      </c>
      <c r="B580" s="456" t="s">
        <v>252</v>
      </c>
      <c r="C580" s="456" t="s">
        <v>515</v>
      </c>
      <c r="D580" s="456" t="s">
        <v>1858</v>
      </c>
      <c r="E580" s="456" t="s">
        <v>446</v>
      </c>
      <c r="F580" s="457">
        <v>72966.559999999998</v>
      </c>
      <c r="G580" s="457">
        <v>72966.559999999998</v>
      </c>
    </row>
    <row r="581" spans="1:7" ht="67.5">
      <c r="A581" s="458" t="s">
        <v>2682</v>
      </c>
      <c r="B581" s="453" t="s">
        <v>252</v>
      </c>
      <c r="C581" s="453" t="s">
        <v>515</v>
      </c>
      <c r="D581" s="453" t="s">
        <v>1819</v>
      </c>
      <c r="E581" s="453"/>
      <c r="F581" s="454">
        <v>58000</v>
      </c>
      <c r="G581" s="454">
        <v>58000</v>
      </c>
    </row>
    <row r="582" spans="1:7" ht="22.5">
      <c r="A582" s="455" t="s">
        <v>461</v>
      </c>
      <c r="B582" s="456" t="s">
        <v>252</v>
      </c>
      <c r="C582" s="456" t="s">
        <v>515</v>
      </c>
      <c r="D582" s="456" t="s">
        <v>1819</v>
      </c>
      <c r="E582" s="456" t="s">
        <v>462</v>
      </c>
      <c r="F582" s="457">
        <v>58000</v>
      </c>
      <c r="G582" s="457">
        <v>58000</v>
      </c>
    </row>
    <row r="583" spans="1:7" ht="67.5">
      <c r="A583" s="458" t="s">
        <v>2683</v>
      </c>
      <c r="B583" s="453" t="s">
        <v>252</v>
      </c>
      <c r="C583" s="453" t="s">
        <v>515</v>
      </c>
      <c r="D583" s="453" t="s">
        <v>1821</v>
      </c>
      <c r="E583" s="453"/>
      <c r="F583" s="454">
        <v>11940</v>
      </c>
      <c r="G583" s="454">
        <v>10203.700000000001</v>
      </c>
    </row>
    <row r="584" spans="1:7" ht="22.5">
      <c r="A584" s="455" t="s">
        <v>445</v>
      </c>
      <c r="B584" s="456" t="s">
        <v>252</v>
      </c>
      <c r="C584" s="456" t="s">
        <v>515</v>
      </c>
      <c r="D584" s="456" t="s">
        <v>1821</v>
      </c>
      <c r="E584" s="456" t="s">
        <v>446</v>
      </c>
      <c r="F584" s="457">
        <v>11940</v>
      </c>
      <c r="G584" s="457">
        <v>10203.700000000001</v>
      </c>
    </row>
    <row r="585" spans="1:7" ht="45">
      <c r="A585" s="452" t="s">
        <v>527</v>
      </c>
      <c r="B585" s="453" t="s">
        <v>252</v>
      </c>
      <c r="C585" s="453" t="s">
        <v>515</v>
      </c>
      <c r="D585" s="453" t="s">
        <v>975</v>
      </c>
      <c r="E585" s="453"/>
      <c r="F585" s="454">
        <v>53010</v>
      </c>
      <c r="G585" s="454">
        <v>52965.8</v>
      </c>
    </row>
    <row r="586" spans="1:7" ht="22.5">
      <c r="A586" s="455" t="s">
        <v>1617</v>
      </c>
      <c r="B586" s="456" t="s">
        <v>252</v>
      </c>
      <c r="C586" s="456" t="s">
        <v>515</v>
      </c>
      <c r="D586" s="456" t="s">
        <v>975</v>
      </c>
      <c r="E586" s="456" t="s">
        <v>509</v>
      </c>
      <c r="F586" s="457">
        <v>6019.8</v>
      </c>
      <c r="G586" s="457">
        <v>6019.8</v>
      </c>
    </row>
    <row r="587" spans="1:7" ht="33.75">
      <c r="A587" s="455" t="s">
        <v>1619</v>
      </c>
      <c r="B587" s="456" t="s">
        <v>252</v>
      </c>
      <c r="C587" s="456" t="s">
        <v>515</v>
      </c>
      <c r="D587" s="456" t="s">
        <v>975</v>
      </c>
      <c r="E587" s="456" t="s">
        <v>1295</v>
      </c>
      <c r="F587" s="457">
        <v>5980.2</v>
      </c>
      <c r="G587" s="457">
        <v>5936</v>
      </c>
    </row>
    <row r="588" spans="1:7" ht="22.5">
      <c r="A588" s="455" t="s">
        <v>445</v>
      </c>
      <c r="B588" s="456" t="s">
        <v>252</v>
      </c>
      <c r="C588" s="456" t="s">
        <v>515</v>
      </c>
      <c r="D588" s="456" t="s">
        <v>975</v>
      </c>
      <c r="E588" s="456" t="s">
        <v>446</v>
      </c>
      <c r="F588" s="457">
        <v>41010</v>
      </c>
      <c r="G588" s="457">
        <v>41010</v>
      </c>
    </row>
    <row r="589" spans="1:7" ht="67.5">
      <c r="A589" s="458" t="s">
        <v>2684</v>
      </c>
      <c r="B589" s="453" t="s">
        <v>252</v>
      </c>
      <c r="C589" s="453" t="s">
        <v>515</v>
      </c>
      <c r="D589" s="453" t="s">
        <v>1823</v>
      </c>
      <c r="E589" s="453"/>
      <c r="F589" s="454">
        <v>5000</v>
      </c>
      <c r="G589" s="454">
        <v>4280</v>
      </c>
    </row>
    <row r="590" spans="1:7" ht="22.5">
      <c r="A590" s="455" t="s">
        <v>445</v>
      </c>
      <c r="B590" s="456" t="s">
        <v>252</v>
      </c>
      <c r="C590" s="456" t="s">
        <v>515</v>
      </c>
      <c r="D590" s="456" t="s">
        <v>1823</v>
      </c>
      <c r="E590" s="456" t="s">
        <v>446</v>
      </c>
      <c r="F590" s="457">
        <v>5000</v>
      </c>
      <c r="G590" s="457">
        <v>4280</v>
      </c>
    </row>
    <row r="591" spans="1:7">
      <c r="A591" s="452" t="s">
        <v>1442</v>
      </c>
      <c r="B591" s="453" t="s">
        <v>252</v>
      </c>
      <c r="C591" s="453" t="s">
        <v>1443</v>
      </c>
      <c r="D591" s="453"/>
      <c r="E591" s="453"/>
      <c r="F591" s="454">
        <v>36728372.170000002</v>
      </c>
      <c r="G591" s="454">
        <v>34620513.159999996</v>
      </c>
    </row>
    <row r="592" spans="1:7" ht="67.5">
      <c r="A592" s="458" t="s">
        <v>2685</v>
      </c>
      <c r="B592" s="453" t="s">
        <v>252</v>
      </c>
      <c r="C592" s="453" t="s">
        <v>1443</v>
      </c>
      <c r="D592" s="453" t="s">
        <v>1903</v>
      </c>
      <c r="E592" s="453"/>
      <c r="F592" s="454">
        <v>643000</v>
      </c>
      <c r="G592" s="454">
        <v>621201.97</v>
      </c>
    </row>
    <row r="593" spans="1:7">
      <c r="A593" s="455" t="s">
        <v>1603</v>
      </c>
      <c r="B593" s="456" t="s">
        <v>252</v>
      </c>
      <c r="C593" s="456" t="s">
        <v>1443</v>
      </c>
      <c r="D593" s="456" t="s">
        <v>1903</v>
      </c>
      <c r="E593" s="456" t="s">
        <v>460</v>
      </c>
      <c r="F593" s="457">
        <v>361751</v>
      </c>
      <c r="G593" s="457">
        <v>342848.01</v>
      </c>
    </row>
    <row r="594" spans="1:7" ht="33.75">
      <c r="A594" s="455" t="s">
        <v>1604</v>
      </c>
      <c r="B594" s="456" t="s">
        <v>252</v>
      </c>
      <c r="C594" s="456" t="s">
        <v>1443</v>
      </c>
      <c r="D594" s="456" t="s">
        <v>1903</v>
      </c>
      <c r="E594" s="456" t="s">
        <v>1290</v>
      </c>
      <c r="F594" s="457">
        <v>109249</v>
      </c>
      <c r="G594" s="457">
        <v>106353.96</v>
      </c>
    </row>
    <row r="595" spans="1:7" ht="45">
      <c r="A595" s="455" t="s">
        <v>465</v>
      </c>
      <c r="B595" s="456" t="s">
        <v>252</v>
      </c>
      <c r="C595" s="456" t="s">
        <v>1443</v>
      </c>
      <c r="D595" s="456" t="s">
        <v>1903</v>
      </c>
      <c r="E595" s="456" t="s">
        <v>466</v>
      </c>
      <c r="F595" s="457">
        <v>172000</v>
      </c>
      <c r="G595" s="457">
        <v>172000</v>
      </c>
    </row>
    <row r="596" spans="1:7" ht="67.5">
      <c r="A596" s="458" t="s">
        <v>2686</v>
      </c>
      <c r="B596" s="453" t="s">
        <v>252</v>
      </c>
      <c r="C596" s="453" t="s">
        <v>1443</v>
      </c>
      <c r="D596" s="453" t="s">
        <v>963</v>
      </c>
      <c r="E596" s="453"/>
      <c r="F596" s="454">
        <v>28249488.149999999</v>
      </c>
      <c r="G596" s="454">
        <v>27205548.59</v>
      </c>
    </row>
    <row r="597" spans="1:7">
      <c r="A597" s="455" t="s">
        <v>1603</v>
      </c>
      <c r="B597" s="456" t="s">
        <v>252</v>
      </c>
      <c r="C597" s="456" t="s">
        <v>1443</v>
      </c>
      <c r="D597" s="456" t="s">
        <v>963</v>
      </c>
      <c r="E597" s="456" t="s">
        <v>460</v>
      </c>
      <c r="F597" s="457">
        <v>12513586.109999999</v>
      </c>
      <c r="G597" s="457">
        <v>12303273.460000001</v>
      </c>
    </row>
    <row r="598" spans="1:7" ht="22.5">
      <c r="A598" s="455" t="s">
        <v>1617</v>
      </c>
      <c r="B598" s="456" t="s">
        <v>252</v>
      </c>
      <c r="C598" s="456" t="s">
        <v>1443</v>
      </c>
      <c r="D598" s="456" t="s">
        <v>963</v>
      </c>
      <c r="E598" s="456" t="s">
        <v>509</v>
      </c>
      <c r="F598" s="457">
        <v>160365.48000000001</v>
      </c>
      <c r="G598" s="457">
        <v>160365.48000000001</v>
      </c>
    </row>
    <row r="599" spans="1:7" ht="33.75">
      <c r="A599" s="455" t="s">
        <v>1604</v>
      </c>
      <c r="B599" s="456" t="s">
        <v>252</v>
      </c>
      <c r="C599" s="456" t="s">
        <v>1443</v>
      </c>
      <c r="D599" s="456" t="s">
        <v>963</v>
      </c>
      <c r="E599" s="456" t="s">
        <v>1290</v>
      </c>
      <c r="F599" s="457">
        <v>3720817.9</v>
      </c>
      <c r="G599" s="457">
        <v>3645312.57</v>
      </c>
    </row>
    <row r="600" spans="1:7" ht="22.5">
      <c r="A600" s="455" t="s">
        <v>445</v>
      </c>
      <c r="B600" s="456" t="s">
        <v>252</v>
      </c>
      <c r="C600" s="456" t="s">
        <v>1443</v>
      </c>
      <c r="D600" s="456" t="s">
        <v>963</v>
      </c>
      <c r="E600" s="456" t="s">
        <v>446</v>
      </c>
      <c r="F600" s="457">
        <v>778085.76</v>
      </c>
      <c r="G600" s="457">
        <v>762885.26</v>
      </c>
    </row>
    <row r="601" spans="1:7" ht="45">
      <c r="A601" s="455" t="s">
        <v>465</v>
      </c>
      <c r="B601" s="456" t="s">
        <v>252</v>
      </c>
      <c r="C601" s="456" t="s">
        <v>1443</v>
      </c>
      <c r="D601" s="456" t="s">
        <v>963</v>
      </c>
      <c r="E601" s="456" t="s">
        <v>466</v>
      </c>
      <c r="F601" s="457">
        <v>11076432</v>
      </c>
      <c r="G601" s="457">
        <v>10333512.939999999</v>
      </c>
    </row>
    <row r="602" spans="1:7">
      <c r="A602" s="455" t="s">
        <v>1293</v>
      </c>
      <c r="B602" s="456" t="s">
        <v>252</v>
      </c>
      <c r="C602" s="456" t="s">
        <v>1443</v>
      </c>
      <c r="D602" s="456" t="s">
        <v>963</v>
      </c>
      <c r="E602" s="456" t="s">
        <v>1294</v>
      </c>
      <c r="F602" s="457">
        <v>200.9</v>
      </c>
      <c r="G602" s="457">
        <v>198.88</v>
      </c>
    </row>
    <row r="603" spans="1:7" ht="67.5">
      <c r="A603" s="458" t="s">
        <v>2687</v>
      </c>
      <c r="B603" s="453" t="s">
        <v>252</v>
      </c>
      <c r="C603" s="453" t="s">
        <v>1443</v>
      </c>
      <c r="D603" s="453" t="s">
        <v>964</v>
      </c>
      <c r="E603" s="453"/>
      <c r="F603" s="454">
        <v>3125700</v>
      </c>
      <c r="G603" s="454">
        <v>2925635.65</v>
      </c>
    </row>
    <row r="604" spans="1:7">
      <c r="A604" s="455" t="s">
        <v>1603</v>
      </c>
      <c r="B604" s="456" t="s">
        <v>252</v>
      </c>
      <c r="C604" s="456" t="s">
        <v>1443</v>
      </c>
      <c r="D604" s="456" t="s">
        <v>964</v>
      </c>
      <c r="E604" s="456" t="s">
        <v>460</v>
      </c>
      <c r="F604" s="457">
        <v>1839800</v>
      </c>
      <c r="G604" s="457">
        <v>1752129.18</v>
      </c>
    </row>
    <row r="605" spans="1:7" ht="33.75">
      <c r="A605" s="455" t="s">
        <v>1604</v>
      </c>
      <c r="B605" s="456" t="s">
        <v>252</v>
      </c>
      <c r="C605" s="456" t="s">
        <v>1443</v>
      </c>
      <c r="D605" s="456" t="s">
        <v>964</v>
      </c>
      <c r="E605" s="456" t="s">
        <v>1290</v>
      </c>
      <c r="F605" s="457">
        <v>590600</v>
      </c>
      <c r="G605" s="457">
        <v>501044.8</v>
      </c>
    </row>
    <row r="606" spans="1:7" ht="45">
      <c r="A606" s="455" t="s">
        <v>465</v>
      </c>
      <c r="B606" s="456" t="s">
        <v>252</v>
      </c>
      <c r="C606" s="456" t="s">
        <v>1443</v>
      </c>
      <c r="D606" s="456" t="s">
        <v>964</v>
      </c>
      <c r="E606" s="456" t="s">
        <v>466</v>
      </c>
      <c r="F606" s="457">
        <v>695300</v>
      </c>
      <c r="G606" s="457">
        <v>672461.67</v>
      </c>
    </row>
    <row r="607" spans="1:7" ht="67.5">
      <c r="A607" s="458" t="s">
        <v>2688</v>
      </c>
      <c r="B607" s="453" t="s">
        <v>252</v>
      </c>
      <c r="C607" s="453" t="s">
        <v>1443</v>
      </c>
      <c r="D607" s="453" t="s">
        <v>965</v>
      </c>
      <c r="E607" s="453"/>
      <c r="F607" s="454">
        <v>209532</v>
      </c>
      <c r="G607" s="454">
        <v>114315.97</v>
      </c>
    </row>
    <row r="608" spans="1:7">
      <c r="A608" s="455" t="s">
        <v>1603</v>
      </c>
      <c r="B608" s="456" t="s">
        <v>252</v>
      </c>
      <c r="C608" s="456" t="s">
        <v>1443</v>
      </c>
      <c r="D608" s="456" t="s">
        <v>965</v>
      </c>
      <c r="E608" s="456" t="s">
        <v>460</v>
      </c>
      <c r="F608" s="457">
        <v>13404</v>
      </c>
      <c r="G608" s="457">
        <v>12446.81</v>
      </c>
    </row>
    <row r="609" spans="1:7" ht="33.75">
      <c r="A609" s="455" t="s">
        <v>1604</v>
      </c>
      <c r="B609" s="456" t="s">
        <v>252</v>
      </c>
      <c r="C609" s="456" t="s">
        <v>1443</v>
      </c>
      <c r="D609" s="456" t="s">
        <v>965</v>
      </c>
      <c r="E609" s="456" t="s">
        <v>1290</v>
      </c>
      <c r="F609" s="457">
        <v>4048</v>
      </c>
      <c r="G609" s="457">
        <v>3471.63</v>
      </c>
    </row>
    <row r="610" spans="1:7" ht="45">
      <c r="A610" s="455" t="s">
        <v>465</v>
      </c>
      <c r="B610" s="456" t="s">
        <v>252</v>
      </c>
      <c r="C610" s="456" t="s">
        <v>1443</v>
      </c>
      <c r="D610" s="456" t="s">
        <v>965</v>
      </c>
      <c r="E610" s="456" t="s">
        <v>466</v>
      </c>
      <c r="F610" s="457">
        <v>192080</v>
      </c>
      <c r="G610" s="457">
        <v>98397.53</v>
      </c>
    </row>
    <row r="611" spans="1:7" ht="67.5">
      <c r="A611" s="458" t="s">
        <v>2689</v>
      </c>
      <c r="B611" s="453" t="s">
        <v>252</v>
      </c>
      <c r="C611" s="453" t="s">
        <v>1443</v>
      </c>
      <c r="D611" s="453" t="s">
        <v>968</v>
      </c>
      <c r="E611" s="453"/>
      <c r="F611" s="454">
        <v>357407.53</v>
      </c>
      <c r="G611" s="454">
        <v>357407.53</v>
      </c>
    </row>
    <row r="612" spans="1:7" ht="22.5">
      <c r="A612" s="455" t="s">
        <v>1617</v>
      </c>
      <c r="B612" s="456" t="s">
        <v>252</v>
      </c>
      <c r="C612" s="456" t="s">
        <v>1443</v>
      </c>
      <c r="D612" s="456" t="s">
        <v>968</v>
      </c>
      <c r="E612" s="456" t="s">
        <v>509</v>
      </c>
      <c r="F612" s="457">
        <v>318110.93</v>
      </c>
      <c r="G612" s="457">
        <v>318110.93</v>
      </c>
    </row>
    <row r="613" spans="1:7">
      <c r="A613" s="455" t="s">
        <v>484</v>
      </c>
      <c r="B613" s="456" t="s">
        <v>252</v>
      </c>
      <c r="C613" s="456" t="s">
        <v>1443</v>
      </c>
      <c r="D613" s="456" t="s">
        <v>968</v>
      </c>
      <c r="E613" s="456" t="s">
        <v>485</v>
      </c>
      <c r="F613" s="457">
        <v>39296.6</v>
      </c>
      <c r="G613" s="457">
        <v>39296.6</v>
      </c>
    </row>
    <row r="614" spans="1:7" ht="67.5">
      <c r="A614" s="458" t="s">
        <v>2690</v>
      </c>
      <c r="B614" s="453" t="s">
        <v>252</v>
      </c>
      <c r="C614" s="453" t="s">
        <v>1443</v>
      </c>
      <c r="D614" s="453" t="s">
        <v>969</v>
      </c>
      <c r="E614" s="453"/>
      <c r="F614" s="454">
        <v>2118944.4900000002</v>
      </c>
      <c r="G614" s="454">
        <v>1644187.76</v>
      </c>
    </row>
    <row r="615" spans="1:7" ht="22.5">
      <c r="A615" s="455" t="s">
        <v>445</v>
      </c>
      <c r="B615" s="456" t="s">
        <v>252</v>
      </c>
      <c r="C615" s="456" t="s">
        <v>1443</v>
      </c>
      <c r="D615" s="456" t="s">
        <v>969</v>
      </c>
      <c r="E615" s="456" t="s">
        <v>446</v>
      </c>
      <c r="F615" s="457">
        <v>936920.49</v>
      </c>
      <c r="G615" s="457">
        <v>781885.42</v>
      </c>
    </row>
    <row r="616" spans="1:7" ht="45">
      <c r="A616" s="455" t="s">
        <v>465</v>
      </c>
      <c r="B616" s="456" t="s">
        <v>252</v>
      </c>
      <c r="C616" s="456" t="s">
        <v>1443</v>
      </c>
      <c r="D616" s="456" t="s">
        <v>969</v>
      </c>
      <c r="E616" s="456" t="s">
        <v>466</v>
      </c>
      <c r="F616" s="457">
        <v>1182024</v>
      </c>
      <c r="G616" s="457">
        <v>862302.34</v>
      </c>
    </row>
    <row r="617" spans="1:7" ht="67.5">
      <c r="A617" s="452" t="s">
        <v>1767</v>
      </c>
      <c r="B617" s="453" t="s">
        <v>252</v>
      </c>
      <c r="C617" s="453" t="s">
        <v>1443</v>
      </c>
      <c r="D617" s="453" t="s">
        <v>1768</v>
      </c>
      <c r="E617" s="453"/>
      <c r="F617" s="454">
        <v>800</v>
      </c>
      <c r="G617" s="454">
        <v>800</v>
      </c>
    </row>
    <row r="618" spans="1:7" ht="22.5">
      <c r="A618" s="455" t="s">
        <v>445</v>
      </c>
      <c r="B618" s="456" t="s">
        <v>252</v>
      </c>
      <c r="C618" s="456" t="s">
        <v>1443</v>
      </c>
      <c r="D618" s="456" t="s">
        <v>1768</v>
      </c>
      <c r="E618" s="456" t="s">
        <v>446</v>
      </c>
      <c r="F618" s="457">
        <v>800</v>
      </c>
      <c r="G618" s="457">
        <v>800</v>
      </c>
    </row>
    <row r="619" spans="1:7" ht="67.5">
      <c r="A619" s="458" t="s">
        <v>2691</v>
      </c>
      <c r="B619" s="453" t="s">
        <v>252</v>
      </c>
      <c r="C619" s="453" t="s">
        <v>1443</v>
      </c>
      <c r="D619" s="453" t="s">
        <v>1190</v>
      </c>
      <c r="E619" s="453"/>
      <c r="F619" s="454">
        <v>384720</v>
      </c>
      <c r="G619" s="454">
        <v>382055.69</v>
      </c>
    </row>
    <row r="620" spans="1:7" ht="22.5">
      <c r="A620" s="455" t="s">
        <v>445</v>
      </c>
      <c r="B620" s="456" t="s">
        <v>252</v>
      </c>
      <c r="C620" s="456" t="s">
        <v>1443</v>
      </c>
      <c r="D620" s="456" t="s">
        <v>1190</v>
      </c>
      <c r="E620" s="456" t="s">
        <v>446</v>
      </c>
      <c r="F620" s="457">
        <v>269380</v>
      </c>
      <c r="G620" s="457">
        <v>269380</v>
      </c>
    </row>
    <row r="621" spans="1:7" ht="45">
      <c r="A621" s="455" t="s">
        <v>465</v>
      </c>
      <c r="B621" s="456" t="s">
        <v>252</v>
      </c>
      <c r="C621" s="456" t="s">
        <v>1443</v>
      </c>
      <c r="D621" s="456" t="s">
        <v>1190</v>
      </c>
      <c r="E621" s="456" t="s">
        <v>466</v>
      </c>
      <c r="F621" s="457">
        <v>115340</v>
      </c>
      <c r="G621" s="457">
        <v>112675.69</v>
      </c>
    </row>
    <row r="622" spans="1:7" ht="67.5">
      <c r="A622" s="458" t="s">
        <v>2671</v>
      </c>
      <c r="B622" s="453" t="s">
        <v>252</v>
      </c>
      <c r="C622" s="453" t="s">
        <v>1443</v>
      </c>
      <c r="D622" s="453" t="s">
        <v>2011</v>
      </c>
      <c r="E622" s="453"/>
      <c r="F622" s="454">
        <v>361780</v>
      </c>
      <c r="G622" s="454">
        <v>161780</v>
      </c>
    </row>
    <row r="623" spans="1:7" ht="22.5">
      <c r="A623" s="455" t="s">
        <v>445</v>
      </c>
      <c r="B623" s="456" t="s">
        <v>252</v>
      </c>
      <c r="C623" s="456" t="s">
        <v>1443</v>
      </c>
      <c r="D623" s="456" t="s">
        <v>2011</v>
      </c>
      <c r="E623" s="456" t="s">
        <v>446</v>
      </c>
      <c r="F623" s="457">
        <v>161780</v>
      </c>
      <c r="G623" s="457">
        <v>161780</v>
      </c>
    </row>
    <row r="624" spans="1:7">
      <c r="A624" s="455" t="s">
        <v>484</v>
      </c>
      <c r="B624" s="456" t="s">
        <v>252</v>
      </c>
      <c r="C624" s="456" t="s">
        <v>1443</v>
      </c>
      <c r="D624" s="456" t="s">
        <v>2011</v>
      </c>
      <c r="E624" s="456" t="s">
        <v>485</v>
      </c>
      <c r="F624" s="457">
        <v>200000</v>
      </c>
      <c r="G624" s="457">
        <v>0</v>
      </c>
    </row>
    <row r="625" spans="1:7" ht="56.25">
      <c r="A625" s="452" t="s">
        <v>531</v>
      </c>
      <c r="B625" s="453" t="s">
        <v>252</v>
      </c>
      <c r="C625" s="453" t="s">
        <v>1443</v>
      </c>
      <c r="D625" s="453" t="s">
        <v>970</v>
      </c>
      <c r="E625" s="453"/>
      <c r="F625" s="454">
        <v>1277000</v>
      </c>
      <c r="G625" s="454">
        <v>1207580</v>
      </c>
    </row>
    <row r="626" spans="1:7" ht="22.5">
      <c r="A626" s="455" t="s">
        <v>445</v>
      </c>
      <c r="B626" s="456" t="s">
        <v>252</v>
      </c>
      <c r="C626" s="456" t="s">
        <v>1443</v>
      </c>
      <c r="D626" s="456" t="s">
        <v>970</v>
      </c>
      <c r="E626" s="456" t="s">
        <v>446</v>
      </c>
      <c r="F626" s="457">
        <v>83000</v>
      </c>
      <c r="G626" s="457">
        <v>80580</v>
      </c>
    </row>
    <row r="627" spans="1:7">
      <c r="A627" s="455" t="s">
        <v>484</v>
      </c>
      <c r="B627" s="456" t="s">
        <v>252</v>
      </c>
      <c r="C627" s="456" t="s">
        <v>1443</v>
      </c>
      <c r="D627" s="456" t="s">
        <v>970</v>
      </c>
      <c r="E627" s="456" t="s">
        <v>485</v>
      </c>
      <c r="F627" s="457">
        <v>1194000</v>
      </c>
      <c r="G627" s="457">
        <v>1127000</v>
      </c>
    </row>
    <row r="628" spans="1:7">
      <c r="A628" s="452" t="s">
        <v>1440</v>
      </c>
      <c r="B628" s="453" t="s">
        <v>252</v>
      </c>
      <c r="C628" s="453" t="s">
        <v>483</v>
      </c>
      <c r="D628" s="453"/>
      <c r="E628" s="453"/>
      <c r="F628" s="454">
        <v>11432413.210000001</v>
      </c>
      <c r="G628" s="454">
        <v>10660683.48</v>
      </c>
    </row>
    <row r="629" spans="1:7" ht="67.5">
      <c r="A629" s="458" t="s">
        <v>2692</v>
      </c>
      <c r="B629" s="453" t="s">
        <v>252</v>
      </c>
      <c r="C629" s="453" t="s">
        <v>483</v>
      </c>
      <c r="D629" s="453" t="s">
        <v>976</v>
      </c>
      <c r="E629" s="453"/>
      <c r="F629" s="454">
        <v>877000</v>
      </c>
      <c r="G629" s="454">
        <v>471432.72</v>
      </c>
    </row>
    <row r="630" spans="1:7" ht="45">
      <c r="A630" s="455" t="s">
        <v>465</v>
      </c>
      <c r="B630" s="456" t="s">
        <v>252</v>
      </c>
      <c r="C630" s="456" t="s">
        <v>483</v>
      </c>
      <c r="D630" s="456" t="s">
        <v>976</v>
      </c>
      <c r="E630" s="456" t="s">
        <v>466</v>
      </c>
      <c r="F630" s="457">
        <v>877000</v>
      </c>
      <c r="G630" s="457">
        <v>471432.72</v>
      </c>
    </row>
    <row r="631" spans="1:7" ht="67.5">
      <c r="A631" s="458" t="s">
        <v>2693</v>
      </c>
      <c r="B631" s="453" t="s">
        <v>252</v>
      </c>
      <c r="C631" s="453" t="s">
        <v>483</v>
      </c>
      <c r="D631" s="453" t="s">
        <v>977</v>
      </c>
      <c r="E631" s="453"/>
      <c r="F631" s="454">
        <v>661560</v>
      </c>
      <c r="G631" s="454">
        <v>469268.67</v>
      </c>
    </row>
    <row r="632" spans="1:7" ht="45">
      <c r="A632" s="455" t="s">
        <v>465</v>
      </c>
      <c r="B632" s="456" t="s">
        <v>252</v>
      </c>
      <c r="C632" s="456" t="s">
        <v>483</v>
      </c>
      <c r="D632" s="456" t="s">
        <v>977</v>
      </c>
      <c r="E632" s="456" t="s">
        <v>466</v>
      </c>
      <c r="F632" s="457">
        <v>661560</v>
      </c>
      <c r="G632" s="457">
        <v>469268.67</v>
      </c>
    </row>
    <row r="633" spans="1:7" ht="67.5">
      <c r="A633" s="458" t="s">
        <v>2694</v>
      </c>
      <c r="B633" s="453" t="s">
        <v>252</v>
      </c>
      <c r="C633" s="453" t="s">
        <v>483</v>
      </c>
      <c r="D633" s="453" t="s">
        <v>1623</v>
      </c>
      <c r="E633" s="453"/>
      <c r="F633" s="454">
        <v>45000</v>
      </c>
      <c r="G633" s="454">
        <v>28989.54</v>
      </c>
    </row>
    <row r="634" spans="1:7" ht="45">
      <c r="A634" s="455" t="s">
        <v>465</v>
      </c>
      <c r="B634" s="456" t="s">
        <v>252</v>
      </c>
      <c r="C634" s="456" t="s">
        <v>483</v>
      </c>
      <c r="D634" s="456" t="s">
        <v>1623</v>
      </c>
      <c r="E634" s="456" t="s">
        <v>466</v>
      </c>
      <c r="F634" s="457">
        <v>45000</v>
      </c>
      <c r="G634" s="457">
        <v>28989.54</v>
      </c>
    </row>
    <row r="635" spans="1:7" ht="67.5">
      <c r="A635" s="458" t="s">
        <v>2695</v>
      </c>
      <c r="B635" s="453" t="s">
        <v>252</v>
      </c>
      <c r="C635" s="453" t="s">
        <v>483</v>
      </c>
      <c r="D635" s="453" t="s">
        <v>1625</v>
      </c>
      <c r="E635" s="453"/>
      <c r="F635" s="454">
        <v>307860</v>
      </c>
      <c r="G635" s="454">
        <v>150000</v>
      </c>
    </row>
    <row r="636" spans="1:7" ht="45">
      <c r="A636" s="455" t="s">
        <v>465</v>
      </c>
      <c r="B636" s="456" t="s">
        <v>252</v>
      </c>
      <c r="C636" s="456" t="s">
        <v>483</v>
      </c>
      <c r="D636" s="456" t="s">
        <v>1625</v>
      </c>
      <c r="E636" s="456" t="s">
        <v>466</v>
      </c>
      <c r="F636" s="457">
        <v>307860</v>
      </c>
      <c r="G636" s="457">
        <v>150000</v>
      </c>
    </row>
    <row r="637" spans="1:7" ht="56.25">
      <c r="A637" s="452" t="s">
        <v>1312</v>
      </c>
      <c r="B637" s="453" t="s">
        <v>252</v>
      </c>
      <c r="C637" s="453" t="s">
        <v>483</v>
      </c>
      <c r="D637" s="453" t="s">
        <v>1313</v>
      </c>
      <c r="E637" s="453"/>
      <c r="F637" s="454">
        <v>6423600</v>
      </c>
      <c r="G637" s="454">
        <v>6423599.8200000003</v>
      </c>
    </row>
    <row r="638" spans="1:7" ht="22.5">
      <c r="A638" s="455" t="s">
        <v>445</v>
      </c>
      <c r="B638" s="456" t="s">
        <v>252</v>
      </c>
      <c r="C638" s="456" t="s">
        <v>483</v>
      </c>
      <c r="D638" s="456" t="s">
        <v>1313</v>
      </c>
      <c r="E638" s="456" t="s">
        <v>446</v>
      </c>
      <c r="F638" s="457">
        <v>4548700</v>
      </c>
      <c r="G638" s="457">
        <v>4548699.82</v>
      </c>
    </row>
    <row r="639" spans="1:7" ht="45">
      <c r="A639" s="455" t="s">
        <v>465</v>
      </c>
      <c r="B639" s="456" t="s">
        <v>252</v>
      </c>
      <c r="C639" s="456" t="s">
        <v>483</v>
      </c>
      <c r="D639" s="456" t="s">
        <v>1313</v>
      </c>
      <c r="E639" s="456" t="s">
        <v>466</v>
      </c>
      <c r="F639" s="457">
        <v>1874900</v>
      </c>
      <c r="G639" s="457">
        <v>1874900</v>
      </c>
    </row>
    <row r="640" spans="1:7" ht="67.5">
      <c r="A640" s="458" t="s">
        <v>2696</v>
      </c>
      <c r="B640" s="453" t="s">
        <v>252</v>
      </c>
      <c r="C640" s="453" t="s">
        <v>483</v>
      </c>
      <c r="D640" s="453" t="s">
        <v>983</v>
      </c>
      <c r="E640" s="453"/>
      <c r="F640" s="454">
        <v>2915402</v>
      </c>
      <c r="G640" s="454">
        <v>2915401.52</v>
      </c>
    </row>
    <row r="641" spans="1:7" ht="22.5">
      <c r="A641" s="455" t="s">
        <v>445</v>
      </c>
      <c r="B641" s="456" t="s">
        <v>252</v>
      </c>
      <c r="C641" s="456" t="s">
        <v>483</v>
      </c>
      <c r="D641" s="456" t="s">
        <v>983</v>
      </c>
      <c r="E641" s="456" t="s">
        <v>446</v>
      </c>
      <c r="F641" s="457">
        <v>1949543.84</v>
      </c>
      <c r="G641" s="457">
        <v>1949543.36</v>
      </c>
    </row>
    <row r="642" spans="1:7" ht="45">
      <c r="A642" s="455" t="s">
        <v>465</v>
      </c>
      <c r="B642" s="456" t="s">
        <v>252</v>
      </c>
      <c r="C642" s="456" t="s">
        <v>483</v>
      </c>
      <c r="D642" s="456" t="s">
        <v>983</v>
      </c>
      <c r="E642" s="456" t="s">
        <v>466</v>
      </c>
      <c r="F642" s="457">
        <v>965858.16</v>
      </c>
      <c r="G642" s="457">
        <v>965858.16</v>
      </c>
    </row>
    <row r="643" spans="1:7" ht="67.5">
      <c r="A643" s="452" t="s">
        <v>776</v>
      </c>
      <c r="B643" s="453" t="s">
        <v>252</v>
      </c>
      <c r="C643" s="453" t="s">
        <v>483</v>
      </c>
      <c r="D643" s="453" t="s">
        <v>1588</v>
      </c>
      <c r="E643" s="453"/>
      <c r="F643" s="454">
        <v>61668.79</v>
      </c>
      <c r="G643" s="454">
        <v>61668.79</v>
      </c>
    </row>
    <row r="644" spans="1:7">
      <c r="A644" s="455" t="s">
        <v>1603</v>
      </c>
      <c r="B644" s="456" t="s">
        <v>252</v>
      </c>
      <c r="C644" s="456" t="s">
        <v>483</v>
      </c>
      <c r="D644" s="456" t="s">
        <v>1588</v>
      </c>
      <c r="E644" s="456" t="s">
        <v>460</v>
      </c>
      <c r="F644" s="457">
        <v>47108.21</v>
      </c>
      <c r="G644" s="457">
        <v>47108.21</v>
      </c>
    </row>
    <row r="645" spans="1:7" ht="33.75">
      <c r="A645" s="455" t="s">
        <v>1604</v>
      </c>
      <c r="B645" s="456" t="s">
        <v>252</v>
      </c>
      <c r="C645" s="456" t="s">
        <v>483</v>
      </c>
      <c r="D645" s="456" t="s">
        <v>1588</v>
      </c>
      <c r="E645" s="456" t="s">
        <v>1290</v>
      </c>
      <c r="F645" s="457">
        <v>12860.58</v>
      </c>
      <c r="G645" s="457">
        <v>12860.58</v>
      </c>
    </row>
    <row r="646" spans="1:7" ht="22.5">
      <c r="A646" s="455" t="s">
        <v>445</v>
      </c>
      <c r="B646" s="456" t="s">
        <v>252</v>
      </c>
      <c r="C646" s="456" t="s">
        <v>483</v>
      </c>
      <c r="D646" s="456" t="s">
        <v>1588</v>
      </c>
      <c r="E646" s="456" t="s">
        <v>446</v>
      </c>
      <c r="F646" s="457">
        <v>1700</v>
      </c>
      <c r="G646" s="457">
        <v>1700</v>
      </c>
    </row>
    <row r="647" spans="1:7" ht="67.5">
      <c r="A647" s="458" t="s">
        <v>2697</v>
      </c>
      <c r="B647" s="453" t="s">
        <v>252</v>
      </c>
      <c r="C647" s="453" t="s">
        <v>483</v>
      </c>
      <c r="D647" s="453" t="s">
        <v>1589</v>
      </c>
      <c r="E647" s="453"/>
      <c r="F647" s="454">
        <v>140322.42000000001</v>
      </c>
      <c r="G647" s="454">
        <v>140322.42000000001</v>
      </c>
    </row>
    <row r="648" spans="1:7" ht="22.5">
      <c r="A648" s="455" t="s">
        <v>445</v>
      </c>
      <c r="B648" s="456" t="s">
        <v>252</v>
      </c>
      <c r="C648" s="456" t="s">
        <v>483</v>
      </c>
      <c r="D648" s="456" t="s">
        <v>1589</v>
      </c>
      <c r="E648" s="456" t="s">
        <v>446</v>
      </c>
      <c r="F648" s="457">
        <v>140322.42000000001</v>
      </c>
      <c r="G648" s="457">
        <v>140322.42000000001</v>
      </c>
    </row>
    <row r="649" spans="1:7">
      <c r="A649" s="452" t="s">
        <v>4</v>
      </c>
      <c r="B649" s="453" t="s">
        <v>252</v>
      </c>
      <c r="C649" s="453" t="s">
        <v>540</v>
      </c>
      <c r="D649" s="453"/>
      <c r="E649" s="453"/>
      <c r="F649" s="454">
        <v>43194991.079999998</v>
      </c>
      <c r="G649" s="454">
        <v>42028803.140000001</v>
      </c>
    </row>
    <row r="650" spans="1:7" ht="56.25">
      <c r="A650" s="452" t="s">
        <v>531</v>
      </c>
      <c r="B650" s="453" t="s">
        <v>252</v>
      </c>
      <c r="C650" s="453" t="s">
        <v>540</v>
      </c>
      <c r="D650" s="453" t="s">
        <v>970</v>
      </c>
      <c r="E650" s="453"/>
      <c r="F650" s="454">
        <v>25088</v>
      </c>
      <c r="G650" s="454">
        <v>0</v>
      </c>
    </row>
    <row r="651" spans="1:7" ht="22.5">
      <c r="A651" s="455" t="s">
        <v>445</v>
      </c>
      <c r="B651" s="456" t="s">
        <v>252</v>
      </c>
      <c r="C651" s="456" t="s">
        <v>540</v>
      </c>
      <c r="D651" s="456" t="s">
        <v>970</v>
      </c>
      <c r="E651" s="456" t="s">
        <v>446</v>
      </c>
      <c r="F651" s="457">
        <v>25088</v>
      </c>
      <c r="G651" s="457">
        <v>0</v>
      </c>
    </row>
    <row r="652" spans="1:7" ht="67.5">
      <c r="A652" s="458" t="s">
        <v>2698</v>
      </c>
      <c r="B652" s="453" t="s">
        <v>252</v>
      </c>
      <c r="C652" s="453" t="s">
        <v>540</v>
      </c>
      <c r="D652" s="453" t="s">
        <v>1587</v>
      </c>
      <c r="E652" s="453"/>
      <c r="F652" s="454">
        <v>1362700</v>
      </c>
      <c r="G652" s="454">
        <v>1232150.6399999999</v>
      </c>
    </row>
    <row r="653" spans="1:7" ht="22.5">
      <c r="A653" s="455" t="s">
        <v>1165</v>
      </c>
      <c r="B653" s="456" t="s">
        <v>252</v>
      </c>
      <c r="C653" s="456" t="s">
        <v>540</v>
      </c>
      <c r="D653" s="456" t="s">
        <v>1587</v>
      </c>
      <c r="E653" s="456" t="s">
        <v>440</v>
      </c>
      <c r="F653" s="457">
        <v>741928</v>
      </c>
      <c r="G653" s="457">
        <v>741638.54</v>
      </c>
    </row>
    <row r="654" spans="1:7" ht="22.5">
      <c r="A654" s="455" t="s">
        <v>441</v>
      </c>
      <c r="B654" s="456" t="s">
        <v>252</v>
      </c>
      <c r="C654" s="456" t="s">
        <v>540</v>
      </c>
      <c r="D654" s="456" t="s">
        <v>1587</v>
      </c>
      <c r="E654" s="456" t="s">
        <v>442</v>
      </c>
      <c r="F654" s="457">
        <v>59254.239999999998</v>
      </c>
      <c r="G654" s="457">
        <v>37958.800000000003</v>
      </c>
    </row>
    <row r="655" spans="1:7" ht="33.75">
      <c r="A655" s="455" t="s">
        <v>1288</v>
      </c>
      <c r="B655" s="456" t="s">
        <v>252</v>
      </c>
      <c r="C655" s="456" t="s">
        <v>540</v>
      </c>
      <c r="D655" s="456" t="s">
        <v>1587</v>
      </c>
      <c r="E655" s="456" t="s">
        <v>1289</v>
      </c>
      <c r="F655" s="457">
        <v>224062</v>
      </c>
      <c r="G655" s="457">
        <v>215072.54</v>
      </c>
    </row>
    <row r="656" spans="1:7" ht="22.5">
      <c r="A656" s="455" t="s">
        <v>445</v>
      </c>
      <c r="B656" s="456" t="s">
        <v>252</v>
      </c>
      <c r="C656" s="456" t="s">
        <v>540</v>
      </c>
      <c r="D656" s="456" t="s">
        <v>1587</v>
      </c>
      <c r="E656" s="456" t="s">
        <v>446</v>
      </c>
      <c r="F656" s="457">
        <v>337455.76</v>
      </c>
      <c r="G656" s="457">
        <v>237480.76</v>
      </c>
    </row>
    <row r="657" spans="1:7" ht="67.5">
      <c r="A657" s="458" t="s">
        <v>2699</v>
      </c>
      <c r="B657" s="453" t="s">
        <v>252</v>
      </c>
      <c r="C657" s="453" t="s">
        <v>540</v>
      </c>
      <c r="D657" s="453" t="s">
        <v>1905</v>
      </c>
      <c r="E657" s="453"/>
      <c r="F657" s="454">
        <v>434100</v>
      </c>
      <c r="G657" s="454">
        <v>424439.27</v>
      </c>
    </row>
    <row r="658" spans="1:7">
      <c r="A658" s="455" t="s">
        <v>1603</v>
      </c>
      <c r="B658" s="456" t="s">
        <v>252</v>
      </c>
      <c r="C658" s="456" t="s">
        <v>540</v>
      </c>
      <c r="D658" s="456" t="s">
        <v>1905</v>
      </c>
      <c r="E658" s="456" t="s">
        <v>460</v>
      </c>
      <c r="F658" s="457">
        <v>333410</v>
      </c>
      <c r="G658" s="457">
        <v>333105.33</v>
      </c>
    </row>
    <row r="659" spans="1:7" ht="33.75">
      <c r="A659" s="455" t="s">
        <v>1604</v>
      </c>
      <c r="B659" s="456" t="s">
        <v>252</v>
      </c>
      <c r="C659" s="456" t="s">
        <v>540</v>
      </c>
      <c r="D659" s="456" t="s">
        <v>1905</v>
      </c>
      <c r="E659" s="456" t="s">
        <v>1290</v>
      </c>
      <c r="F659" s="457">
        <v>100690</v>
      </c>
      <c r="G659" s="457">
        <v>91333.94</v>
      </c>
    </row>
    <row r="660" spans="1:7" ht="67.5">
      <c r="A660" s="452" t="s">
        <v>778</v>
      </c>
      <c r="B660" s="453" t="s">
        <v>252</v>
      </c>
      <c r="C660" s="453" t="s">
        <v>540</v>
      </c>
      <c r="D660" s="453" t="s">
        <v>1590</v>
      </c>
      <c r="E660" s="453"/>
      <c r="F660" s="454">
        <v>33188114.190000001</v>
      </c>
      <c r="G660" s="454">
        <v>32727591.760000002</v>
      </c>
    </row>
    <row r="661" spans="1:7">
      <c r="A661" s="455" t="s">
        <v>1603</v>
      </c>
      <c r="B661" s="456" t="s">
        <v>252</v>
      </c>
      <c r="C661" s="456" t="s">
        <v>540</v>
      </c>
      <c r="D661" s="456" t="s">
        <v>1590</v>
      </c>
      <c r="E661" s="456" t="s">
        <v>460</v>
      </c>
      <c r="F661" s="457">
        <v>21688000</v>
      </c>
      <c r="G661" s="457">
        <v>21687983.789999999</v>
      </c>
    </row>
    <row r="662" spans="1:7" ht="22.5">
      <c r="A662" s="455" t="s">
        <v>1617</v>
      </c>
      <c r="B662" s="456" t="s">
        <v>252</v>
      </c>
      <c r="C662" s="456" t="s">
        <v>540</v>
      </c>
      <c r="D662" s="456" t="s">
        <v>1590</v>
      </c>
      <c r="E662" s="456" t="s">
        <v>509</v>
      </c>
      <c r="F662" s="457">
        <v>280439</v>
      </c>
      <c r="G662" s="457">
        <v>259681.4</v>
      </c>
    </row>
    <row r="663" spans="1:7" ht="33.75">
      <c r="A663" s="455" t="s">
        <v>1604</v>
      </c>
      <c r="B663" s="456" t="s">
        <v>252</v>
      </c>
      <c r="C663" s="456" t="s">
        <v>540</v>
      </c>
      <c r="D663" s="456" t="s">
        <v>1590</v>
      </c>
      <c r="E663" s="456" t="s">
        <v>1290</v>
      </c>
      <c r="F663" s="457">
        <v>6544446.3600000003</v>
      </c>
      <c r="G663" s="457">
        <v>6525059.8600000003</v>
      </c>
    </row>
    <row r="664" spans="1:7" ht="22.5">
      <c r="A664" s="455" t="s">
        <v>461</v>
      </c>
      <c r="B664" s="456" t="s">
        <v>252</v>
      </c>
      <c r="C664" s="456" t="s">
        <v>540</v>
      </c>
      <c r="D664" s="456" t="s">
        <v>1590</v>
      </c>
      <c r="E664" s="456" t="s">
        <v>462</v>
      </c>
      <c r="F664" s="457">
        <v>127241</v>
      </c>
      <c r="G664" s="457">
        <v>127241</v>
      </c>
    </row>
    <row r="665" spans="1:7" ht="22.5">
      <c r="A665" s="455" t="s">
        <v>445</v>
      </c>
      <c r="B665" s="456" t="s">
        <v>252</v>
      </c>
      <c r="C665" s="456" t="s">
        <v>540</v>
      </c>
      <c r="D665" s="456" t="s">
        <v>1590</v>
      </c>
      <c r="E665" s="456" t="s">
        <v>446</v>
      </c>
      <c r="F665" s="457">
        <v>4517338.5599999996</v>
      </c>
      <c r="G665" s="457">
        <v>4098076.44</v>
      </c>
    </row>
    <row r="666" spans="1:7" ht="22.5">
      <c r="A666" s="455" t="s">
        <v>1758</v>
      </c>
      <c r="B666" s="456" t="s">
        <v>252</v>
      </c>
      <c r="C666" s="456" t="s">
        <v>540</v>
      </c>
      <c r="D666" s="456" t="s">
        <v>1590</v>
      </c>
      <c r="E666" s="456" t="s">
        <v>552</v>
      </c>
      <c r="F666" s="457">
        <v>14219.63</v>
      </c>
      <c r="G666" s="457">
        <v>14219.63</v>
      </c>
    </row>
    <row r="667" spans="1:7">
      <c r="A667" s="455" t="s">
        <v>1168</v>
      </c>
      <c r="B667" s="456" t="s">
        <v>252</v>
      </c>
      <c r="C667" s="456" t="s">
        <v>540</v>
      </c>
      <c r="D667" s="456" t="s">
        <v>1590</v>
      </c>
      <c r="E667" s="456" t="s">
        <v>626</v>
      </c>
      <c r="F667" s="457">
        <v>1600</v>
      </c>
      <c r="G667" s="457">
        <v>1600</v>
      </c>
    </row>
    <row r="668" spans="1:7">
      <c r="A668" s="455" t="s">
        <v>1293</v>
      </c>
      <c r="B668" s="456" t="s">
        <v>252</v>
      </c>
      <c r="C668" s="456" t="s">
        <v>540</v>
      </c>
      <c r="D668" s="456" t="s">
        <v>1590</v>
      </c>
      <c r="E668" s="456" t="s">
        <v>1294</v>
      </c>
      <c r="F668" s="457">
        <v>14829.64</v>
      </c>
      <c r="G668" s="457">
        <v>13729.64</v>
      </c>
    </row>
    <row r="669" spans="1:7" ht="67.5">
      <c r="A669" s="458" t="s">
        <v>2700</v>
      </c>
      <c r="B669" s="453" t="s">
        <v>252</v>
      </c>
      <c r="C669" s="453" t="s">
        <v>540</v>
      </c>
      <c r="D669" s="453" t="s">
        <v>1596</v>
      </c>
      <c r="E669" s="453"/>
      <c r="F669" s="454">
        <v>613367</v>
      </c>
      <c r="G669" s="454">
        <v>603571.11</v>
      </c>
    </row>
    <row r="670" spans="1:7">
      <c r="A670" s="455" t="s">
        <v>1603</v>
      </c>
      <c r="B670" s="456" t="s">
        <v>252</v>
      </c>
      <c r="C670" s="456" t="s">
        <v>540</v>
      </c>
      <c r="D670" s="456" t="s">
        <v>1596</v>
      </c>
      <c r="E670" s="456" t="s">
        <v>460</v>
      </c>
      <c r="F670" s="457">
        <v>471096</v>
      </c>
      <c r="G670" s="457">
        <v>468635.64</v>
      </c>
    </row>
    <row r="671" spans="1:7" ht="33.75">
      <c r="A671" s="455" t="s">
        <v>1604</v>
      </c>
      <c r="B671" s="456" t="s">
        <v>252</v>
      </c>
      <c r="C671" s="456" t="s">
        <v>540</v>
      </c>
      <c r="D671" s="456" t="s">
        <v>1596</v>
      </c>
      <c r="E671" s="456" t="s">
        <v>1290</v>
      </c>
      <c r="F671" s="457">
        <v>142271</v>
      </c>
      <c r="G671" s="457">
        <v>134935.47</v>
      </c>
    </row>
    <row r="672" spans="1:7" ht="67.5">
      <c r="A672" s="458" t="s">
        <v>2701</v>
      </c>
      <c r="B672" s="453" t="s">
        <v>252</v>
      </c>
      <c r="C672" s="453" t="s">
        <v>540</v>
      </c>
      <c r="D672" s="453" t="s">
        <v>1591</v>
      </c>
      <c r="E672" s="453"/>
      <c r="F672" s="454">
        <v>1060000</v>
      </c>
      <c r="G672" s="454">
        <v>934898.79</v>
      </c>
    </row>
    <row r="673" spans="1:7">
      <c r="A673" s="455" t="s">
        <v>1603</v>
      </c>
      <c r="B673" s="456" t="s">
        <v>252</v>
      </c>
      <c r="C673" s="456" t="s">
        <v>540</v>
      </c>
      <c r="D673" s="456" t="s">
        <v>1591</v>
      </c>
      <c r="E673" s="456" t="s">
        <v>460</v>
      </c>
      <c r="F673" s="457">
        <v>815000</v>
      </c>
      <c r="G673" s="457">
        <v>722675.89</v>
      </c>
    </row>
    <row r="674" spans="1:7" ht="33.75">
      <c r="A674" s="455" t="s">
        <v>1604</v>
      </c>
      <c r="B674" s="456" t="s">
        <v>252</v>
      </c>
      <c r="C674" s="456" t="s">
        <v>540</v>
      </c>
      <c r="D674" s="456" t="s">
        <v>1591</v>
      </c>
      <c r="E674" s="456" t="s">
        <v>1290</v>
      </c>
      <c r="F674" s="457">
        <v>245000</v>
      </c>
      <c r="G674" s="457">
        <v>212222.9</v>
      </c>
    </row>
    <row r="675" spans="1:7" ht="67.5">
      <c r="A675" s="458" t="s">
        <v>2702</v>
      </c>
      <c r="B675" s="453" t="s">
        <v>252</v>
      </c>
      <c r="C675" s="453" t="s">
        <v>540</v>
      </c>
      <c r="D675" s="453" t="s">
        <v>1592</v>
      </c>
      <c r="E675" s="453"/>
      <c r="F675" s="454">
        <v>349589.37</v>
      </c>
      <c r="G675" s="454">
        <v>349589.37</v>
      </c>
    </row>
    <row r="676" spans="1:7" ht="22.5">
      <c r="A676" s="455" t="s">
        <v>1617</v>
      </c>
      <c r="B676" s="456" t="s">
        <v>252</v>
      </c>
      <c r="C676" s="456" t="s">
        <v>540</v>
      </c>
      <c r="D676" s="456" t="s">
        <v>1592</v>
      </c>
      <c r="E676" s="456" t="s">
        <v>509</v>
      </c>
      <c r="F676" s="457">
        <v>349589.37</v>
      </c>
      <c r="G676" s="457">
        <v>349589.37</v>
      </c>
    </row>
    <row r="677" spans="1:7" ht="67.5">
      <c r="A677" s="452" t="s">
        <v>781</v>
      </c>
      <c r="B677" s="453" t="s">
        <v>252</v>
      </c>
      <c r="C677" s="453" t="s">
        <v>540</v>
      </c>
      <c r="D677" s="453" t="s">
        <v>1593</v>
      </c>
      <c r="E677" s="453"/>
      <c r="F677" s="454">
        <v>161802.51999999999</v>
      </c>
      <c r="G677" s="454">
        <v>114632.99</v>
      </c>
    </row>
    <row r="678" spans="1:7" ht="22.5">
      <c r="A678" s="455" t="s">
        <v>445</v>
      </c>
      <c r="B678" s="456" t="s">
        <v>252</v>
      </c>
      <c r="C678" s="456" t="s">
        <v>540</v>
      </c>
      <c r="D678" s="456" t="s">
        <v>1593</v>
      </c>
      <c r="E678" s="456" t="s">
        <v>446</v>
      </c>
      <c r="F678" s="457">
        <v>161802.51999999999</v>
      </c>
      <c r="G678" s="457">
        <v>114632.99</v>
      </c>
    </row>
    <row r="679" spans="1:7" ht="56.25">
      <c r="A679" s="452" t="s">
        <v>1192</v>
      </c>
      <c r="B679" s="453" t="s">
        <v>252</v>
      </c>
      <c r="C679" s="453" t="s">
        <v>540</v>
      </c>
      <c r="D679" s="453" t="s">
        <v>1626</v>
      </c>
      <c r="E679" s="453"/>
      <c r="F679" s="454">
        <v>1142000</v>
      </c>
      <c r="G679" s="454">
        <v>1141640</v>
      </c>
    </row>
    <row r="680" spans="1:7" ht="22.5">
      <c r="A680" s="455" t="s">
        <v>445</v>
      </c>
      <c r="B680" s="456" t="s">
        <v>252</v>
      </c>
      <c r="C680" s="456" t="s">
        <v>540</v>
      </c>
      <c r="D680" s="456" t="s">
        <v>1626</v>
      </c>
      <c r="E680" s="456" t="s">
        <v>446</v>
      </c>
      <c r="F680" s="457">
        <v>1142000</v>
      </c>
      <c r="G680" s="457">
        <v>1141640</v>
      </c>
    </row>
    <row r="681" spans="1:7" ht="67.5">
      <c r="A681" s="458" t="s">
        <v>2703</v>
      </c>
      <c r="B681" s="453" t="s">
        <v>252</v>
      </c>
      <c r="C681" s="453" t="s">
        <v>540</v>
      </c>
      <c r="D681" s="453" t="s">
        <v>1594</v>
      </c>
      <c r="E681" s="453"/>
      <c r="F681" s="454">
        <v>4433230</v>
      </c>
      <c r="G681" s="454">
        <v>4238759.21</v>
      </c>
    </row>
    <row r="682" spans="1:7" ht="22.5">
      <c r="A682" s="455" t="s">
        <v>1165</v>
      </c>
      <c r="B682" s="456" t="s">
        <v>252</v>
      </c>
      <c r="C682" s="456" t="s">
        <v>540</v>
      </c>
      <c r="D682" s="456" t="s">
        <v>1594</v>
      </c>
      <c r="E682" s="456" t="s">
        <v>440</v>
      </c>
      <c r="F682" s="457">
        <v>3198410</v>
      </c>
      <c r="G682" s="457">
        <v>3197364.29</v>
      </c>
    </row>
    <row r="683" spans="1:7" ht="22.5">
      <c r="A683" s="455" t="s">
        <v>441</v>
      </c>
      <c r="B683" s="456" t="s">
        <v>252</v>
      </c>
      <c r="C683" s="456" t="s">
        <v>540</v>
      </c>
      <c r="D683" s="456" t="s">
        <v>1594</v>
      </c>
      <c r="E683" s="456" t="s">
        <v>442</v>
      </c>
      <c r="F683" s="457">
        <v>80000</v>
      </c>
      <c r="G683" s="457">
        <v>79097.52</v>
      </c>
    </row>
    <row r="684" spans="1:7" ht="33.75">
      <c r="A684" s="455" t="s">
        <v>1288</v>
      </c>
      <c r="B684" s="456" t="s">
        <v>252</v>
      </c>
      <c r="C684" s="456" t="s">
        <v>540</v>
      </c>
      <c r="D684" s="456" t="s">
        <v>1594</v>
      </c>
      <c r="E684" s="456" t="s">
        <v>1289</v>
      </c>
      <c r="F684" s="457">
        <v>965920</v>
      </c>
      <c r="G684" s="457">
        <v>909987.4</v>
      </c>
    </row>
    <row r="685" spans="1:7" ht="22.5">
      <c r="A685" s="455" t="s">
        <v>445</v>
      </c>
      <c r="B685" s="456" t="s">
        <v>252</v>
      </c>
      <c r="C685" s="456" t="s">
        <v>540</v>
      </c>
      <c r="D685" s="456" t="s">
        <v>1594</v>
      </c>
      <c r="E685" s="456" t="s">
        <v>446</v>
      </c>
      <c r="F685" s="457">
        <v>188900</v>
      </c>
      <c r="G685" s="457">
        <v>52310</v>
      </c>
    </row>
    <row r="686" spans="1:7" ht="67.5">
      <c r="A686" s="458" t="s">
        <v>2704</v>
      </c>
      <c r="B686" s="453" t="s">
        <v>252</v>
      </c>
      <c r="C686" s="453" t="s">
        <v>540</v>
      </c>
      <c r="D686" s="453" t="s">
        <v>1595</v>
      </c>
      <c r="E686" s="453"/>
      <c r="F686" s="454">
        <v>50000</v>
      </c>
      <c r="G686" s="454">
        <v>38519</v>
      </c>
    </row>
    <row r="687" spans="1:7" ht="22.5">
      <c r="A687" s="455" t="s">
        <v>441</v>
      </c>
      <c r="B687" s="456" t="s">
        <v>252</v>
      </c>
      <c r="C687" s="456" t="s">
        <v>540</v>
      </c>
      <c r="D687" s="456" t="s">
        <v>1595</v>
      </c>
      <c r="E687" s="456" t="s">
        <v>442</v>
      </c>
      <c r="F687" s="457">
        <v>50000</v>
      </c>
      <c r="G687" s="457">
        <v>38519</v>
      </c>
    </row>
    <row r="688" spans="1:7" ht="67.5">
      <c r="A688" s="452" t="s">
        <v>1963</v>
      </c>
      <c r="B688" s="453" t="s">
        <v>252</v>
      </c>
      <c r="C688" s="453" t="s">
        <v>540</v>
      </c>
      <c r="D688" s="453" t="s">
        <v>1964</v>
      </c>
      <c r="E688" s="453"/>
      <c r="F688" s="454">
        <v>375000</v>
      </c>
      <c r="G688" s="454">
        <v>223011</v>
      </c>
    </row>
    <row r="689" spans="1:7" ht="22.5">
      <c r="A689" s="455" t="s">
        <v>445</v>
      </c>
      <c r="B689" s="456" t="s">
        <v>252</v>
      </c>
      <c r="C689" s="456" t="s">
        <v>540</v>
      </c>
      <c r="D689" s="456" t="s">
        <v>1964</v>
      </c>
      <c r="E689" s="456" t="s">
        <v>446</v>
      </c>
      <c r="F689" s="457">
        <v>375000</v>
      </c>
      <c r="G689" s="457">
        <v>223011</v>
      </c>
    </row>
    <row r="690" spans="1:7">
      <c r="A690" s="452" t="s">
        <v>174</v>
      </c>
      <c r="B690" s="453" t="s">
        <v>252</v>
      </c>
      <c r="C690" s="453" t="s">
        <v>1609</v>
      </c>
      <c r="D690" s="453"/>
      <c r="E690" s="453"/>
      <c r="F690" s="454">
        <v>35745400</v>
      </c>
      <c r="G690" s="454">
        <v>32562644.23</v>
      </c>
    </row>
    <row r="691" spans="1:7">
      <c r="A691" s="452" t="s">
        <v>127</v>
      </c>
      <c r="B691" s="453" t="s">
        <v>252</v>
      </c>
      <c r="C691" s="453" t="s">
        <v>496</v>
      </c>
      <c r="D691" s="453"/>
      <c r="E691" s="453"/>
      <c r="F691" s="454">
        <v>25386000</v>
      </c>
      <c r="G691" s="454">
        <v>24877599.670000002</v>
      </c>
    </row>
    <row r="692" spans="1:7" ht="67.5">
      <c r="A692" s="458" t="s">
        <v>2705</v>
      </c>
      <c r="B692" s="453" t="s">
        <v>252</v>
      </c>
      <c r="C692" s="453" t="s">
        <v>496</v>
      </c>
      <c r="D692" s="453" t="s">
        <v>994</v>
      </c>
      <c r="E692" s="453"/>
      <c r="F692" s="454">
        <v>382100</v>
      </c>
      <c r="G692" s="454">
        <v>370588</v>
      </c>
    </row>
    <row r="693" spans="1:7" ht="22.5">
      <c r="A693" s="455" t="s">
        <v>445</v>
      </c>
      <c r="B693" s="456" t="s">
        <v>252</v>
      </c>
      <c r="C693" s="456" t="s">
        <v>496</v>
      </c>
      <c r="D693" s="456" t="s">
        <v>994</v>
      </c>
      <c r="E693" s="456" t="s">
        <v>446</v>
      </c>
      <c r="F693" s="457">
        <v>382100</v>
      </c>
      <c r="G693" s="457">
        <v>370588</v>
      </c>
    </row>
    <row r="694" spans="1:7" ht="67.5">
      <c r="A694" s="458" t="s">
        <v>2706</v>
      </c>
      <c r="B694" s="453" t="s">
        <v>252</v>
      </c>
      <c r="C694" s="453" t="s">
        <v>496</v>
      </c>
      <c r="D694" s="453" t="s">
        <v>995</v>
      </c>
      <c r="E694" s="453"/>
      <c r="F694" s="454">
        <v>25003900</v>
      </c>
      <c r="G694" s="454">
        <v>24507011.670000002</v>
      </c>
    </row>
    <row r="695" spans="1:7">
      <c r="A695" s="455" t="s">
        <v>1603</v>
      </c>
      <c r="B695" s="456" t="s">
        <v>252</v>
      </c>
      <c r="C695" s="456" t="s">
        <v>496</v>
      </c>
      <c r="D695" s="456" t="s">
        <v>995</v>
      </c>
      <c r="E695" s="456" t="s">
        <v>460</v>
      </c>
      <c r="F695" s="457">
        <v>1413.17</v>
      </c>
      <c r="G695" s="457">
        <v>1413.17</v>
      </c>
    </row>
    <row r="696" spans="1:7" ht="33.75">
      <c r="A696" s="455" t="s">
        <v>1604</v>
      </c>
      <c r="B696" s="456" t="s">
        <v>252</v>
      </c>
      <c r="C696" s="456" t="s">
        <v>496</v>
      </c>
      <c r="D696" s="456" t="s">
        <v>995</v>
      </c>
      <c r="E696" s="456" t="s">
        <v>1290</v>
      </c>
      <c r="F696" s="457">
        <v>30000</v>
      </c>
      <c r="G696" s="457">
        <v>0</v>
      </c>
    </row>
    <row r="697" spans="1:7" ht="22.5">
      <c r="A697" s="455" t="s">
        <v>445</v>
      </c>
      <c r="B697" s="456" t="s">
        <v>252</v>
      </c>
      <c r="C697" s="456" t="s">
        <v>496</v>
      </c>
      <c r="D697" s="456" t="s">
        <v>995</v>
      </c>
      <c r="E697" s="456" t="s">
        <v>446</v>
      </c>
      <c r="F697" s="457">
        <v>24378493.949999999</v>
      </c>
      <c r="G697" s="457">
        <v>24083356.629999999</v>
      </c>
    </row>
    <row r="698" spans="1:7" ht="22.5">
      <c r="A698" s="455" t="s">
        <v>497</v>
      </c>
      <c r="B698" s="456" t="s">
        <v>252</v>
      </c>
      <c r="C698" s="456" t="s">
        <v>496</v>
      </c>
      <c r="D698" s="456" t="s">
        <v>995</v>
      </c>
      <c r="E698" s="456" t="s">
        <v>498</v>
      </c>
      <c r="F698" s="457">
        <v>593992.88</v>
      </c>
      <c r="G698" s="457">
        <v>422241.87</v>
      </c>
    </row>
    <row r="699" spans="1:7">
      <c r="A699" s="452" t="s">
        <v>25</v>
      </c>
      <c r="B699" s="453" t="s">
        <v>252</v>
      </c>
      <c r="C699" s="453" t="s">
        <v>543</v>
      </c>
      <c r="D699" s="453"/>
      <c r="E699" s="453"/>
      <c r="F699" s="454">
        <v>10359400</v>
      </c>
      <c r="G699" s="454">
        <v>7685044.5599999996</v>
      </c>
    </row>
    <row r="700" spans="1:7" ht="67.5">
      <c r="A700" s="458" t="s">
        <v>2707</v>
      </c>
      <c r="B700" s="453" t="s">
        <v>252</v>
      </c>
      <c r="C700" s="453" t="s">
        <v>543</v>
      </c>
      <c r="D700" s="453" t="s">
        <v>996</v>
      </c>
      <c r="E700" s="453"/>
      <c r="F700" s="454">
        <v>10359400</v>
      </c>
      <c r="G700" s="454">
        <v>7685044.5599999996</v>
      </c>
    </row>
    <row r="701" spans="1:7" ht="22.5">
      <c r="A701" s="455" t="s">
        <v>445</v>
      </c>
      <c r="B701" s="456" t="s">
        <v>252</v>
      </c>
      <c r="C701" s="456" t="s">
        <v>543</v>
      </c>
      <c r="D701" s="456" t="s">
        <v>996</v>
      </c>
      <c r="E701" s="456" t="s">
        <v>446</v>
      </c>
      <c r="F701" s="457">
        <v>263100</v>
      </c>
      <c r="G701" s="457">
        <v>143100</v>
      </c>
    </row>
    <row r="702" spans="1:7" ht="22.5">
      <c r="A702" s="455" t="s">
        <v>497</v>
      </c>
      <c r="B702" s="456" t="s">
        <v>252</v>
      </c>
      <c r="C702" s="456" t="s">
        <v>543</v>
      </c>
      <c r="D702" s="456" t="s">
        <v>996</v>
      </c>
      <c r="E702" s="456" t="s">
        <v>498</v>
      </c>
      <c r="F702" s="457">
        <v>10096300</v>
      </c>
      <c r="G702" s="457">
        <v>7541944.5599999996</v>
      </c>
    </row>
    <row r="703" spans="1:7" ht="22.5">
      <c r="A703" s="452" t="s">
        <v>1824</v>
      </c>
      <c r="B703" s="453" t="s">
        <v>1164</v>
      </c>
      <c r="C703" s="453"/>
      <c r="D703" s="453"/>
      <c r="E703" s="453"/>
      <c r="F703" s="454">
        <v>24169276</v>
      </c>
      <c r="G703" s="454">
        <v>22219876.280000001</v>
      </c>
    </row>
    <row r="704" spans="1:7" ht="33.75">
      <c r="A704" s="452" t="s">
        <v>583</v>
      </c>
      <c r="B704" s="453" t="s">
        <v>1164</v>
      </c>
      <c r="C704" s="453" t="s">
        <v>463</v>
      </c>
      <c r="D704" s="453" t="s">
        <v>1209</v>
      </c>
      <c r="E704" s="453"/>
      <c r="F704" s="454">
        <v>22640877</v>
      </c>
      <c r="G704" s="454">
        <v>20902191.5</v>
      </c>
    </row>
    <row r="705" spans="1:7" ht="22.5">
      <c r="A705" s="452" t="s">
        <v>586</v>
      </c>
      <c r="B705" s="453" t="s">
        <v>1164</v>
      </c>
      <c r="C705" s="453" t="s">
        <v>463</v>
      </c>
      <c r="D705" s="453" t="s">
        <v>1211</v>
      </c>
      <c r="E705" s="453"/>
      <c r="F705" s="454">
        <v>22640877</v>
      </c>
      <c r="G705" s="454">
        <v>20902191.5</v>
      </c>
    </row>
    <row r="706" spans="1:7" ht="67.5">
      <c r="A706" s="458" t="s">
        <v>2708</v>
      </c>
      <c r="B706" s="453" t="s">
        <v>1164</v>
      </c>
      <c r="C706" s="453" t="s">
        <v>463</v>
      </c>
      <c r="D706" s="453" t="s">
        <v>867</v>
      </c>
      <c r="E706" s="453"/>
      <c r="F706" s="454">
        <v>16671913.24</v>
      </c>
      <c r="G706" s="454">
        <v>16349831.130000001</v>
      </c>
    </row>
    <row r="707" spans="1:7">
      <c r="A707" s="455" t="s">
        <v>1603</v>
      </c>
      <c r="B707" s="456" t="s">
        <v>1164</v>
      </c>
      <c r="C707" s="456" t="s">
        <v>463</v>
      </c>
      <c r="D707" s="456" t="s">
        <v>867</v>
      </c>
      <c r="E707" s="456" t="s">
        <v>460</v>
      </c>
      <c r="F707" s="457">
        <v>11409658</v>
      </c>
      <c r="G707" s="457">
        <v>11409631</v>
      </c>
    </row>
    <row r="708" spans="1:7" ht="22.5">
      <c r="A708" s="455" t="s">
        <v>1617</v>
      </c>
      <c r="B708" s="456" t="s">
        <v>1164</v>
      </c>
      <c r="C708" s="456" t="s">
        <v>463</v>
      </c>
      <c r="D708" s="456" t="s">
        <v>867</v>
      </c>
      <c r="E708" s="456" t="s">
        <v>509</v>
      </c>
      <c r="F708" s="457">
        <v>6450</v>
      </c>
      <c r="G708" s="457">
        <v>6450</v>
      </c>
    </row>
    <row r="709" spans="1:7" ht="33.75">
      <c r="A709" s="455" t="s">
        <v>1604</v>
      </c>
      <c r="B709" s="456" t="s">
        <v>1164</v>
      </c>
      <c r="C709" s="456" t="s">
        <v>463</v>
      </c>
      <c r="D709" s="456" t="s">
        <v>867</v>
      </c>
      <c r="E709" s="456" t="s">
        <v>1290</v>
      </c>
      <c r="F709" s="457">
        <v>3445716</v>
      </c>
      <c r="G709" s="457">
        <v>3445716</v>
      </c>
    </row>
    <row r="710" spans="1:7" ht="22.5">
      <c r="A710" s="455" t="s">
        <v>445</v>
      </c>
      <c r="B710" s="456" t="s">
        <v>1164</v>
      </c>
      <c r="C710" s="456" t="s">
        <v>463</v>
      </c>
      <c r="D710" s="456" t="s">
        <v>867</v>
      </c>
      <c r="E710" s="456" t="s">
        <v>446</v>
      </c>
      <c r="F710" s="457">
        <v>1756539.24</v>
      </c>
      <c r="G710" s="457">
        <v>1462227.33</v>
      </c>
    </row>
    <row r="711" spans="1:7">
      <c r="A711" s="455" t="s">
        <v>1168</v>
      </c>
      <c r="B711" s="456" t="s">
        <v>1164</v>
      </c>
      <c r="C711" s="456" t="s">
        <v>463</v>
      </c>
      <c r="D711" s="456" t="s">
        <v>867</v>
      </c>
      <c r="E711" s="456" t="s">
        <v>626</v>
      </c>
      <c r="F711" s="457">
        <v>49050</v>
      </c>
      <c r="G711" s="457">
        <v>22046</v>
      </c>
    </row>
    <row r="712" spans="1:7">
      <c r="A712" s="455" t="s">
        <v>1293</v>
      </c>
      <c r="B712" s="456" t="s">
        <v>1164</v>
      </c>
      <c r="C712" s="456" t="s">
        <v>463</v>
      </c>
      <c r="D712" s="456" t="s">
        <v>867</v>
      </c>
      <c r="E712" s="456" t="s">
        <v>1294</v>
      </c>
      <c r="F712" s="457">
        <v>4500</v>
      </c>
      <c r="G712" s="457">
        <v>3760.8</v>
      </c>
    </row>
    <row r="713" spans="1:7" ht="67.5">
      <c r="A713" s="458" t="s">
        <v>2709</v>
      </c>
      <c r="B713" s="453" t="s">
        <v>1164</v>
      </c>
      <c r="C713" s="453" t="s">
        <v>463</v>
      </c>
      <c r="D713" s="453" t="s">
        <v>873</v>
      </c>
      <c r="E713" s="453"/>
      <c r="F713" s="454">
        <v>3232840</v>
      </c>
      <c r="G713" s="454">
        <v>2466424.85</v>
      </c>
    </row>
    <row r="714" spans="1:7">
      <c r="A714" s="455" t="s">
        <v>1603</v>
      </c>
      <c r="B714" s="456" t="s">
        <v>1164</v>
      </c>
      <c r="C714" s="456" t="s">
        <v>463</v>
      </c>
      <c r="D714" s="456" t="s">
        <v>873</v>
      </c>
      <c r="E714" s="456" t="s">
        <v>460</v>
      </c>
      <c r="F714" s="457">
        <v>1787140</v>
      </c>
      <c r="G714" s="457">
        <v>1236686.6100000001</v>
      </c>
    </row>
    <row r="715" spans="1:7" ht="22.5">
      <c r="A715" s="455" t="s">
        <v>1617</v>
      </c>
      <c r="B715" s="456" t="s">
        <v>1164</v>
      </c>
      <c r="C715" s="456" t="s">
        <v>463</v>
      </c>
      <c r="D715" s="456" t="s">
        <v>873</v>
      </c>
      <c r="E715" s="456" t="s">
        <v>509</v>
      </c>
      <c r="F715" s="457">
        <v>2935.88</v>
      </c>
      <c r="G715" s="457">
        <v>2935.88</v>
      </c>
    </row>
    <row r="716" spans="1:7" ht="33.75">
      <c r="A716" s="455" t="s">
        <v>1604</v>
      </c>
      <c r="B716" s="456" t="s">
        <v>1164</v>
      </c>
      <c r="C716" s="456" t="s">
        <v>463</v>
      </c>
      <c r="D716" s="456" t="s">
        <v>873</v>
      </c>
      <c r="E716" s="456" t="s">
        <v>1290</v>
      </c>
      <c r="F716" s="457">
        <v>539710</v>
      </c>
      <c r="G716" s="457">
        <v>447225.87</v>
      </c>
    </row>
    <row r="717" spans="1:7" ht="22.5">
      <c r="A717" s="455" t="s">
        <v>445</v>
      </c>
      <c r="B717" s="456" t="s">
        <v>1164</v>
      </c>
      <c r="C717" s="456" t="s">
        <v>463</v>
      </c>
      <c r="D717" s="456" t="s">
        <v>873</v>
      </c>
      <c r="E717" s="456" t="s">
        <v>446</v>
      </c>
      <c r="F717" s="457">
        <v>794364.12</v>
      </c>
      <c r="G717" s="457">
        <v>676052.87</v>
      </c>
    </row>
    <row r="718" spans="1:7">
      <c r="A718" s="455" t="s">
        <v>1168</v>
      </c>
      <c r="B718" s="456" t="s">
        <v>1164</v>
      </c>
      <c r="C718" s="456" t="s">
        <v>463</v>
      </c>
      <c r="D718" s="456" t="s">
        <v>873</v>
      </c>
      <c r="E718" s="456" t="s">
        <v>626</v>
      </c>
      <c r="F718" s="457">
        <v>105000</v>
      </c>
      <c r="G718" s="457">
        <v>102049</v>
      </c>
    </row>
    <row r="719" spans="1:7">
      <c r="A719" s="455" t="s">
        <v>1293</v>
      </c>
      <c r="B719" s="456" t="s">
        <v>1164</v>
      </c>
      <c r="C719" s="456" t="s">
        <v>463</v>
      </c>
      <c r="D719" s="456" t="s">
        <v>873</v>
      </c>
      <c r="E719" s="456" t="s">
        <v>1294</v>
      </c>
      <c r="F719" s="457">
        <v>3690</v>
      </c>
      <c r="G719" s="457">
        <v>1474.62</v>
      </c>
    </row>
    <row r="720" spans="1:7" ht="67.5">
      <c r="A720" s="458" t="s">
        <v>2710</v>
      </c>
      <c r="B720" s="453" t="s">
        <v>1164</v>
      </c>
      <c r="C720" s="453" t="s">
        <v>463</v>
      </c>
      <c r="D720" s="453" t="s">
        <v>1907</v>
      </c>
      <c r="E720" s="453"/>
      <c r="F720" s="454">
        <v>108008.9</v>
      </c>
      <c r="G720" s="454">
        <v>108008.9</v>
      </c>
    </row>
    <row r="721" spans="1:7" ht="22.5">
      <c r="A721" s="455" t="s">
        <v>1617</v>
      </c>
      <c r="B721" s="456" t="s">
        <v>1164</v>
      </c>
      <c r="C721" s="456" t="s">
        <v>463</v>
      </c>
      <c r="D721" s="456" t="s">
        <v>1907</v>
      </c>
      <c r="E721" s="456" t="s">
        <v>509</v>
      </c>
      <c r="F721" s="457">
        <v>108008.9</v>
      </c>
      <c r="G721" s="457">
        <v>108008.9</v>
      </c>
    </row>
    <row r="722" spans="1:7" ht="67.5">
      <c r="A722" s="458" t="s">
        <v>2711</v>
      </c>
      <c r="B722" s="453" t="s">
        <v>1164</v>
      </c>
      <c r="C722" s="453" t="s">
        <v>463</v>
      </c>
      <c r="D722" s="453" t="s">
        <v>869</v>
      </c>
      <c r="E722" s="453"/>
      <c r="F722" s="454">
        <v>1613287.86</v>
      </c>
      <c r="G722" s="454">
        <v>1362715.69</v>
      </c>
    </row>
    <row r="723" spans="1:7" ht="22.5">
      <c r="A723" s="455" t="s">
        <v>445</v>
      </c>
      <c r="B723" s="456" t="s">
        <v>1164</v>
      </c>
      <c r="C723" s="456" t="s">
        <v>463</v>
      </c>
      <c r="D723" s="456" t="s">
        <v>869</v>
      </c>
      <c r="E723" s="456" t="s">
        <v>446</v>
      </c>
      <c r="F723" s="457">
        <v>1613287.86</v>
      </c>
      <c r="G723" s="457">
        <v>1362715.69</v>
      </c>
    </row>
    <row r="724" spans="1:7" ht="67.5">
      <c r="A724" s="458" t="s">
        <v>2712</v>
      </c>
      <c r="B724" s="453" t="s">
        <v>1164</v>
      </c>
      <c r="C724" s="453" t="s">
        <v>463</v>
      </c>
      <c r="D724" s="453" t="s">
        <v>875</v>
      </c>
      <c r="E724" s="453"/>
      <c r="F724" s="454">
        <v>554660</v>
      </c>
      <c r="G724" s="454">
        <v>216685.15</v>
      </c>
    </row>
    <row r="725" spans="1:7" ht="22.5">
      <c r="A725" s="455" t="s">
        <v>445</v>
      </c>
      <c r="B725" s="456" t="s">
        <v>1164</v>
      </c>
      <c r="C725" s="456" t="s">
        <v>463</v>
      </c>
      <c r="D725" s="456" t="s">
        <v>875</v>
      </c>
      <c r="E725" s="456" t="s">
        <v>446</v>
      </c>
      <c r="F725" s="457">
        <v>554660</v>
      </c>
      <c r="G725" s="457">
        <v>216685.15</v>
      </c>
    </row>
    <row r="726" spans="1:7" ht="67.5">
      <c r="A726" s="458" t="s">
        <v>2713</v>
      </c>
      <c r="B726" s="453" t="s">
        <v>1164</v>
      </c>
      <c r="C726" s="453" t="s">
        <v>463</v>
      </c>
      <c r="D726" s="453" t="s">
        <v>1194</v>
      </c>
      <c r="E726" s="453"/>
      <c r="F726" s="454">
        <v>460167</v>
      </c>
      <c r="G726" s="454">
        <v>398525.78</v>
      </c>
    </row>
    <row r="727" spans="1:7" ht="22.5">
      <c r="A727" s="455" t="s">
        <v>445</v>
      </c>
      <c r="B727" s="456" t="s">
        <v>1164</v>
      </c>
      <c r="C727" s="456" t="s">
        <v>463</v>
      </c>
      <c r="D727" s="456" t="s">
        <v>1194</v>
      </c>
      <c r="E727" s="456" t="s">
        <v>446</v>
      </c>
      <c r="F727" s="457">
        <v>460167</v>
      </c>
      <c r="G727" s="457">
        <v>398525.78</v>
      </c>
    </row>
    <row r="728" spans="1:7">
      <c r="A728" s="452" t="s">
        <v>287</v>
      </c>
      <c r="B728" s="453" t="s">
        <v>1164</v>
      </c>
      <c r="C728" s="453" t="s">
        <v>1607</v>
      </c>
      <c r="D728" s="453"/>
      <c r="E728" s="453"/>
      <c r="F728" s="454">
        <v>1528399</v>
      </c>
      <c r="G728" s="454">
        <v>1317684.78</v>
      </c>
    </row>
    <row r="729" spans="1:7">
      <c r="A729" s="452" t="s">
        <v>181</v>
      </c>
      <c r="B729" s="453" t="s">
        <v>1164</v>
      </c>
      <c r="C729" s="453" t="s">
        <v>482</v>
      </c>
      <c r="D729" s="453"/>
      <c r="E729" s="453"/>
      <c r="F729" s="454">
        <v>1528399</v>
      </c>
      <c r="G729" s="454">
        <v>1317684.78</v>
      </c>
    </row>
    <row r="730" spans="1:7" ht="67.5">
      <c r="A730" s="458" t="s">
        <v>2603</v>
      </c>
      <c r="B730" s="453" t="s">
        <v>1164</v>
      </c>
      <c r="C730" s="453" t="s">
        <v>482</v>
      </c>
      <c r="D730" s="453" t="s">
        <v>888</v>
      </c>
      <c r="E730" s="453"/>
      <c r="F730" s="454">
        <v>1528399</v>
      </c>
      <c r="G730" s="454">
        <v>1317684.78</v>
      </c>
    </row>
    <row r="731" spans="1:7">
      <c r="A731" s="455" t="s">
        <v>1603</v>
      </c>
      <c r="B731" s="456" t="s">
        <v>1164</v>
      </c>
      <c r="C731" s="456" t="s">
        <v>482</v>
      </c>
      <c r="D731" s="456" t="s">
        <v>888</v>
      </c>
      <c r="E731" s="456" t="s">
        <v>460</v>
      </c>
      <c r="F731" s="457">
        <v>800853.58</v>
      </c>
      <c r="G731" s="457">
        <v>653512.30000000005</v>
      </c>
    </row>
    <row r="732" spans="1:7" ht="33.75">
      <c r="A732" s="455" t="s">
        <v>1604</v>
      </c>
      <c r="B732" s="456" t="s">
        <v>1164</v>
      </c>
      <c r="C732" s="456" t="s">
        <v>482</v>
      </c>
      <c r="D732" s="456" t="s">
        <v>888</v>
      </c>
      <c r="E732" s="456" t="s">
        <v>1290</v>
      </c>
      <c r="F732" s="457">
        <v>241124.55</v>
      </c>
      <c r="G732" s="457">
        <v>178286.61</v>
      </c>
    </row>
    <row r="733" spans="1:7" ht="22.5">
      <c r="A733" s="455" t="s">
        <v>445</v>
      </c>
      <c r="B733" s="456" t="s">
        <v>1164</v>
      </c>
      <c r="C733" s="456" t="s">
        <v>482</v>
      </c>
      <c r="D733" s="456" t="s">
        <v>888</v>
      </c>
      <c r="E733" s="456" t="s">
        <v>446</v>
      </c>
      <c r="F733" s="457">
        <v>443168.5</v>
      </c>
      <c r="G733" s="457">
        <v>442633.5</v>
      </c>
    </row>
    <row r="734" spans="1:7">
      <c r="A734" s="455" t="s">
        <v>1168</v>
      </c>
      <c r="B734" s="456" t="s">
        <v>1164</v>
      </c>
      <c r="C734" s="456" t="s">
        <v>482</v>
      </c>
      <c r="D734" s="456" t="s">
        <v>888</v>
      </c>
      <c r="E734" s="456" t="s">
        <v>626</v>
      </c>
      <c r="F734" s="457">
        <v>43123</v>
      </c>
      <c r="G734" s="457">
        <v>43123</v>
      </c>
    </row>
    <row r="735" spans="1:7">
      <c r="A735" s="455" t="s">
        <v>1293</v>
      </c>
      <c r="B735" s="456" t="s">
        <v>1164</v>
      </c>
      <c r="C735" s="456" t="s">
        <v>482</v>
      </c>
      <c r="D735" s="456" t="s">
        <v>888</v>
      </c>
      <c r="E735" s="456" t="s">
        <v>1294</v>
      </c>
      <c r="F735" s="457">
        <v>129.37</v>
      </c>
      <c r="G735" s="457">
        <v>129.37</v>
      </c>
    </row>
    <row r="736" spans="1:7" ht="22.5">
      <c r="A736" s="452" t="s">
        <v>43</v>
      </c>
      <c r="B736" s="453" t="s">
        <v>253</v>
      </c>
      <c r="C736" s="453"/>
      <c r="D736" s="453"/>
      <c r="E736" s="453"/>
      <c r="F736" s="454">
        <v>176534682.03999999</v>
      </c>
      <c r="G736" s="454">
        <v>172254395.38999999</v>
      </c>
    </row>
    <row r="737" spans="1:7">
      <c r="A737" s="452" t="s">
        <v>282</v>
      </c>
      <c r="B737" s="453" t="s">
        <v>253</v>
      </c>
      <c r="C737" s="453" t="s">
        <v>1598</v>
      </c>
      <c r="D737" s="453"/>
      <c r="E737" s="453"/>
      <c r="F737" s="454">
        <v>13656275.630000001</v>
      </c>
      <c r="G737" s="454">
        <v>12907631.51</v>
      </c>
    </row>
    <row r="738" spans="1:7" ht="33.75">
      <c r="A738" s="452" t="s">
        <v>264</v>
      </c>
      <c r="B738" s="453" t="s">
        <v>253</v>
      </c>
      <c r="C738" s="453" t="s">
        <v>448</v>
      </c>
      <c r="D738" s="453"/>
      <c r="E738" s="453"/>
      <c r="F738" s="454">
        <v>12691028.550000001</v>
      </c>
      <c r="G738" s="454">
        <v>12691028.550000001</v>
      </c>
    </row>
    <row r="739" spans="1:7" ht="56.25">
      <c r="A739" s="452" t="s">
        <v>545</v>
      </c>
      <c r="B739" s="453" t="s">
        <v>253</v>
      </c>
      <c r="C739" s="453" t="s">
        <v>448</v>
      </c>
      <c r="D739" s="453" t="s">
        <v>997</v>
      </c>
      <c r="E739" s="453"/>
      <c r="F739" s="454">
        <v>9555823.7400000002</v>
      </c>
      <c r="G739" s="454">
        <v>9555823.7400000002</v>
      </c>
    </row>
    <row r="740" spans="1:7" ht="22.5">
      <c r="A740" s="455" t="s">
        <v>1165</v>
      </c>
      <c r="B740" s="456" t="s">
        <v>253</v>
      </c>
      <c r="C740" s="456" t="s">
        <v>448</v>
      </c>
      <c r="D740" s="456" t="s">
        <v>997</v>
      </c>
      <c r="E740" s="456" t="s">
        <v>440</v>
      </c>
      <c r="F740" s="457">
        <v>6034386.9000000004</v>
      </c>
      <c r="G740" s="457">
        <v>6034386.9000000004</v>
      </c>
    </row>
    <row r="741" spans="1:7" ht="22.5">
      <c r="A741" s="455" t="s">
        <v>441</v>
      </c>
      <c r="B741" s="456" t="s">
        <v>253</v>
      </c>
      <c r="C741" s="456" t="s">
        <v>448</v>
      </c>
      <c r="D741" s="456" t="s">
        <v>997</v>
      </c>
      <c r="E741" s="456" t="s">
        <v>442</v>
      </c>
      <c r="F741" s="457">
        <v>57113.06</v>
      </c>
      <c r="G741" s="457">
        <v>57113.06</v>
      </c>
    </row>
    <row r="742" spans="1:7" ht="33.75">
      <c r="A742" s="455" t="s">
        <v>1288</v>
      </c>
      <c r="B742" s="456" t="s">
        <v>253</v>
      </c>
      <c r="C742" s="456" t="s">
        <v>448</v>
      </c>
      <c r="D742" s="456" t="s">
        <v>997</v>
      </c>
      <c r="E742" s="456" t="s">
        <v>1289</v>
      </c>
      <c r="F742" s="457">
        <v>1832394.21</v>
      </c>
      <c r="G742" s="457">
        <v>1832394.21</v>
      </c>
    </row>
    <row r="743" spans="1:7" ht="22.5">
      <c r="A743" s="455" t="s">
        <v>445</v>
      </c>
      <c r="B743" s="456" t="s">
        <v>253</v>
      </c>
      <c r="C743" s="456" t="s">
        <v>448</v>
      </c>
      <c r="D743" s="456" t="s">
        <v>997</v>
      </c>
      <c r="E743" s="456" t="s">
        <v>446</v>
      </c>
      <c r="F743" s="457">
        <v>1623921.85</v>
      </c>
      <c r="G743" s="457">
        <v>1623921.85</v>
      </c>
    </row>
    <row r="744" spans="1:7">
      <c r="A744" s="455" t="s">
        <v>1168</v>
      </c>
      <c r="B744" s="456" t="s">
        <v>253</v>
      </c>
      <c r="C744" s="456" t="s">
        <v>448</v>
      </c>
      <c r="D744" s="456" t="s">
        <v>997</v>
      </c>
      <c r="E744" s="456" t="s">
        <v>626</v>
      </c>
      <c r="F744" s="457">
        <v>8007.72</v>
      </c>
      <c r="G744" s="457">
        <v>8007.72</v>
      </c>
    </row>
    <row r="745" spans="1:7" ht="67.5">
      <c r="A745" s="458" t="s">
        <v>2714</v>
      </c>
      <c r="B745" s="453" t="s">
        <v>253</v>
      </c>
      <c r="C745" s="453" t="s">
        <v>448</v>
      </c>
      <c r="D745" s="453" t="s">
        <v>998</v>
      </c>
      <c r="E745" s="453"/>
      <c r="F745" s="454">
        <v>474210.54</v>
      </c>
      <c r="G745" s="454">
        <v>474210.54</v>
      </c>
    </row>
    <row r="746" spans="1:7" ht="22.5">
      <c r="A746" s="455" t="s">
        <v>1165</v>
      </c>
      <c r="B746" s="456" t="s">
        <v>253</v>
      </c>
      <c r="C746" s="456" t="s">
        <v>448</v>
      </c>
      <c r="D746" s="456" t="s">
        <v>998</v>
      </c>
      <c r="E746" s="456" t="s">
        <v>440</v>
      </c>
      <c r="F746" s="457">
        <v>365144.12</v>
      </c>
      <c r="G746" s="457">
        <v>365144.12</v>
      </c>
    </row>
    <row r="747" spans="1:7" ht="33.75">
      <c r="A747" s="455" t="s">
        <v>1288</v>
      </c>
      <c r="B747" s="456" t="s">
        <v>253</v>
      </c>
      <c r="C747" s="456" t="s">
        <v>448</v>
      </c>
      <c r="D747" s="456" t="s">
        <v>998</v>
      </c>
      <c r="E747" s="456" t="s">
        <v>1289</v>
      </c>
      <c r="F747" s="457">
        <v>109066.42</v>
      </c>
      <c r="G747" s="457">
        <v>109066.42</v>
      </c>
    </row>
    <row r="748" spans="1:7" ht="67.5">
      <c r="A748" s="458" t="s">
        <v>2715</v>
      </c>
      <c r="B748" s="453" t="s">
        <v>253</v>
      </c>
      <c r="C748" s="453" t="s">
        <v>448</v>
      </c>
      <c r="D748" s="453" t="s">
        <v>999</v>
      </c>
      <c r="E748" s="453"/>
      <c r="F748" s="454">
        <v>191034.12</v>
      </c>
      <c r="G748" s="454">
        <v>191034.12</v>
      </c>
    </row>
    <row r="749" spans="1:7" ht="22.5">
      <c r="A749" s="455" t="s">
        <v>441</v>
      </c>
      <c r="B749" s="456" t="s">
        <v>253</v>
      </c>
      <c r="C749" s="456" t="s">
        <v>448</v>
      </c>
      <c r="D749" s="456" t="s">
        <v>999</v>
      </c>
      <c r="E749" s="456" t="s">
        <v>442</v>
      </c>
      <c r="F749" s="457">
        <v>191034.12</v>
      </c>
      <c r="G749" s="457">
        <v>191034.12</v>
      </c>
    </row>
    <row r="750" spans="1:7" ht="67.5">
      <c r="A750" s="458" t="s">
        <v>2716</v>
      </c>
      <c r="B750" s="453" t="s">
        <v>253</v>
      </c>
      <c r="C750" s="453" t="s">
        <v>448</v>
      </c>
      <c r="D750" s="453" t="s">
        <v>1143</v>
      </c>
      <c r="E750" s="453"/>
      <c r="F750" s="454">
        <v>1393060.12</v>
      </c>
      <c r="G750" s="454">
        <v>1393060.12</v>
      </c>
    </row>
    <row r="751" spans="1:7" ht="22.5">
      <c r="A751" s="455" t="s">
        <v>1165</v>
      </c>
      <c r="B751" s="456" t="s">
        <v>253</v>
      </c>
      <c r="C751" s="456" t="s">
        <v>448</v>
      </c>
      <c r="D751" s="456" t="s">
        <v>1143</v>
      </c>
      <c r="E751" s="456" t="s">
        <v>440</v>
      </c>
      <c r="F751" s="457">
        <v>1069011.53</v>
      </c>
      <c r="G751" s="457">
        <v>1069011.53</v>
      </c>
    </row>
    <row r="752" spans="1:7" ht="33.75">
      <c r="A752" s="455" t="s">
        <v>1288</v>
      </c>
      <c r="B752" s="456" t="s">
        <v>253</v>
      </c>
      <c r="C752" s="456" t="s">
        <v>448</v>
      </c>
      <c r="D752" s="456" t="s">
        <v>1143</v>
      </c>
      <c r="E752" s="456" t="s">
        <v>1289</v>
      </c>
      <c r="F752" s="457">
        <v>324048.59000000003</v>
      </c>
      <c r="G752" s="457">
        <v>324048.59000000003</v>
      </c>
    </row>
    <row r="753" spans="1:7" ht="45">
      <c r="A753" s="452" t="s">
        <v>751</v>
      </c>
      <c r="B753" s="453" t="s">
        <v>253</v>
      </c>
      <c r="C753" s="453" t="s">
        <v>448</v>
      </c>
      <c r="D753" s="453" t="s">
        <v>1000</v>
      </c>
      <c r="E753" s="453"/>
      <c r="F753" s="454">
        <v>369477.32</v>
      </c>
      <c r="G753" s="454">
        <v>369477.32</v>
      </c>
    </row>
    <row r="754" spans="1:7" ht="22.5">
      <c r="A754" s="455" t="s">
        <v>445</v>
      </c>
      <c r="B754" s="456" t="s">
        <v>253</v>
      </c>
      <c r="C754" s="456" t="s">
        <v>448</v>
      </c>
      <c r="D754" s="456" t="s">
        <v>1000</v>
      </c>
      <c r="E754" s="456" t="s">
        <v>446</v>
      </c>
      <c r="F754" s="457">
        <v>369477.32</v>
      </c>
      <c r="G754" s="457">
        <v>369477.32</v>
      </c>
    </row>
    <row r="755" spans="1:7" ht="45">
      <c r="A755" s="452" t="s">
        <v>1771</v>
      </c>
      <c r="B755" s="453" t="s">
        <v>253</v>
      </c>
      <c r="C755" s="453" t="s">
        <v>448</v>
      </c>
      <c r="D755" s="453" t="s">
        <v>1772</v>
      </c>
      <c r="E755" s="453"/>
      <c r="F755" s="454">
        <v>136750</v>
      </c>
      <c r="G755" s="454">
        <v>136750</v>
      </c>
    </row>
    <row r="756" spans="1:7" ht="22.5">
      <c r="A756" s="455" t="s">
        <v>445</v>
      </c>
      <c r="B756" s="456" t="s">
        <v>253</v>
      </c>
      <c r="C756" s="456" t="s">
        <v>448</v>
      </c>
      <c r="D756" s="456" t="s">
        <v>1772</v>
      </c>
      <c r="E756" s="456" t="s">
        <v>446</v>
      </c>
      <c r="F756" s="457">
        <v>136750</v>
      </c>
      <c r="G756" s="457">
        <v>136750</v>
      </c>
    </row>
    <row r="757" spans="1:7" ht="45">
      <c r="A757" s="452" t="s">
        <v>1195</v>
      </c>
      <c r="B757" s="453" t="s">
        <v>253</v>
      </c>
      <c r="C757" s="453" t="s">
        <v>448</v>
      </c>
      <c r="D757" s="453" t="s">
        <v>1196</v>
      </c>
      <c r="E757" s="453"/>
      <c r="F757" s="454">
        <v>157211.71</v>
      </c>
      <c r="G757" s="454">
        <v>157211.71</v>
      </c>
    </row>
    <row r="758" spans="1:7" ht="22.5">
      <c r="A758" s="455" t="s">
        <v>445</v>
      </c>
      <c r="B758" s="456" t="s">
        <v>253</v>
      </c>
      <c r="C758" s="456" t="s">
        <v>448</v>
      </c>
      <c r="D758" s="456" t="s">
        <v>1196</v>
      </c>
      <c r="E758" s="456" t="s">
        <v>446</v>
      </c>
      <c r="F758" s="457">
        <v>157211.71</v>
      </c>
      <c r="G758" s="457">
        <v>157211.71</v>
      </c>
    </row>
    <row r="759" spans="1:7" ht="67.5">
      <c r="A759" s="458" t="s">
        <v>2717</v>
      </c>
      <c r="B759" s="453" t="s">
        <v>253</v>
      </c>
      <c r="C759" s="453" t="s">
        <v>448</v>
      </c>
      <c r="D759" s="453" t="s">
        <v>2013</v>
      </c>
      <c r="E759" s="453"/>
      <c r="F759" s="454">
        <v>13020</v>
      </c>
      <c r="G759" s="454">
        <v>13020</v>
      </c>
    </row>
    <row r="760" spans="1:7" ht="22.5">
      <c r="A760" s="455" t="s">
        <v>1165</v>
      </c>
      <c r="B760" s="456" t="s">
        <v>253</v>
      </c>
      <c r="C760" s="456" t="s">
        <v>448</v>
      </c>
      <c r="D760" s="456" t="s">
        <v>2013</v>
      </c>
      <c r="E760" s="456" t="s">
        <v>440</v>
      </c>
      <c r="F760" s="457">
        <v>10000</v>
      </c>
      <c r="G760" s="457">
        <v>10000</v>
      </c>
    </row>
    <row r="761" spans="1:7" ht="33.75">
      <c r="A761" s="455" t="s">
        <v>1288</v>
      </c>
      <c r="B761" s="456" t="s">
        <v>253</v>
      </c>
      <c r="C761" s="456" t="s">
        <v>448</v>
      </c>
      <c r="D761" s="456" t="s">
        <v>2013</v>
      </c>
      <c r="E761" s="456" t="s">
        <v>1289</v>
      </c>
      <c r="F761" s="457">
        <v>3020</v>
      </c>
      <c r="G761" s="457">
        <v>3020</v>
      </c>
    </row>
    <row r="762" spans="1:7" ht="56.25">
      <c r="A762" s="452" t="s">
        <v>665</v>
      </c>
      <c r="B762" s="453" t="s">
        <v>253</v>
      </c>
      <c r="C762" s="453" t="s">
        <v>448</v>
      </c>
      <c r="D762" s="453" t="s">
        <v>1001</v>
      </c>
      <c r="E762" s="453"/>
      <c r="F762" s="454">
        <v>400441</v>
      </c>
      <c r="G762" s="454">
        <v>400441</v>
      </c>
    </row>
    <row r="763" spans="1:7" ht="22.5">
      <c r="A763" s="455" t="s">
        <v>1165</v>
      </c>
      <c r="B763" s="456" t="s">
        <v>253</v>
      </c>
      <c r="C763" s="456" t="s">
        <v>448</v>
      </c>
      <c r="D763" s="456" t="s">
        <v>1001</v>
      </c>
      <c r="E763" s="456" t="s">
        <v>440</v>
      </c>
      <c r="F763" s="457">
        <v>295308</v>
      </c>
      <c r="G763" s="457">
        <v>295308</v>
      </c>
    </row>
    <row r="764" spans="1:7" ht="22.5">
      <c r="A764" s="455" t="s">
        <v>441</v>
      </c>
      <c r="B764" s="456" t="s">
        <v>253</v>
      </c>
      <c r="C764" s="456" t="s">
        <v>448</v>
      </c>
      <c r="D764" s="456" t="s">
        <v>1001</v>
      </c>
      <c r="E764" s="456" t="s">
        <v>442</v>
      </c>
      <c r="F764" s="457">
        <v>7450</v>
      </c>
      <c r="G764" s="457">
        <v>7450</v>
      </c>
    </row>
    <row r="765" spans="1:7" ht="33.75">
      <c r="A765" s="455" t="s">
        <v>1288</v>
      </c>
      <c r="B765" s="456" t="s">
        <v>253</v>
      </c>
      <c r="C765" s="456" t="s">
        <v>448</v>
      </c>
      <c r="D765" s="456" t="s">
        <v>1001</v>
      </c>
      <c r="E765" s="456" t="s">
        <v>1289</v>
      </c>
      <c r="F765" s="457">
        <v>89183</v>
      </c>
      <c r="G765" s="457">
        <v>89183</v>
      </c>
    </row>
    <row r="766" spans="1:7" ht="22.5">
      <c r="A766" s="455" t="s">
        <v>445</v>
      </c>
      <c r="B766" s="456" t="s">
        <v>253</v>
      </c>
      <c r="C766" s="456" t="s">
        <v>448</v>
      </c>
      <c r="D766" s="456" t="s">
        <v>1001</v>
      </c>
      <c r="E766" s="456" t="s">
        <v>446</v>
      </c>
      <c r="F766" s="457">
        <v>8500</v>
      </c>
      <c r="G766" s="457">
        <v>8500</v>
      </c>
    </row>
    <row r="767" spans="1:7">
      <c r="A767" s="452" t="s">
        <v>69</v>
      </c>
      <c r="B767" s="453" t="s">
        <v>253</v>
      </c>
      <c r="C767" s="453" t="s">
        <v>546</v>
      </c>
      <c r="D767" s="453"/>
      <c r="E767" s="453"/>
      <c r="F767" s="454">
        <v>679646</v>
      </c>
      <c r="G767" s="454">
        <v>0</v>
      </c>
    </row>
    <row r="768" spans="1:7" ht="33.75">
      <c r="A768" s="452" t="s">
        <v>547</v>
      </c>
      <c r="B768" s="453" t="s">
        <v>253</v>
      </c>
      <c r="C768" s="453" t="s">
        <v>546</v>
      </c>
      <c r="D768" s="453" t="s">
        <v>1002</v>
      </c>
      <c r="E768" s="453"/>
      <c r="F768" s="454">
        <v>679646</v>
      </c>
      <c r="G768" s="454">
        <v>0</v>
      </c>
    </row>
    <row r="769" spans="1:7">
      <c r="A769" s="455" t="s">
        <v>548</v>
      </c>
      <c r="B769" s="456" t="s">
        <v>253</v>
      </c>
      <c r="C769" s="456" t="s">
        <v>546</v>
      </c>
      <c r="D769" s="456" t="s">
        <v>1002</v>
      </c>
      <c r="E769" s="456" t="s">
        <v>549</v>
      </c>
      <c r="F769" s="457">
        <v>679646</v>
      </c>
      <c r="G769" s="457">
        <v>0</v>
      </c>
    </row>
    <row r="770" spans="1:7">
      <c r="A770" s="452" t="s">
        <v>265</v>
      </c>
      <c r="B770" s="453" t="s">
        <v>253</v>
      </c>
      <c r="C770" s="453" t="s">
        <v>454</v>
      </c>
      <c r="D770" s="453"/>
      <c r="E770" s="453"/>
      <c r="F770" s="454">
        <v>285601.08</v>
      </c>
      <c r="G770" s="454">
        <v>216602.96</v>
      </c>
    </row>
    <row r="771" spans="1:7" ht="67.5">
      <c r="A771" s="458" t="s">
        <v>2718</v>
      </c>
      <c r="B771" s="453" t="s">
        <v>253</v>
      </c>
      <c r="C771" s="453" t="s">
        <v>454</v>
      </c>
      <c r="D771" s="453" t="s">
        <v>1003</v>
      </c>
      <c r="E771" s="453"/>
      <c r="F771" s="454">
        <v>178100</v>
      </c>
      <c r="G771" s="454">
        <v>178100</v>
      </c>
    </row>
    <row r="772" spans="1:7">
      <c r="A772" s="455" t="s">
        <v>554</v>
      </c>
      <c r="B772" s="456" t="s">
        <v>253</v>
      </c>
      <c r="C772" s="456" t="s">
        <v>454</v>
      </c>
      <c r="D772" s="456" t="s">
        <v>1003</v>
      </c>
      <c r="E772" s="456" t="s">
        <v>555</v>
      </c>
      <c r="F772" s="457">
        <v>178100</v>
      </c>
      <c r="G772" s="457">
        <v>178100</v>
      </c>
    </row>
    <row r="773" spans="1:7" ht="22.5">
      <c r="A773" s="452" t="s">
        <v>551</v>
      </c>
      <c r="B773" s="453" t="s">
        <v>253</v>
      </c>
      <c r="C773" s="453" t="s">
        <v>454</v>
      </c>
      <c r="D773" s="453" t="s">
        <v>1004</v>
      </c>
      <c r="E773" s="453"/>
      <c r="F773" s="454">
        <v>107501.08</v>
      </c>
      <c r="G773" s="454">
        <v>38502.959999999999</v>
      </c>
    </row>
    <row r="774" spans="1:7" ht="22.5">
      <c r="A774" s="455" t="s">
        <v>1758</v>
      </c>
      <c r="B774" s="456" t="s">
        <v>253</v>
      </c>
      <c r="C774" s="456" t="s">
        <v>454</v>
      </c>
      <c r="D774" s="456" t="s">
        <v>1004</v>
      </c>
      <c r="E774" s="456" t="s">
        <v>552</v>
      </c>
      <c r="F774" s="457">
        <v>107501.08</v>
      </c>
      <c r="G774" s="457">
        <v>38502.959999999999</v>
      </c>
    </row>
    <row r="775" spans="1:7">
      <c r="A775" s="452" t="s">
        <v>232</v>
      </c>
      <c r="B775" s="453" t="s">
        <v>253</v>
      </c>
      <c r="C775" s="453" t="s">
        <v>1630</v>
      </c>
      <c r="D775" s="453"/>
      <c r="E775" s="453"/>
      <c r="F775" s="454">
        <v>4131005</v>
      </c>
      <c r="G775" s="454">
        <v>4076645.37</v>
      </c>
    </row>
    <row r="776" spans="1:7">
      <c r="A776" s="452" t="s">
        <v>233</v>
      </c>
      <c r="B776" s="453" t="s">
        <v>253</v>
      </c>
      <c r="C776" s="453" t="s">
        <v>553</v>
      </c>
      <c r="D776" s="453"/>
      <c r="E776" s="453"/>
      <c r="F776" s="454">
        <v>4131005</v>
      </c>
      <c r="G776" s="454">
        <v>4076645.37</v>
      </c>
    </row>
    <row r="777" spans="1:7" ht="67.5">
      <c r="A777" s="458" t="s">
        <v>2719</v>
      </c>
      <c r="B777" s="453" t="s">
        <v>253</v>
      </c>
      <c r="C777" s="453" t="s">
        <v>553</v>
      </c>
      <c r="D777" s="453" t="s">
        <v>1005</v>
      </c>
      <c r="E777" s="453"/>
      <c r="F777" s="454">
        <v>4131005</v>
      </c>
      <c r="G777" s="454">
        <v>4076645.37</v>
      </c>
    </row>
    <row r="778" spans="1:7">
      <c r="A778" s="455" t="s">
        <v>554</v>
      </c>
      <c r="B778" s="456" t="s">
        <v>253</v>
      </c>
      <c r="C778" s="456" t="s">
        <v>553</v>
      </c>
      <c r="D778" s="456" t="s">
        <v>1005</v>
      </c>
      <c r="E778" s="456" t="s">
        <v>555</v>
      </c>
      <c r="F778" s="457">
        <v>4131005</v>
      </c>
      <c r="G778" s="457">
        <v>4076645.37</v>
      </c>
    </row>
    <row r="779" spans="1:7" ht="22.5">
      <c r="A779" s="452" t="s">
        <v>286</v>
      </c>
      <c r="B779" s="453" t="s">
        <v>253</v>
      </c>
      <c r="C779" s="453" t="s">
        <v>1602</v>
      </c>
      <c r="D779" s="453"/>
      <c r="E779" s="453"/>
      <c r="F779" s="454">
        <v>1173571</v>
      </c>
      <c r="G779" s="454">
        <v>1173571</v>
      </c>
    </row>
    <row r="780" spans="1:7">
      <c r="A780" s="452" t="s">
        <v>133</v>
      </c>
      <c r="B780" s="453" t="s">
        <v>253</v>
      </c>
      <c r="C780" s="453" t="s">
        <v>463</v>
      </c>
      <c r="D780" s="453"/>
      <c r="E780" s="453"/>
      <c r="F780" s="454">
        <v>1173571</v>
      </c>
      <c r="G780" s="454">
        <v>1173571</v>
      </c>
    </row>
    <row r="781" spans="1:7" ht="67.5">
      <c r="A781" s="458" t="s">
        <v>2588</v>
      </c>
      <c r="B781" s="453" t="s">
        <v>253</v>
      </c>
      <c r="C781" s="453" t="s">
        <v>463</v>
      </c>
      <c r="D781" s="453" t="s">
        <v>1736</v>
      </c>
      <c r="E781" s="453"/>
      <c r="F781" s="454">
        <v>1173571</v>
      </c>
      <c r="G781" s="454">
        <v>1173571</v>
      </c>
    </row>
    <row r="782" spans="1:7">
      <c r="A782" s="455" t="s">
        <v>93</v>
      </c>
      <c r="B782" s="456" t="s">
        <v>253</v>
      </c>
      <c r="C782" s="456" t="s">
        <v>463</v>
      </c>
      <c r="D782" s="456" t="s">
        <v>1736</v>
      </c>
      <c r="E782" s="456" t="s">
        <v>550</v>
      </c>
      <c r="F782" s="457">
        <v>1173571</v>
      </c>
      <c r="G782" s="457">
        <v>1173571</v>
      </c>
    </row>
    <row r="783" spans="1:7">
      <c r="A783" s="452" t="s">
        <v>222</v>
      </c>
      <c r="B783" s="453" t="s">
        <v>253</v>
      </c>
      <c r="C783" s="453" t="s">
        <v>1605</v>
      </c>
      <c r="D783" s="453"/>
      <c r="E783" s="453"/>
      <c r="F783" s="454">
        <v>45659630</v>
      </c>
      <c r="G783" s="454">
        <v>45408466.649999999</v>
      </c>
    </row>
    <row r="784" spans="1:7">
      <c r="A784" s="452" t="s">
        <v>224</v>
      </c>
      <c r="B784" s="453" t="s">
        <v>253</v>
      </c>
      <c r="C784" s="453" t="s">
        <v>474</v>
      </c>
      <c r="D784" s="453"/>
      <c r="E784" s="453"/>
      <c r="F784" s="454">
        <v>10400000</v>
      </c>
      <c r="G784" s="454">
        <v>10400000</v>
      </c>
    </row>
    <row r="785" spans="1:7" ht="67.5">
      <c r="A785" s="452" t="s">
        <v>1006</v>
      </c>
      <c r="B785" s="453" t="s">
        <v>253</v>
      </c>
      <c r="C785" s="453" t="s">
        <v>474</v>
      </c>
      <c r="D785" s="453" t="s">
        <v>1007</v>
      </c>
      <c r="E785" s="453"/>
      <c r="F785" s="454">
        <v>10400000</v>
      </c>
      <c r="G785" s="454">
        <v>10400000</v>
      </c>
    </row>
    <row r="786" spans="1:7">
      <c r="A786" s="455" t="s">
        <v>93</v>
      </c>
      <c r="B786" s="456" t="s">
        <v>253</v>
      </c>
      <c r="C786" s="456" t="s">
        <v>474</v>
      </c>
      <c r="D786" s="456" t="s">
        <v>1007</v>
      </c>
      <c r="E786" s="456" t="s">
        <v>550</v>
      </c>
      <c r="F786" s="457">
        <v>10400000</v>
      </c>
      <c r="G786" s="457">
        <v>10400000</v>
      </c>
    </row>
    <row r="787" spans="1:7">
      <c r="A787" s="452" t="s">
        <v>303</v>
      </c>
      <c r="B787" s="453" t="s">
        <v>253</v>
      </c>
      <c r="C787" s="453" t="s">
        <v>476</v>
      </c>
      <c r="D787" s="453"/>
      <c r="E787" s="453"/>
      <c r="F787" s="454">
        <v>35259630</v>
      </c>
      <c r="G787" s="454">
        <v>35008466.649999999</v>
      </c>
    </row>
    <row r="788" spans="1:7" ht="67.5">
      <c r="A788" s="458" t="s">
        <v>2720</v>
      </c>
      <c r="B788" s="453" t="s">
        <v>253</v>
      </c>
      <c r="C788" s="453" t="s">
        <v>476</v>
      </c>
      <c r="D788" s="453" t="s">
        <v>1121</v>
      </c>
      <c r="E788" s="453"/>
      <c r="F788" s="454">
        <v>5912130</v>
      </c>
      <c r="G788" s="454">
        <v>5912130</v>
      </c>
    </row>
    <row r="789" spans="1:7">
      <c r="A789" s="455" t="s">
        <v>93</v>
      </c>
      <c r="B789" s="456" t="s">
        <v>253</v>
      </c>
      <c r="C789" s="456" t="s">
        <v>476</v>
      </c>
      <c r="D789" s="456" t="s">
        <v>1121</v>
      </c>
      <c r="E789" s="456" t="s">
        <v>550</v>
      </c>
      <c r="F789" s="457">
        <v>5912130</v>
      </c>
      <c r="G789" s="457">
        <v>5912130</v>
      </c>
    </row>
    <row r="790" spans="1:7" ht="67.5">
      <c r="A790" s="458" t="s">
        <v>2721</v>
      </c>
      <c r="B790" s="453" t="s">
        <v>253</v>
      </c>
      <c r="C790" s="453" t="s">
        <v>476</v>
      </c>
      <c r="D790" s="453" t="s">
        <v>1775</v>
      </c>
      <c r="E790" s="453"/>
      <c r="F790" s="454">
        <v>29068700</v>
      </c>
      <c r="G790" s="454">
        <v>28817536.649999999</v>
      </c>
    </row>
    <row r="791" spans="1:7">
      <c r="A791" s="455" t="s">
        <v>93</v>
      </c>
      <c r="B791" s="456" t="s">
        <v>253</v>
      </c>
      <c r="C791" s="456" t="s">
        <v>476</v>
      </c>
      <c r="D791" s="456" t="s">
        <v>1775</v>
      </c>
      <c r="E791" s="456" t="s">
        <v>550</v>
      </c>
      <c r="F791" s="457">
        <v>29068700</v>
      </c>
      <c r="G791" s="457">
        <v>28817536.649999999</v>
      </c>
    </row>
    <row r="792" spans="1:7" ht="67.5">
      <c r="A792" s="458" t="s">
        <v>2722</v>
      </c>
      <c r="B792" s="453" t="s">
        <v>253</v>
      </c>
      <c r="C792" s="453" t="s">
        <v>476</v>
      </c>
      <c r="D792" s="453" t="s">
        <v>1777</v>
      </c>
      <c r="E792" s="453"/>
      <c r="F792" s="454">
        <v>278800</v>
      </c>
      <c r="G792" s="454">
        <v>278800</v>
      </c>
    </row>
    <row r="793" spans="1:7">
      <c r="A793" s="455" t="s">
        <v>93</v>
      </c>
      <c r="B793" s="456" t="s">
        <v>253</v>
      </c>
      <c r="C793" s="456" t="s">
        <v>476</v>
      </c>
      <c r="D793" s="456" t="s">
        <v>1777</v>
      </c>
      <c r="E793" s="456" t="s">
        <v>550</v>
      </c>
      <c r="F793" s="457">
        <v>278800</v>
      </c>
      <c r="G793" s="457">
        <v>278800</v>
      </c>
    </row>
    <row r="794" spans="1:7">
      <c r="A794" s="452" t="s">
        <v>287</v>
      </c>
      <c r="B794" s="453" t="s">
        <v>253</v>
      </c>
      <c r="C794" s="453" t="s">
        <v>1607</v>
      </c>
      <c r="D794" s="453"/>
      <c r="E794" s="453"/>
      <c r="F794" s="454">
        <v>6200152.1200000001</v>
      </c>
      <c r="G794" s="454">
        <v>5850833.6600000001</v>
      </c>
    </row>
    <row r="795" spans="1:7">
      <c r="A795" s="452" t="s">
        <v>3</v>
      </c>
      <c r="B795" s="453" t="s">
        <v>253</v>
      </c>
      <c r="C795" s="453" t="s">
        <v>504</v>
      </c>
      <c r="D795" s="453"/>
      <c r="E795" s="453"/>
      <c r="F795" s="454">
        <v>2069412.12</v>
      </c>
      <c r="G795" s="454">
        <v>2069412.12</v>
      </c>
    </row>
    <row r="796" spans="1:7" ht="67.5">
      <c r="A796" s="458" t="s">
        <v>2723</v>
      </c>
      <c r="B796" s="453" t="s">
        <v>253</v>
      </c>
      <c r="C796" s="453" t="s">
        <v>504</v>
      </c>
      <c r="D796" s="453" t="s">
        <v>1779</v>
      </c>
      <c r="E796" s="453"/>
      <c r="F796" s="454">
        <v>1935165.09</v>
      </c>
      <c r="G796" s="454">
        <v>1935165.09</v>
      </c>
    </row>
    <row r="797" spans="1:7">
      <c r="A797" s="455" t="s">
        <v>93</v>
      </c>
      <c r="B797" s="456" t="s">
        <v>253</v>
      </c>
      <c r="C797" s="456" t="s">
        <v>504</v>
      </c>
      <c r="D797" s="456" t="s">
        <v>1779</v>
      </c>
      <c r="E797" s="456" t="s">
        <v>550</v>
      </c>
      <c r="F797" s="457">
        <v>1935165.09</v>
      </c>
      <c r="G797" s="457">
        <v>1935165.09</v>
      </c>
    </row>
    <row r="798" spans="1:7" ht="67.5">
      <c r="A798" s="458" t="s">
        <v>2724</v>
      </c>
      <c r="B798" s="453" t="s">
        <v>253</v>
      </c>
      <c r="C798" s="453" t="s">
        <v>504</v>
      </c>
      <c r="D798" s="453" t="s">
        <v>1781</v>
      </c>
      <c r="E798" s="453"/>
      <c r="F798" s="454">
        <v>134247.03</v>
      </c>
      <c r="G798" s="454">
        <v>134247.03</v>
      </c>
    </row>
    <row r="799" spans="1:7">
      <c r="A799" s="455" t="s">
        <v>93</v>
      </c>
      <c r="B799" s="456" t="s">
        <v>253</v>
      </c>
      <c r="C799" s="456" t="s">
        <v>504</v>
      </c>
      <c r="D799" s="456" t="s">
        <v>1781</v>
      </c>
      <c r="E799" s="456" t="s">
        <v>550</v>
      </c>
      <c r="F799" s="457">
        <v>134247.03</v>
      </c>
      <c r="G799" s="457">
        <v>134247.03</v>
      </c>
    </row>
    <row r="800" spans="1:7">
      <c r="A800" s="452" t="s">
        <v>45</v>
      </c>
      <c r="B800" s="453" t="s">
        <v>253</v>
      </c>
      <c r="C800" s="453" t="s">
        <v>506</v>
      </c>
      <c r="D800" s="453"/>
      <c r="E800" s="453"/>
      <c r="F800" s="454">
        <v>4130740</v>
      </c>
      <c r="G800" s="454">
        <v>3781421.54</v>
      </c>
    </row>
    <row r="801" spans="1:7" ht="67.5">
      <c r="A801" s="458" t="s">
        <v>2725</v>
      </c>
      <c r="B801" s="453" t="s">
        <v>253</v>
      </c>
      <c r="C801" s="453" t="s">
        <v>506</v>
      </c>
      <c r="D801" s="453" t="s">
        <v>1141</v>
      </c>
      <c r="E801" s="453"/>
      <c r="F801" s="454">
        <v>3780740</v>
      </c>
      <c r="G801" s="454">
        <v>3431421.54</v>
      </c>
    </row>
    <row r="802" spans="1:7">
      <c r="A802" s="455" t="s">
        <v>93</v>
      </c>
      <c r="B802" s="456" t="s">
        <v>253</v>
      </c>
      <c r="C802" s="456" t="s">
        <v>506</v>
      </c>
      <c r="D802" s="456" t="s">
        <v>1141</v>
      </c>
      <c r="E802" s="456" t="s">
        <v>550</v>
      </c>
      <c r="F802" s="457">
        <v>3780740</v>
      </c>
      <c r="G802" s="457">
        <v>3431421.54</v>
      </c>
    </row>
    <row r="803" spans="1:7" ht="67.5">
      <c r="A803" s="458" t="s">
        <v>2726</v>
      </c>
      <c r="B803" s="453" t="s">
        <v>253</v>
      </c>
      <c r="C803" s="453" t="s">
        <v>506</v>
      </c>
      <c r="D803" s="453" t="s">
        <v>1860</v>
      </c>
      <c r="E803" s="453"/>
      <c r="F803" s="454">
        <v>350000</v>
      </c>
      <c r="G803" s="454">
        <v>350000</v>
      </c>
    </row>
    <row r="804" spans="1:7">
      <c r="A804" s="455" t="s">
        <v>93</v>
      </c>
      <c r="B804" s="456" t="s">
        <v>253</v>
      </c>
      <c r="C804" s="456" t="s">
        <v>506</v>
      </c>
      <c r="D804" s="456" t="s">
        <v>1860</v>
      </c>
      <c r="E804" s="456" t="s">
        <v>550</v>
      </c>
      <c r="F804" s="457">
        <v>350000</v>
      </c>
      <c r="G804" s="457">
        <v>350000</v>
      </c>
    </row>
    <row r="805" spans="1:7">
      <c r="A805" s="452" t="s">
        <v>173</v>
      </c>
      <c r="B805" s="453" t="s">
        <v>253</v>
      </c>
      <c r="C805" s="453" t="s">
        <v>1608</v>
      </c>
      <c r="D805" s="453"/>
      <c r="E805" s="453"/>
      <c r="F805" s="454">
        <v>674240</v>
      </c>
      <c r="G805" s="454">
        <v>674240</v>
      </c>
    </row>
    <row r="806" spans="1:7">
      <c r="A806" s="452" t="s">
        <v>1440</v>
      </c>
      <c r="B806" s="453" t="s">
        <v>253</v>
      </c>
      <c r="C806" s="453" t="s">
        <v>483</v>
      </c>
      <c r="D806" s="453"/>
      <c r="E806" s="453"/>
      <c r="F806" s="454">
        <v>674240</v>
      </c>
      <c r="G806" s="454">
        <v>674240</v>
      </c>
    </row>
    <row r="807" spans="1:7" ht="67.5">
      <c r="A807" s="452" t="s">
        <v>556</v>
      </c>
      <c r="B807" s="453" t="s">
        <v>253</v>
      </c>
      <c r="C807" s="453" t="s">
        <v>483</v>
      </c>
      <c r="D807" s="453" t="s">
        <v>1008</v>
      </c>
      <c r="E807" s="453"/>
      <c r="F807" s="454">
        <v>674240</v>
      </c>
      <c r="G807" s="454">
        <v>674240</v>
      </c>
    </row>
    <row r="808" spans="1:7">
      <c r="A808" s="455" t="s">
        <v>93</v>
      </c>
      <c r="B808" s="456" t="s">
        <v>253</v>
      </c>
      <c r="C808" s="456" t="s">
        <v>483</v>
      </c>
      <c r="D808" s="456" t="s">
        <v>1008</v>
      </c>
      <c r="E808" s="456" t="s">
        <v>550</v>
      </c>
      <c r="F808" s="457">
        <v>674240</v>
      </c>
      <c r="G808" s="457">
        <v>674240</v>
      </c>
    </row>
    <row r="809" spans="1:7">
      <c r="A809" s="452" t="s">
        <v>298</v>
      </c>
      <c r="B809" s="453" t="s">
        <v>253</v>
      </c>
      <c r="C809" s="453" t="s">
        <v>1618</v>
      </c>
      <c r="D809" s="453"/>
      <c r="E809" s="453"/>
      <c r="F809" s="454">
        <v>559893.29</v>
      </c>
      <c r="G809" s="454">
        <v>557596.1</v>
      </c>
    </row>
    <row r="810" spans="1:7">
      <c r="A810" s="452" t="s">
        <v>254</v>
      </c>
      <c r="B810" s="453" t="s">
        <v>253</v>
      </c>
      <c r="C810" s="453" t="s">
        <v>510</v>
      </c>
      <c r="D810" s="453"/>
      <c r="E810" s="453"/>
      <c r="F810" s="454">
        <v>559893.29</v>
      </c>
      <c r="G810" s="454">
        <v>557596.1</v>
      </c>
    </row>
    <row r="811" spans="1:7" ht="67.5">
      <c r="A811" s="452" t="s">
        <v>1761</v>
      </c>
      <c r="B811" s="453" t="s">
        <v>253</v>
      </c>
      <c r="C811" s="453" t="s">
        <v>510</v>
      </c>
      <c r="D811" s="453" t="s">
        <v>1762</v>
      </c>
      <c r="E811" s="453"/>
      <c r="F811" s="454">
        <v>64209</v>
      </c>
      <c r="G811" s="454">
        <v>61911.81</v>
      </c>
    </row>
    <row r="812" spans="1:7">
      <c r="A812" s="455" t="s">
        <v>93</v>
      </c>
      <c r="B812" s="456" t="s">
        <v>253</v>
      </c>
      <c r="C812" s="456" t="s">
        <v>510</v>
      </c>
      <c r="D812" s="456" t="s">
        <v>1762</v>
      </c>
      <c r="E812" s="456" t="s">
        <v>550</v>
      </c>
      <c r="F812" s="457">
        <v>64209</v>
      </c>
      <c r="G812" s="457">
        <v>61911.81</v>
      </c>
    </row>
    <row r="813" spans="1:7" ht="67.5">
      <c r="A813" s="458" t="s">
        <v>2632</v>
      </c>
      <c r="B813" s="453" t="s">
        <v>253</v>
      </c>
      <c r="C813" s="453" t="s">
        <v>510</v>
      </c>
      <c r="D813" s="453" t="s">
        <v>1901</v>
      </c>
      <c r="E813" s="453"/>
      <c r="F813" s="454">
        <v>106684.29</v>
      </c>
      <c r="G813" s="454">
        <v>106684.29</v>
      </c>
    </row>
    <row r="814" spans="1:7">
      <c r="A814" s="455" t="s">
        <v>93</v>
      </c>
      <c r="B814" s="456" t="s">
        <v>253</v>
      </c>
      <c r="C814" s="456" t="s">
        <v>510</v>
      </c>
      <c r="D814" s="456" t="s">
        <v>1901</v>
      </c>
      <c r="E814" s="456" t="s">
        <v>550</v>
      </c>
      <c r="F814" s="457">
        <v>106684.29</v>
      </c>
      <c r="G814" s="457">
        <v>106684.29</v>
      </c>
    </row>
    <row r="815" spans="1:7" ht="67.5">
      <c r="A815" s="458" t="s">
        <v>2727</v>
      </c>
      <c r="B815" s="453" t="s">
        <v>253</v>
      </c>
      <c r="C815" s="453" t="s">
        <v>510</v>
      </c>
      <c r="D815" s="453" t="s">
        <v>1137</v>
      </c>
      <c r="E815" s="453"/>
      <c r="F815" s="454">
        <v>389000</v>
      </c>
      <c r="G815" s="454">
        <v>389000</v>
      </c>
    </row>
    <row r="816" spans="1:7">
      <c r="A816" s="455" t="s">
        <v>93</v>
      </c>
      <c r="B816" s="456" t="s">
        <v>253</v>
      </c>
      <c r="C816" s="456" t="s">
        <v>510</v>
      </c>
      <c r="D816" s="456" t="s">
        <v>1137</v>
      </c>
      <c r="E816" s="456" t="s">
        <v>550</v>
      </c>
      <c r="F816" s="457">
        <v>389000</v>
      </c>
      <c r="G816" s="457">
        <v>389000</v>
      </c>
    </row>
    <row r="817" spans="1:7">
      <c r="A817" s="452" t="s">
        <v>296</v>
      </c>
      <c r="B817" s="453" t="s">
        <v>253</v>
      </c>
      <c r="C817" s="453" t="s">
        <v>1631</v>
      </c>
      <c r="D817" s="453"/>
      <c r="E817" s="453"/>
      <c r="F817" s="454">
        <v>64000</v>
      </c>
      <c r="G817" s="454">
        <v>64000</v>
      </c>
    </row>
    <row r="818" spans="1:7">
      <c r="A818" s="452" t="s">
        <v>1632</v>
      </c>
      <c r="B818" s="453" t="s">
        <v>253</v>
      </c>
      <c r="C818" s="453" t="s">
        <v>491</v>
      </c>
      <c r="D818" s="453"/>
      <c r="E818" s="453"/>
      <c r="F818" s="454">
        <v>64000</v>
      </c>
      <c r="G818" s="454">
        <v>64000</v>
      </c>
    </row>
    <row r="819" spans="1:7" ht="33.75">
      <c r="A819" s="452" t="s">
        <v>492</v>
      </c>
      <c r="B819" s="453" t="s">
        <v>253</v>
      </c>
      <c r="C819" s="453" t="s">
        <v>491</v>
      </c>
      <c r="D819" s="453" t="s">
        <v>1009</v>
      </c>
      <c r="E819" s="453"/>
      <c r="F819" s="454">
        <v>64000</v>
      </c>
      <c r="G819" s="454">
        <v>64000</v>
      </c>
    </row>
    <row r="820" spans="1:7">
      <c r="A820" s="455" t="s">
        <v>93</v>
      </c>
      <c r="B820" s="456" t="s">
        <v>253</v>
      </c>
      <c r="C820" s="456" t="s">
        <v>491</v>
      </c>
      <c r="D820" s="456" t="s">
        <v>1009</v>
      </c>
      <c r="E820" s="456" t="s">
        <v>550</v>
      </c>
      <c r="F820" s="457">
        <v>64000</v>
      </c>
      <c r="G820" s="457">
        <v>64000</v>
      </c>
    </row>
    <row r="821" spans="1:7" ht="22.5">
      <c r="A821" s="452" t="s">
        <v>299</v>
      </c>
      <c r="B821" s="453" t="s">
        <v>253</v>
      </c>
      <c r="C821" s="453" t="s">
        <v>1633</v>
      </c>
      <c r="D821" s="453"/>
      <c r="E821" s="453"/>
      <c r="F821" s="454">
        <v>80877</v>
      </c>
      <c r="G821" s="454">
        <v>27023.279999999999</v>
      </c>
    </row>
    <row r="822" spans="1:7" ht="22.5">
      <c r="A822" s="452" t="s">
        <v>300</v>
      </c>
      <c r="B822" s="453" t="s">
        <v>253</v>
      </c>
      <c r="C822" s="453" t="s">
        <v>557</v>
      </c>
      <c r="D822" s="453"/>
      <c r="E822" s="453"/>
      <c r="F822" s="454">
        <v>80877</v>
      </c>
      <c r="G822" s="454">
        <v>27023.279999999999</v>
      </c>
    </row>
    <row r="823" spans="1:7" ht="22.5">
      <c r="A823" s="452" t="s">
        <v>551</v>
      </c>
      <c r="B823" s="453" t="s">
        <v>253</v>
      </c>
      <c r="C823" s="453" t="s">
        <v>557</v>
      </c>
      <c r="D823" s="453" t="s">
        <v>1004</v>
      </c>
      <c r="E823" s="453"/>
      <c r="F823" s="454">
        <v>80877</v>
      </c>
      <c r="G823" s="454">
        <v>27023.279999999999</v>
      </c>
    </row>
    <row r="824" spans="1:7">
      <c r="A824" s="455" t="s">
        <v>558</v>
      </c>
      <c r="B824" s="456" t="s">
        <v>253</v>
      </c>
      <c r="C824" s="456" t="s">
        <v>557</v>
      </c>
      <c r="D824" s="456" t="s">
        <v>1004</v>
      </c>
      <c r="E824" s="456" t="s">
        <v>559</v>
      </c>
      <c r="F824" s="457">
        <v>80877</v>
      </c>
      <c r="G824" s="457">
        <v>27023.279999999999</v>
      </c>
    </row>
    <row r="825" spans="1:7" ht="33.75">
      <c r="A825" s="452" t="s">
        <v>1634</v>
      </c>
      <c r="B825" s="453" t="s">
        <v>253</v>
      </c>
      <c r="C825" s="453" t="s">
        <v>1635</v>
      </c>
      <c r="D825" s="453"/>
      <c r="E825" s="453"/>
      <c r="F825" s="454">
        <v>104335038</v>
      </c>
      <c r="G825" s="454">
        <v>101514387.81999999</v>
      </c>
    </row>
    <row r="826" spans="1:7" ht="33.75">
      <c r="A826" s="452" t="s">
        <v>259</v>
      </c>
      <c r="B826" s="453" t="s">
        <v>253</v>
      </c>
      <c r="C826" s="453" t="s">
        <v>560</v>
      </c>
      <c r="D826" s="453"/>
      <c r="E826" s="453"/>
      <c r="F826" s="454">
        <v>64187700</v>
      </c>
      <c r="G826" s="454">
        <v>64187700</v>
      </c>
    </row>
    <row r="827" spans="1:7" ht="67.5">
      <c r="A827" s="458" t="s">
        <v>2728</v>
      </c>
      <c r="B827" s="453" t="s">
        <v>253</v>
      </c>
      <c r="C827" s="453" t="s">
        <v>560</v>
      </c>
      <c r="D827" s="453" t="s">
        <v>1010</v>
      </c>
      <c r="E827" s="453"/>
      <c r="F827" s="454">
        <v>26666200</v>
      </c>
      <c r="G827" s="454">
        <v>26666200</v>
      </c>
    </row>
    <row r="828" spans="1:7">
      <c r="A828" s="455" t="s">
        <v>680</v>
      </c>
      <c r="B828" s="456" t="s">
        <v>253</v>
      </c>
      <c r="C828" s="456" t="s">
        <v>560</v>
      </c>
      <c r="D828" s="456" t="s">
        <v>1010</v>
      </c>
      <c r="E828" s="456" t="s">
        <v>561</v>
      </c>
      <c r="F828" s="457">
        <v>26666200</v>
      </c>
      <c r="G828" s="457">
        <v>26666200</v>
      </c>
    </row>
    <row r="829" spans="1:7" ht="67.5">
      <c r="A829" s="458" t="s">
        <v>2729</v>
      </c>
      <c r="B829" s="453" t="s">
        <v>253</v>
      </c>
      <c r="C829" s="453" t="s">
        <v>560</v>
      </c>
      <c r="D829" s="453" t="s">
        <v>1011</v>
      </c>
      <c r="E829" s="453"/>
      <c r="F829" s="454">
        <v>37521500</v>
      </c>
      <c r="G829" s="454">
        <v>37521500</v>
      </c>
    </row>
    <row r="830" spans="1:7">
      <c r="A830" s="455" t="s">
        <v>680</v>
      </c>
      <c r="B830" s="456" t="s">
        <v>253</v>
      </c>
      <c r="C830" s="456" t="s">
        <v>560</v>
      </c>
      <c r="D830" s="456" t="s">
        <v>1011</v>
      </c>
      <c r="E830" s="456" t="s">
        <v>561</v>
      </c>
      <c r="F830" s="457">
        <v>37521500</v>
      </c>
      <c r="G830" s="457">
        <v>37521500</v>
      </c>
    </row>
    <row r="831" spans="1:7">
      <c r="A831" s="452" t="s">
        <v>301</v>
      </c>
      <c r="B831" s="453" t="s">
        <v>253</v>
      </c>
      <c r="C831" s="453" t="s">
        <v>562</v>
      </c>
      <c r="D831" s="453"/>
      <c r="E831" s="453"/>
      <c r="F831" s="454">
        <v>40147338</v>
      </c>
      <c r="G831" s="454">
        <v>37326687.82</v>
      </c>
    </row>
    <row r="832" spans="1:7" ht="67.5">
      <c r="A832" s="458" t="s">
        <v>2727</v>
      </c>
      <c r="B832" s="453" t="s">
        <v>253</v>
      </c>
      <c r="C832" s="453" t="s">
        <v>562</v>
      </c>
      <c r="D832" s="453" t="s">
        <v>1137</v>
      </c>
      <c r="E832" s="453"/>
      <c r="F832" s="454">
        <v>110000</v>
      </c>
      <c r="G832" s="454">
        <v>110000</v>
      </c>
    </row>
    <row r="833" spans="1:7">
      <c r="A833" s="455" t="s">
        <v>93</v>
      </c>
      <c r="B833" s="456" t="s">
        <v>253</v>
      </c>
      <c r="C833" s="456" t="s">
        <v>562</v>
      </c>
      <c r="D833" s="456" t="s">
        <v>1137</v>
      </c>
      <c r="E833" s="456" t="s">
        <v>550</v>
      </c>
      <c r="F833" s="457">
        <v>110000</v>
      </c>
      <c r="G833" s="457">
        <v>110000</v>
      </c>
    </row>
    <row r="834" spans="1:7" ht="67.5">
      <c r="A834" s="458" t="s">
        <v>2730</v>
      </c>
      <c r="B834" s="453" t="s">
        <v>253</v>
      </c>
      <c r="C834" s="453" t="s">
        <v>562</v>
      </c>
      <c r="D834" s="453" t="s">
        <v>1862</v>
      </c>
      <c r="E834" s="453"/>
      <c r="F834" s="454">
        <v>3100000</v>
      </c>
      <c r="G834" s="454">
        <v>2283749.8199999998</v>
      </c>
    </row>
    <row r="835" spans="1:7">
      <c r="A835" s="455" t="s">
        <v>93</v>
      </c>
      <c r="B835" s="456" t="s">
        <v>253</v>
      </c>
      <c r="C835" s="456" t="s">
        <v>562</v>
      </c>
      <c r="D835" s="456" t="s">
        <v>1862</v>
      </c>
      <c r="E835" s="456" t="s">
        <v>550</v>
      </c>
      <c r="F835" s="457">
        <v>3100000</v>
      </c>
      <c r="G835" s="457">
        <v>2283749.8199999998</v>
      </c>
    </row>
    <row r="836" spans="1:7" ht="67.5">
      <c r="A836" s="458" t="s">
        <v>2731</v>
      </c>
      <c r="B836" s="453" t="s">
        <v>253</v>
      </c>
      <c r="C836" s="453" t="s">
        <v>562</v>
      </c>
      <c r="D836" s="453" t="s">
        <v>1012</v>
      </c>
      <c r="E836" s="453"/>
      <c r="F836" s="454">
        <v>36937338</v>
      </c>
      <c r="G836" s="454">
        <v>34932938</v>
      </c>
    </row>
    <row r="837" spans="1:7">
      <c r="A837" s="455" t="s">
        <v>93</v>
      </c>
      <c r="B837" s="456" t="s">
        <v>253</v>
      </c>
      <c r="C837" s="456" t="s">
        <v>562</v>
      </c>
      <c r="D837" s="456" t="s">
        <v>1012</v>
      </c>
      <c r="E837" s="456" t="s">
        <v>550</v>
      </c>
      <c r="F837" s="457">
        <v>36937338</v>
      </c>
      <c r="G837" s="457">
        <v>34932938</v>
      </c>
    </row>
  </sheetData>
  <autoFilter ref="A1:G837"/>
  <pageMargins left="0.7" right="0.7" top="0.75" bottom="0.75" header="0.3" footer="0.3"/>
</worksheet>
</file>

<file path=xl/worksheets/sheet20.xml><?xml version="1.0" encoding="utf-8"?>
<worksheet xmlns="http://schemas.openxmlformats.org/spreadsheetml/2006/main" xmlns:r="http://schemas.openxmlformats.org/officeDocument/2006/relationships">
  <sheetPr codeName="Лист9">
    <tabColor rgb="FF92D050"/>
  </sheetPr>
  <dimension ref="A1:H56"/>
  <sheetViews>
    <sheetView topLeftCell="A37" workbookViewId="0">
      <selection activeCell="A29" sqref="A29"/>
    </sheetView>
  </sheetViews>
  <sheetFormatPr defaultRowHeight="12.75"/>
  <cols>
    <col min="1" max="1" width="46" style="4" customWidth="1"/>
    <col min="2" max="2" width="15.5703125" style="4" customWidth="1"/>
    <col min="3" max="3" width="16.42578125" style="4" customWidth="1"/>
    <col min="4" max="4" width="14.85546875" style="4" customWidth="1"/>
    <col min="5" max="5" width="16.28515625" style="4" customWidth="1"/>
    <col min="6" max="6" width="16.5703125" style="4" customWidth="1"/>
    <col min="7" max="7" width="17.42578125" style="4" customWidth="1"/>
    <col min="8" max="16384" width="9.140625" style="4"/>
  </cols>
  <sheetData>
    <row r="1" spans="1:8" ht="40.5" customHeight="1">
      <c r="A1" s="508" t="str">
        <f>"Приложение №"&amp;Н1ффп&amp;" к решению
Богучанского районного Совета депутатов
от "&amp;Р1дата&amp;" года №"&amp;Р1номер</f>
        <v>Приложение №9 к решению
Богучанского районного Совета депутатов
от     " " 2018 года №</v>
      </c>
      <c r="B1" s="508"/>
      <c r="C1" s="508"/>
      <c r="D1" s="508"/>
    </row>
    <row r="2" spans="1:8" ht="55.5" customHeight="1">
      <c r="A2" s="551" t="str">
        <f>"Распределение средств районного фонда финансовой поддержки за "&amp;год&amp;" год "</f>
        <v xml:space="preserve">Распределение средств районного фонда финансовой поддержки за 2017 год </v>
      </c>
      <c r="B2" s="551"/>
      <c r="C2" s="551"/>
      <c r="D2" s="551"/>
    </row>
    <row r="3" spans="1:8">
      <c r="D3" s="11" t="s">
        <v>94</v>
      </c>
    </row>
    <row r="4" spans="1:8">
      <c r="A4" s="580" t="s">
        <v>28</v>
      </c>
      <c r="B4" s="582" t="s">
        <v>95</v>
      </c>
      <c r="C4" s="568" t="s">
        <v>1445</v>
      </c>
      <c r="D4" s="569"/>
    </row>
    <row r="5" spans="1:8" ht="106.5" customHeight="1">
      <c r="A5" s="581"/>
      <c r="B5" s="583"/>
      <c r="C5" s="22" t="s">
        <v>1446</v>
      </c>
      <c r="D5" s="36" t="s">
        <v>1447</v>
      </c>
      <c r="F5" s="4">
        <v>1110076010</v>
      </c>
      <c r="G5" s="4">
        <v>1110080130</v>
      </c>
    </row>
    <row r="6" spans="1:8" ht="15">
      <c r="A6" s="115" t="s">
        <v>2549</v>
      </c>
      <c r="B6" s="294">
        <f>SUM(B7:B22)</f>
        <v>64187700</v>
      </c>
      <c r="C6" s="294">
        <f>SUM(C7:C22)</f>
        <v>26666200</v>
      </c>
      <c r="D6" s="294">
        <f>SUM(D7:D22)</f>
        <v>37521500</v>
      </c>
      <c r="E6" s="116" t="s">
        <v>312</v>
      </c>
      <c r="F6" s="117">
        <f ca="1">SUMIF(РзПз,"????"&amp;F$5,СумВед)-C6</f>
        <v>0</v>
      </c>
      <c r="G6" s="117">
        <f ca="1">SUMIF(РзПз,"????"&amp;G$5,СумВед)-D6</f>
        <v>0</v>
      </c>
      <c r="H6" s="4">
        <v>2016</v>
      </c>
    </row>
    <row r="7" spans="1:8" ht="14.25">
      <c r="A7" s="300" t="s">
        <v>795</v>
      </c>
      <c r="B7" s="301">
        <f t="shared" ref="B7:B22" si="0">C7+D7</f>
        <v>1951500</v>
      </c>
      <c r="C7" s="297">
        <v>1470300</v>
      </c>
      <c r="D7" s="297">
        <v>481200</v>
      </c>
      <c r="F7" s="117">
        <f ca="1">SUMIF(РзПзПлПер,"????"&amp;F$5,СумВед14)-C23</f>
        <v>-5697100</v>
      </c>
      <c r="G7" s="117">
        <f ca="1">SUMIF(РзПзПлПер,"????"&amp;G$5,СумВед14)-D23</f>
        <v>-15521500</v>
      </c>
      <c r="H7" s="4">
        <v>2017</v>
      </c>
    </row>
    <row r="8" spans="1:8" ht="14.25">
      <c r="A8" s="302" t="s">
        <v>200</v>
      </c>
      <c r="B8" s="301">
        <f t="shared" si="0"/>
        <v>5763000</v>
      </c>
      <c r="C8" s="297">
        <v>80700</v>
      </c>
      <c r="D8" s="297">
        <v>5682300</v>
      </c>
    </row>
    <row r="9" spans="1:8" ht="14.25">
      <c r="A9" s="13" t="s">
        <v>67</v>
      </c>
      <c r="B9" s="295">
        <f t="shared" si="0"/>
        <v>2145700</v>
      </c>
      <c r="C9" s="296">
        <v>1158000</v>
      </c>
      <c r="D9" s="296">
        <v>987700</v>
      </c>
    </row>
    <row r="10" spans="1:8" ht="14.25" customHeight="1">
      <c r="A10" s="15" t="s">
        <v>279</v>
      </c>
      <c r="B10" s="295">
        <f t="shared" si="0"/>
        <v>6515300</v>
      </c>
      <c r="C10" s="296">
        <v>3104500</v>
      </c>
      <c r="D10" s="296">
        <v>3410800</v>
      </c>
    </row>
    <row r="11" spans="1:8" ht="14.25">
      <c r="A11" s="13" t="s">
        <v>107</v>
      </c>
      <c r="B11" s="295">
        <f t="shared" si="0"/>
        <v>2942300</v>
      </c>
      <c r="C11" s="296">
        <v>1716000</v>
      </c>
      <c r="D11" s="296">
        <v>1226300</v>
      </c>
    </row>
    <row r="12" spans="1:8" ht="14.25">
      <c r="A12" s="13" t="s">
        <v>168</v>
      </c>
      <c r="B12" s="295">
        <f t="shared" si="0"/>
        <v>5007300</v>
      </c>
      <c r="C12" s="296">
        <v>1876200</v>
      </c>
      <c r="D12" s="296">
        <v>3131100</v>
      </c>
    </row>
    <row r="13" spans="1:8" ht="28.5">
      <c r="A13" s="13" t="s">
        <v>169</v>
      </c>
      <c r="B13" s="295">
        <f t="shared" si="0"/>
        <v>6032100</v>
      </c>
      <c r="C13" s="296">
        <v>409500</v>
      </c>
      <c r="D13" s="296">
        <v>5622600</v>
      </c>
    </row>
    <row r="14" spans="1:8" ht="14.25">
      <c r="A14" s="13" t="s">
        <v>108</v>
      </c>
      <c r="B14" s="295">
        <f t="shared" si="0"/>
        <v>1887300</v>
      </c>
      <c r="C14" s="296">
        <v>1118000</v>
      </c>
      <c r="D14" s="296">
        <v>769300</v>
      </c>
    </row>
    <row r="15" spans="1:8" ht="14.25">
      <c r="A15" s="13" t="s">
        <v>110</v>
      </c>
      <c r="B15" s="295">
        <f t="shared" si="0"/>
        <v>2585500</v>
      </c>
      <c r="C15" s="296">
        <v>2585500</v>
      </c>
      <c r="D15" s="296">
        <v>0</v>
      </c>
    </row>
    <row r="16" spans="1:8" ht="28.5">
      <c r="A16" s="13" t="s">
        <v>201</v>
      </c>
      <c r="B16" s="295">
        <f t="shared" si="0"/>
        <v>6976100</v>
      </c>
      <c r="C16" s="296">
        <v>1038700</v>
      </c>
      <c r="D16" s="296">
        <v>5937400</v>
      </c>
    </row>
    <row r="17" spans="1:4" ht="14.25">
      <c r="A17" s="13" t="s">
        <v>109</v>
      </c>
      <c r="B17" s="295">
        <f t="shared" si="0"/>
        <v>5179600</v>
      </c>
      <c r="C17" s="296">
        <v>3579600</v>
      </c>
      <c r="D17" s="296">
        <v>1600000</v>
      </c>
    </row>
    <row r="18" spans="1:4" ht="14.25">
      <c r="A18" s="13" t="s">
        <v>111</v>
      </c>
      <c r="B18" s="295">
        <f t="shared" si="0"/>
        <v>2164000</v>
      </c>
      <c r="C18" s="296">
        <v>2164000</v>
      </c>
      <c r="D18" s="296">
        <v>0</v>
      </c>
    </row>
    <row r="19" spans="1:4" ht="14.25">
      <c r="A19" s="13" t="s">
        <v>112</v>
      </c>
      <c r="B19" s="295">
        <f t="shared" si="0"/>
        <v>4640300</v>
      </c>
      <c r="C19" s="296">
        <v>630600</v>
      </c>
      <c r="D19" s="296">
        <v>4009700</v>
      </c>
    </row>
    <row r="20" spans="1:4" ht="14.25">
      <c r="A20" s="13" t="s">
        <v>171</v>
      </c>
      <c r="B20" s="295">
        <f t="shared" si="0"/>
        <v>2449000</v>
      </c>
      <c r="C20" s="296">
        <v>1922500</v>
      </c>
      <c r="D20" s="296">
        <v>526500</v>
      </c>
    </row>
    <row r="21" spans="1:4" ht="14.25">
      <c r="A21" s="13" t="s">
        <v>172</v>
      </c>
      <c r="B21" s="295">
        <f t="shared" si="0"/>
        <v>6016600</v>
      </c>
      <c r="C21" s="296">
        <v>2853300</v>
      </c>
      <c r="D21" s="296">
        <v>3163300</v>
      </c>
    </row>
    <row r="22" spans="1:4" ht="14.25">
      <c r="A22" s="13" t="s">
        <v>113</v>
      </c>
      <c r="B22" s="295">
        <f t="shared" si="0"/>
        <v>1932100</v>
      </c>
      <c r="C22" s="296">
        <v>958800</v>
      </c>
      <c r="D22" s="296">
        <v>973300</v>
      </c>
    </row>
    <row r="23" spans="1:4" ht="15">
      <c r="A23" s="115" t="s">
        <v>2762</v>
      </c>
      <c r="B23" s="294">
        <f>SUM(B24:B39)</f>
        <v>64187700</v>
      </c>
      <c r="C23" s="294">
        <f>SUM(C24:C39)</f>
        <v>26666200</v>
      </c>
      <c r="D23" s="294">
        <f>SUM(D24:D39)</f>
        <v>37521500</v>
      </c>
    </row>
    <row r="24" spans="1:4" ht="14.25">
      <c r="A24" s="13" t="s">
        <v>65</v>
      </c>
      <c r="B24" s="295">
        <f t="shared" ref="B24:B39" si="1">C24+D24</f>
        <v>1951500</v>
      </c>
      <c r="C24" s="296">
        <v>1470300</v>
      </c>
      <c r="D24" s="296">
        <v>481200</v>
      </c>
    </row>
    <row r="25" spans="1:4" ht="14.25">
      <c r="A25" s="13" t="s">
        <v>200</v>
      </c>
      <c r="B25" s="295">
        <f t="shared" si="1"/>
        <v>5763000</v>
      </c>
      <c r="C25" s="296">
        <v>80700</v>
      </c>
      <c r="D25" s="296">
        <v>5682300</v>
      </c>
    </row>
    <row r="26" spans="1:4" ht="14.25">
      <c r="A26" s="13" t="s">
        <v>67</v>
      </c>
      <c r="B26" s="295">
        <f t="shared" si="1"/>
        <v>2145700</v>
      </c>
      <c r="C26" s="296">
        <v>1158000</v>
      </c>
      <c r="D26" s="296">
        <v>987700</v>
      </c>
    </row>
    <row r="27" spans="1:4" ht="14.25" customHeight="1">
      <c r="A27" s="15" t="s">
        <v>279</v>
      </c>
      <c r="B27" s="295">
        <f t="shared" si="1"/>
        <v>6515300</v>
      </c>
      <c r="C27" s="296">
        <v>3104500</v>
      </c>
      <c r="D27" s="296">
        <v>3410800</v>
      </c>
    </row>
    <row r="28" spans="1:4" ht="14.25">
      <c r="A28" s="13" t="s">
        <v>107</v>
      </c>
      <c r="B28" s="295">
        <f t="shared" si="1"/>
        <v>2942300</v>
      </c>
      <c r="C28" s="296">
        <v>1716000</v>
      </c>
      <c r="D28" s="296">
        <v>1226300</v>
      </c>
    </row>
    <row r="29" spans="1:4" ht="14.25">
      <c r="A29" s="13" t="s">
        <v>168</v>
      </c>
      <c r="B29" s="295">
        <f t="shared" si="1"/>
        <v>5007300</v>
      </c>
      <c r="C29" s="296">
        <v>1876200</v>
      </c>
      <c r="D29" s="296">
        <v>3131100</v>
      </c>
    </row>
    <row r="30" spans="1:4" ht="28.5">
      <c r="A30" s="13" t="s">
        <v>169</v>
      </c>
      <c r="B30" s="295">
        <f t="shared" si="1"/>
        <v>6032100</v>
      </c>
      <c r="C30" s="296">
        <v>409500</v>
      </c>
      <c r="D30" s="296">
        <v>5622600</v>
      </c>
    </row>
    <row r="31" spans="1:4" ht="14.25">
      <c r="A31" s="13" t="s">
        <v>108</v>
      </c>
      <c r="B31" s="295">
        <f t="shared" si="1"/>
        <v>1887300</v>
      </c>
      <c r="C31" s="296">
        <v>1118000</v>
      </c>
      <c r="D31" s="296">
        <v>769300</v>
      </c>
    </row>
    <row r="32" spans="1:4" ht="14.25">
      <c r="A32" s="13" t="s">
        <v>110</v>
      </c>
      <c r="B32" s="295">
        <f t="shared" si="1"/>
        <v>2585500</v>
      </c>
      <c r="C32" s="296">
        <v>2585500</v>
      </c>
      <c r="D32" s="296">
        <v>0</v>
      </c>
    </row>
    <row r="33" spans="1:4" ht="28.5">
      <c r="A33" s="13" t="s">
        <v>201</v>
      </c>
      <c r="B33" s="295">
        <f t="shared" si="1"/>
        <v>6976100</v>
      </c>
      <c r="C33" s="296">
        <v>1038700</v>
      </c>
      <c r="D33" s="296">
        <v>5937400</v>
      </c>
    </row>
    <row r="34" spans="1:4" ht="14.25">
      <c r="A34" s="13" t="s">
        <v>109</v>
      </c>
      <c r="B34" s="295">
        <f t="shared" si="1"/>
        <v>5179600</v>
      </c>
      <c r="C34" s="296">
        <v>3579600</v>
      </c>
      <c r="D34" s="296">
        <v>1600000</v>
      </c>
    </row>
    <row r="35" spans="1:4" ht="14.25">
      <c r="A35" s="13" t="s">
        <v>111</v>
      </c>
      <c r="B35" s="295">
        <f t="shared" si="1"/>
        <v>2164000</v>
      </c>
      <c r="C35" s="296">
        <v>2164000</v>
      </c>
      <c r="D35" s="296">
        <v>0</v>
      </c>
    </row>
    <row r="36" spans="1:4" ht="14.25">
      <c r="A36" s="13" t="s">
        <v>112</v>
      </c>
      <c r="B36" s="295">
        <f t="shared" si="1"/>
        <v>4640300</v>
      </c>
      <c r="C36" s="296">
        <v>630600</v>
      </c>
      <c r="D36" s="296">
        <v>4009700</v>
      </c>
    </row>
    <row r="37" spans="1:4" ht="14.25">
      <c r="A37" s="13" t="s">
        <v>171</v>
      </c>
      <c r="B37" s="295">
        <f t="shared" si="1"/>
        <v>2449000</v>
      </c>
      <c r="C37" s="296">
        <v>1922500</v>
      </c>
      <c r="D37" s="296">
        <v>526500</v>
      </c>
    </row>
    <row r="38" spans="1:4" ht="14.25">
      <c r="A38" s="13" t="s">
        <v>172</v>
      </c>
      <c r="B38" s="295">
        <f t="shared" si="1"/>
        <v>6016600</v>
      </c>
      <c r="C38" s="296">
        <v>2853300</v>
      </c>
      <c r="D38" s="296">
        <v>3163300</v>
      </c>
    </row>
    <row r="39" spans="1:4" ht="14.25">
      <c r="A39" s="13" t="s">
        <v>113</v>
      </c>
      <c r="B39" s="295">
        <f t="shared" si="1"/>
        <v>1932100</v>
      </c>
      <c r="C39" s="296">
        <v>958800</v>
      </c>
      <c r="D39" s="296">
        <v>973300</v>
      </c>
    </row>
    <row r="40" spans="1:4" ht="15">
      <c r="A40" s="115" t="s">
        <v>2550</v>
      </c>
      <c r="B40" s="422">
        <f t="shared" ref="B40:D41" si="2">B23/B6*100</f>
        <v>100</v>
      </c>
      <c r="C40" s="422">
        <f t="shared" si="2"/>
        <v>100</v>
      </c>
      <c r="D40" s="422">
        <f t="shared" si="2"/>
        <v>100</v>
      </c>
    </row>
    <row r="41" spans="1:4" ht="14.25">
      <c r="A41" s="13" t="s">
        <v>65</v>
      </c>
      <c r="B41" s="296">
        <f t="shared" si="2"/>
        <v>100</v>
      </c>
      <c r="C41" s="296">
        <f t="shared" si="2"/>
        <v>100</v>
      </c>
      <c r="D41" s="296">
        <f t="shared" si="2"/>
        <v>100</v>
      </c>
    </row>
    <row r="42" spans="1:4" ht="14.25">
      <c r="A42" s="13" t="s">
        <v>200</v>
      </c>
      <c r="B42" s="296">
        <f t="shared" ref="B42:B56" si="3">B25/B8*100</f>
        <v>100</v>
      </c>
      <c r="C42" s="296">
        <f t="shared" ref="C42:C56" si="4">C25/C8*100</f>
        <v>100</v>
      </c>
      <c r="D42" s="296">
        <f t="shared" ref="D42:D56" si="5">D25/D8*100</f>
        <v>100</v>
      </c>
    </row>
    <row r="43" spans="1:4" ht="14.25">
      <c r="A43" s="13" t="s">
        <v>67</v>
      </c>
      <c r="B43" s="296">
        <f t="shared" si="3"/>
        <v>100</v>
      </c>
      <c r="C43" s="296">
        <f t="shared" si="4"/>
        <v>100</v>
      </c>
      <c r="D43" s="296">
        <f t="shared" si="5"/>
        <v>100</v>
      </c>
    </row>
    <row r="44" spans="1:4" ht="13.5" customHeight="1">
      <c r="A44" s="15" t="s">
        <v>279</v>
      </c>
      <c r="B44" s="296">
        <f t="shared" si="3"/>
        <v>100</v>
      </c>
      <c r="C44" s="296">
        <f t="shared" si="4"/>
        <v>100</v>
      </c>
      <c r="D44" s="296">
        <f t="shared" si="5"/>
        <v>100</v>
      </c>
    </row>
    <row r="45" spans="1:4" ht="14.25">
      <c r="A45" s="13" t="s">
        <v>107</v>
      </c>
      <c r="B45" s="296">
        <f t="shared" si="3"/>
        <v>100</v>
      </c>
      <c r="C45" s="296">
        <f t="shared" si="4"/>
        <v>100</v>
      </c>
      <c r="D45" s="296">
        <f t="shared" si="5"/>
        <v>100</v>
      </c>
    </row>
    <row r="46" spans="1:4" ht="14.25">
      <c r="A46" s="13" t="s">
        <v>168</v>
      </c>
      <c r="B46" s="296">
        <f t="shared" si="3"/>
        <v>100</v>
      </c>
      <c r="C46" s="296">
        <f t="shared" si="4"/>
        <v>100</v>
      </c>
      <c r="D46" s="296">
        <f t="shared" si="5"/>
        <v>100</v>
      </c>
    </row>
    <row r="47" spans="1:4" ht="28.5">
      <c r="A47" s="13" t="s">
        <v>169</v>
      </c>
      <c r="B47" s="296">
        <f t="shared" si="3"/>
        <v>100</v>
      </c>
      <c r="C47" s="296">
        <f t="shared" si="4"/>
        <v>100</v>
      </c>
      <c r="D47" s="296">
        <f t="shared" si="5"/>
        <v>100</v>
      </c>
    </row>
    <row r="48" spans="1:4" ht="14.25">
      <c r="A48" s="13" t="s">
        <v>108</v>
      </c>
      <c r="B48" s="296">
        <f t="shared" si="3"/>
        <v>100</v>
      </c>
      <c r="C48" s="296">
        <f t="shared" si="4"/>
        <v>100</v>
      </c>
      <c r="D48" s="296">
        <f t="shared" si="5"/>
        <v>100</v>
      </c>
    </row>
    <row r="49" spans="1:4" ht="14.25">
      <c r="A49" s="13" t="s">
        <v>110</v>
      </c>
      <c r="B49" s="296">
        <f t="shared" si="3"/>
        <v>100</v>
      </c>
      <c r="C49" s="296">
        <f t="shared" si="4"/>
        <v>100</v>
      </c>
      <c r="D49" s="296"/>
    </row>
    <row r="50" spans="1:4" ht="28.5">
      <c r="A50" s="13" t="s">
        <v>201</v>
      </c>
      <c r="B50" s="296">
        <f t="shared" si="3"/>
        <v>100</v>
      </c>
      <c r="C50" s="296">
        <f t="shared" si="4"/>
        <v>100</v>
      </c>
      <c r="D50" s="296">
        <f t="shared" si="5"/>
        <v>100</v>
      </c>
    </row>
    <row r="51" spans="1:4" ht="14.25">
      <c r="A51" s="13" t="s">
        <v>109</v>
      </c>
      <c r="B51" s="296">
        <f t="shared" si="3"/>
        <v>100</v>
      </c>
      <c r="C51" s="296">
        <f t="shared" si="4"/>
        <v>100</v>
      </c>
      <c r="D51" s="296">
        <f t="shared" si="5"/>
        <v>100</v>
      </c>
    </row>
    <row r="52" spans="1:4" ht="14.25">
      <c r="A52" s="13" t="s">
        <v>111</v>
      </c>
      <c r="B52" s="296">
        <f t="shared" si="3"/>
        <v>100</v>
      </c>
      <c r="C52" s="296">
        <f t="shared" si="4"/>
        <v>100</v>
      </c>
      <c r="D52" s="296"/>
    </row>
    <row r="53" spans="1:4" ht="14.25">
      <c r="A53" s="13" t="s">
        <v>112</v>
      </c>
      <c r="B53" s="296">
        <f t="shared" si="3"/>
        <v>100</v>
      </c>
      <c r="C53" s="296">
        <f t="shared" si="4"/>
        <v>100</v>
      </c>
      <c r="D53" s="296">
        <f t="shared" si="5"/>
        <v>100</v>
      </c>
    </row>
    <row r="54" spans="1:4" ht="14.25">
      <c r="A54" s="13" t="s">
        <v>171</v>
      </c>
      <c r="B54" s="296">
        <f t="shared" si="3"/>
        <v>100</v>
      </c>
      <c r="C54" s="296">
        <f t="shared" si="4"/>
        <v>100</v>
      </c>
      <c r="D54" s="296">
        <f t="shared" si="5"/>
        <v>100</v>
      </c>
    </row>
    <row r="55" spans="1:4" ht="14.25">
      <c r="A55" s="13" t="s">
        <v>172</v>
      </c>
      <c r="B55" s="296">
        <f t="shared" si="3"/>
        <v>100</v>
      </c>
      <c r="C55" s="296">
        <f t="shared" si="4"/>
        <v>100</v>
      </c>
      <c r="D55" s="296">
        <f t="shared" si="5"/>
        <v>100</v>
      </c>
    </row>
    <row r="56" spans="1:4" ht="14.25">
      <c r="A56" s="13" t="s">
        <v>113</v>
      </c>
      <c r="B56" s="296">
        <f t="shared" si="3"/>
        <v>100</v>
      </c>
      <c r="C56" s="296">
        <f t="shared" si="4"/>
        <v>100</v>
      </c>
      <c r="D56" s="296">
        <f t="shared" si="5"/>
        <v>100</v>
      </c>
    </row>
  </sheetData>
  <mergeCells count="5">
    <mergeCell ref="A2:D2"/>
    <mergeCell ref="A1:D1"/>
    <mergeCell ref="A4:A5"/>
    <mergeCell ref="B4:B5"/>
    <mergeCell ref="C4:D4"/>
  </mergeCells>
  <phoneticPr fontId="3" type="noConversion"/>
  <pageMargins left="0.59055118110236227" right="0.23622047244094491" top="0.34" bottom="0.59055118110236227" header="0.31496062992125984" footer="0.31496062992125984"/>
  <pageSetup paperSize="9" fitToHeight="0" orientation="portrait" r:id="rId1"/>
  <headerFooter alignWithMargins="0"/>
</worksheet>
</file>

<file path=xl/worksheets/sheet21.xml><?xml version="1.0" encoding="utf-8"?>
<worksheet xmlns="http://schemas.openxmlformats.org/spreadsheetml/2006/main" xmlns:r="http://schemas.openxmlformats.org/officeDocument/2006/relationships">
  <sheetPr codeName="Лист11">
    <tabColor rgb="FF92D050"/>
  </sheetPr>
  <dimension ref="A1:G15"/>
  <sheetViews>
    <sheetView workbookViewId="0">
      <selection activeCell="D24" sqref="D24"/>
    </sheetView>
  </sheetViews>
  <sheetFormatPr defaultRowHeight="12.75"/>
  <cols>
    <col min="1" max="1" width="48.5703125" style="4" customWidth="1"/>
    <col min="2" max="2" width="15" style="4" bestFit="1" customWidth="1"/>
    <col min="3" max="4" width="15" style="4" customWidth="1"/>
    <col min="5" max="5" width="9.140625" style="4"/>
    <col min="6" max="6" width="12.5703125" style="4" customWidth="1"/>
    <col min="7" max="16384" width="9.140625" style="4"/>
  </cols>
  <sheetData>
    <row r="1" spans="1:7" ht="45" customHeight="1">
      <c r="A1" s="508" t="str">
        <f>"Приложение №"&amp;Н1мол&amp;" к решению
Богучанского районного Совета депутатов
от "&amp;Р1дата&amp;" года №"&amp;Р1номер</f>
        <v>Приложение №10 к решению
Богучанского районного Совета депутатов
от     " " 2018 года №</v>
      </c>
      <c r="B1" s="508"/>
      <c r="C1" s="508"/>
      <c r="D1" s="508"/>
    </row>
    <row r="2" spans="1:7" ht="115.5" customHeight="1">
      <c r="A2" s="551" t="str">
        <f>"Межбюджетные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за "&amp;год&amp;" год"</f>
        <v>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за 2017 год</v>
      </c>
      <c r="B2" s="551"/>
      <c r="C2" s="551"/>
      <c r="D2" s="551"/>
    </row>
    <row r="3" spans="1:7">
      <c r="C3" s="11"/>
      <c r="D3" s="11" t="s">
        <v>94</v>
      </c>
    </row>
    <row r="4" spans="1:7" ht="25.5">
      <c r="A4" s="36" t="s">
        <v>28</v>
      </c>
      <c r="B4" s="36" t="s">
        <v>2456</v>
      </c>
      <c r="C4" s="36" t="s">
        <v>2457</v>
      </c>
      <c r="D4" s="36" t="s">
        <v>2194</v>
      </c>
      <c r="F4" s="42" t="s">
        <v>1008</v>
      </c>
    </row>
    <row r="5" spans="1:7" ht="15">
      <c r="A5" s="38" t="s">
        <v>95</v>
      </c>
      <c r="B5" s="39">
        <f>SUM(B6:B15)</f>
        <v>674240</v>
      </c>
      <c r="C5" s="39">
        <f>SUM(C6:C15)</f>
        <v>674240</v>
      </c>
      <c r="D5" s="423">
        <f>C5/B5*100</f>
        <v>100</v>
      </c>
      <c r="E5" s="116" t="s">
        <v>312</v>
      </c>
      <c r="F5" s="119">
        <f ca="1">SUMIF(РзПз,"????"&amp;F$4,СумВед)-B5</f>
        <v>0</v>
      </c>
      <c r="G5" s="4">
        <v>2016</v>
      </c>
    </row>
    <row r="6" spans="1:7" ht="14.25">
      <c r="A6" s="13" t="s">
        <v>795</v>
      </c>
      <c r="B6" s="29">
        <v>84280</v>
      </c>
      <c r="C6" s="29">
        <v>84280</v>
      </c>
      <c r="D6" s="29">
        <f>C6/B6*100</f>
        <v>100</v>
      </c>
      <c r="F6" s="119">
        <f ca="1">SUMIF(РзПзПлПер,"????"&amp;F$4,СумВед14)-C5</f>
        <v>0</v>
      </c>
      <c r="G6" s="4">
        <v>2017</v>
      </c>
    </row>
    <row r="7" spans="1:7" ht="14.25">
      <c r="A7" s="13" t="s">
        <v>106</v>
      </c>
      <c r="B7" s="29">
        <f>15625+26515</f>
        <v>42140</v>
      </c>
      <c r="C7" s="29">
        <v>42140</v>
      </c>
      <c r="D7" s="29">
        <f t="shared" ref="D7:D14" si="0">C7/B7*100</f>
        <v>100</v>
      </c>
      <c r="F7" s="119">
        <f ca="1">SUMIF(РзПзПлПер,"????"&amp;F$4,СумВед15)-D5</f>
        <v>674140</v>
      </c>
      <c r="G7" s="4">
        <v>2018</v>
      </c>
    </row>
    <row r="8" spans="1:7" ht="14.25">
      <c r="A8" s="13" t="s">
        <v>107</v>
      </c>
      <c r="B8" s="29">
        <v>84280</v>
      </c>
      <c r="C8" s="29">
        <v>84280</v>
      </c>
      <c r="D8" s="29">
        <f t="shared" si="0"/>
        <v>100</v>
      </c>
    </row>
    <row r="9" spans="1:7" ht="14.25">
      <c r="A9" s="13" t="s">
        <v>168</v>
      </c>
      <c r="B9" s="29">
        <v>84280</v>
      </c>
      <c r="C9" s="29">
        <v>84280</v>
      </c>
      <c r="D9" s="29">
        <f t="shared" si="0"/>
        <v>100</v>
      </c>
    </row>
    <row r="10" spans="1:7" ht="14.25">
      <c r="A10" s="13" t="s">
        <v>108</v>
      </c>
      <c r="B10" s="29">
        <v>84280</v>
      </c>
      <c r="C10" s="29">
        <v>84280</v>
      </c>
      <c r="D10" s="29">
        <f t="shared" si="0"/>
        <v>100</v>
      </c>
    </row>
    <row r="11" spans="1:7" ht="14.25">
      <c r="A11" s="13" t="s">
        <v>109</v>
      </c>
      <c r="B11" s="29">
        <v>84280</v>
      </c>
      <c r="C11" s="29">
        <v>84280</v>
      </c>
      <c r="D11" s="29">
        <f t="shared" si="0"/>
        <v>100</v>
      </c>
    </row>
    <row r="12" spans="1:7" ht="14.25">
      <c r="A12" s="13" t="s">
        <v>111</v>
      </c>
      <c r="B12" s="29">
        <v>67424</v>
      </c>
      <c r="C12" s="29">
        <v>67424</v>
      </c>
      <c r="D12" s="29">
        <f t="shared" si="0"/>
        <v>100</v>
      </c>
    </row>
    <row r="13" spans="1:7" ht="14.25">
      <c r="A13" s="13" t="s">
        <v>171</v>
      </c>
      <c r="B13" s="29">
        <v>58996</v>
      </c>
      <c r="C13" s="29">
        <v>58996</v>
      </c>
      <c r="D13" s="29">
        <f t="shared" si="0"/>
        <v>100</v>
      </c>
    </row>
    <row r="14" spans="1:7" ht="14.25">
      <c r="A14" s="13" t="s">
        <v>172</v>
      </c>
      <c r="B14" s="29">
        <v>84280</v>
      </c>
      <c r="C14" s="29">
        <v>84280</v>
      </c>
      <c r="D14" s="29">
        <f t="shared" si="0"/>
        <v>100</v>
      </c>
    </row>
    <row r="15" spans="1:7" ht="14.25" hidden="1">
      <c r="A15" s="13" t="s">
        <v>113</v>
      </c>
      <c r="B15" s="29">
        <f>84280-84280</f>
        <v>0</v>
      </c>
      <c r="C15" s="29">
        <v>0</v>
      </c>
      <c r="D15" s="29">
        <v>0</v>
      </c>
    </row>
  </sheetData>
  <mergeCells count="2">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22.xml><?xml version="1.0" encoding="utf-8"?>
<worksheet xmlns="http://schemas.openxmlformats.org/spreadsheetml/2006/main" xmlns:r="http://schemas.openxmlformats.org/officeDocument/2006/relationships">
  <sheetPr codeName="Лист12">
    <tabColor rgb="FF92D050"/>
  </sheetPr>
  <dimension ref="A1:G23"/>
  <sheetViews>
    <sheetView workbookViewId="0">
      <selection activeCell="A3" sqref="A3"/>
    </sheetView>
  </sheetViews>
  <sheetFormatPr defaultRowHeight="12.75"/>
  <cols>
    <col min="1" max="1" width="51.140625" style="4" customWidth="1"/>
    <col min="2" max="2" width="8.42578125" style="4" hidden="1" customWidth="1"/>
    <col min="3" max="3" width="13" style="4" customWidth="1"/>
    <col min="4" max="4" width="11.85546875" style="4" customWidth="1"/>
    <col min="5" max="5" width="11.85546875" style="4" bestFit="1" customWidth="1"/>
    <col min="6" max="6" width="15" style="23" customWidth="1"/>
    <col min="7" max="16384" width="9.140625" style="4"/>
  </cols>
  <sheetData>
    <row r="1" spans="1:7" ht="41.25" customHeight="1">
      <c r="A1" s="508" t="str">
        <f>"Приложение №"&amp;Н1ком&amp;" к решению
Богучанского районного Совета депутатов
от "&amp;Р1дата&amp;" года №"&amp;Р1номер</f>
        <v>Приложение №11 к решению
Богучанского районного Совета депутатов
от     " " 2018 года №</v>
      </c>
      <c r="B1" s="508"/>
      <c r="C1" s="508"/>
      <c r="D1" s="508"/>
      <c r="E1" s="508"/>
    </row>
    <row r="2" spans="1:7" ht="93" customHeight="1">
      <c r="A2" s="509" t="str">
        <f>"Субвенции на выполнение государственных полномочий по созданию и обеспечению деятельности административных комиссий за "&amp;год&amp;" год"</f>
        <v>Субвенции на выполнение государственных полномочий по созданию и обеспечению деятельности административных комиссий за 2017 год</v>
      </c>
      <c r="B2" s="509"/>
      <c r="C2" s="509"/>
      <c r="D2" s="509"/>
      <c r="E2" s="509"/>
    </row>
    <row r="3" spans="1:7">
      <c r="D3" s="11"/>
      <c r="E3" s="11" t="s">
        <v>94</v>
      </c>
    </row>
    <row r="4" spans="1:7" ht="25.5">
      <c r="A4" s="36" t="s">
        <v>28</v>
      </c>
      <c r="B4" s="120" t="s">
        <v>46</v>
      </c>
      <c r="C4" s="36" t="s">
        <v>2456</v>
      </c>
      <c r="D4" s="36" t="s">
        <v>2457</v>
      </c>
      <c r="E4" s="36" t="s">
        <v>2194</v>
      </c>
      <c r="F4" s="37">
        <v>1110075140</v>
      </c>
      <c r="G4" s="4" t="s">
        <v>312</v>
      </c>
    </row>
    <row r="5" spans="1:7" ht="15">
      <c r="A5" s="584" t="s">
        <v>95</v>
      </c>
      <c r="B5" s="585"/>
      <c r="C5" s="294">
        <f>SUM(C6:C23)</f>
        <v>178100</v>
      </c>
      <c r="D5" s="294">
        <f>SUM(D6:D23)</f>
        <v>178100</v>
      </c>
      <c r="E5" s="424">
        <f>D5/C5*100</f>
        <v>100</v>
      </c>
      <c r="F5" s="117">
        <f ca="1">SUMIF(РзПз,"????"&amp;F$4,СумВед)-C5</f>
        <v>0</v>
      </c>
      <c r="G5" s="4">
        <v>2013</v>
      </c>
    </row>
    <row r="6" spans="1:7" ht="14.25">
      <c r="A6" s="40" t="s">
        <v>795</v>
      </c>
      <c r="B6" s="121" t="s">
        <v>47</v>
      </c>
      <c r="C6" s="297">
        <v>7700</v>
      </c>
      <c r="D6" s="297">
        <v>7700</v>
      </c>
      <c r="E6" s="297">
        <f>D6/C6*100</f>
        <v>100</v>
      </c>
      <c r="F6" s="117">
        <f ca="1">SUMIF(РзПзПлПер,"????"&amp;F$4,СумВед14)-D5</f>
        <v>0</v>
      </c>
      <c r="G6" s="4">
        <v>2014</v>
      </c>
    </row>
    <row r="7" spans="1:7" ht="14.25">
      <c r="A7" s="40" t="s">
        <v>106</v>
      </c>
      <c r="B7" s="121" t="s">
        <v>48</v>
      </c>
      <c r="C7" s="297">
        <v>2600</v>
      </c>
      <c r="D7" s="297">
        <v>2600</v>
      </c>
      <c r="E7" s="297">
        <f t="shared" ref="E7:E23" si="0">D7/C7*100</f>
        <v>100</v>
      </c>
      <c r="F7" s="117">
        <f ca="1">SUMIF(РзПзПлПер,"????"&amp;F$4,СумВед15)-E5</f>
        <v>178000</v>
      </c>
      <c r="G7" s="4">
        <v>2015</v>
      </c>
    </row>
    <row r="8" spans="1:7" ht="14.25">
      <c r="A8" s="40" t="s">
        <v>200</v>
      </c>
      <c r="B8" s="121" t="s">
        <v>49</v>
      </c>
      <c r="C8" s="297">
        <v>900</v>
      </c>
      <c r="D8" s="297">
        <v>900</v>
      </c>
      <c r="E8" s="297">
        <f t="shared" si="0"/>
        <v>100</v>
      </c>
    </row>
    <row r="9" spans="1:7" ht="14.25">
      <c r="A9" s="40" t="s">
        <v>66</v>
      </c>
      <c r="B9" s="121" t="s">
        <v>50</v>
      </c>
      <c r="C9" s="297">
        <v>44000</v>
      </c>
      <c r="D9" s="297">
        <v>44000</v>
      </c>
      <c r="E9" s="297">
        <f t="shared" si="0"/>
        <v>100</v>
      </c>
    </row>
    <row r="10" spans="1:7" ht="14.25">
      <c r="A10" s="40" t="s">
        <v>67</v>
      </c>
      <c r="B10" s="121" t="s">
        <v>51</v>
      </c>
      <c r="C10" s="297">
        <v>2700</v>
      </c>
      <c r="D10" s="297">
        <v>2700</v>
      </c>
      <c r="E10" s="297">
        <f t="shared" si="0"/>
        <v>100</v>
      </c>
    </row>
    <row r="11" spans="1:7" ht="14.25">
      <c r="A11" s="15" t="s">
        <v>279</v>
      </c>
      <c r="B11" s="121" t="s">
        <v>52</v>
      </c>
      <c r="C11" s="297">
        <v>12800</v>
      </c>
      <c r="D11" s="297">
        <v>12800</v>
      </c>
      <c r="E11" s="297">
        <f t="shared" si="0"/>
        <v>100</v>
      </c>
    </row>
    <row r="12" spans="1:7" ht="14.25">
      <c r="A12" s="40" t="s">
        <v>107</v>
      </c>
      <c r="B12" s="121" t="s">
        <v>53</v>
      </c>
      <c r="C12" s="297">
        <v>7000</v>
      </c>
      <c r="D12" s="297">
        <v>7000</v>
      </c>
      <c r="E12" s="297">
        <f t="shared" si="0"/>
        <v>100</v>
      </c>
    </row>
    <row r="13" spans="1:7" ht="14.25">
      <c r="A13" s="40" t="s">
        <v>168</v>
      </c>
      <c r="B13" s="121" t="s">
        <v>54</v>
      </c>
      <c r="C13" s="297">
        <v>6200</v>
      </c>
      <c r="D13" s="297">
        <v>6200</v>
      </c>
      <c r="E13" s="297">
        <f t="shared" si="0"/>
        <v>100</v>
      </c>
    </row>
    <row r="14" spans="1:7" ht="14.25">
      <c r="A14" s="40" t="s">
        <v>169</v>
      </c>
      <c r="B14" s="121" t="s">
        <v>55</v>
      </c>
      <c r="C14" s="297">
        <v>2000</v>
      </c>
      <c r="D14" s="297">
        <v>2000</v>
      </c>
      <c r="E14" s="297">
        <f t="shared" si="0"/>
        <v>100</v>
      </c>
    </row>
    <row r="15" spans="1:7" ht="14.25">
      <c r="A15" s="40" t="s">
        <v>108</v>
      </c>
      <c r="B15" s="121" t="s">
        <v>56</v>
      </c>
      <c r="C15" s="297">
        <v>4800</v>
      </c>
      <c r="D15" s="297">
        <v>4800</v>
      </c>
      <c r="E15" s="297">
        <f t="shared" si="0"/>
        <v>100</v>
      </c>
    </row>
    <row r="16" spans="1:7" ht="14.25">
      <c r="A16" s="40" t="s">
        <v>110</v>
      </c>
      <c r="B16" s="121" t="s">
        <v>57</v>
      </c>
      <c r="C16" s="297">
        <v>22100</v>
      </c>
      <c r="D16" s="297">
        <v>22100</v>
      </c>
      <c r="E16" s="297">
        <f t="shared" si="0"/>
        <v>100</v>
      </c>
    </row>
    <row r="17" spans="1:5" ht="14.25">
      <c r="A17" s="40" t="s">
        <v>201</v>
      </c>
      <c r="B17" s="121" t="s">
        <v>58</v>
      </c>
      <c r="C17" s="297">
        <v>6000</v>
      </c>
      <c r="D17" s="297">
        <v>6000</v>
      </c>
      <c r="E17" s="297">
        <f t="shared" si="0"/>
        <v>100</v>
      </c>
    </row>
    <row r="18" spans="1:5" ht="14.25">
      <c r="A18" s="28" t="s">
        <v>109</v>
      </c>
      <c r="B18" s="122" t="s">
        <v>59</v>
      </c>
      <c r="C18" s="297">
        <v>9000</v>
      </c>
      <c r="D18" s="297">
        <v>9000</v>
      </c>
      <c r="E18" s="297">
        <f t="shared" si="0"/>
        <v>100</v>
      </c>
    </row>
    <row r="19" spans="1:5" ht="14.25">
      <c r="A19" s="40" t="s">
        <v>111</v>
      </c>
      <c r="B19" s="121" t="s">
        <v>60</v>
      </c>
      <c r="C19" s="297">
        <v>26400</v>
      </c>
      <c r="D19" s="297">
        <v>26400</v>
      </c>
      <c r="E19" s="297">
        <f t="shared" si="0"/>
        <v>100</v>
      </c>
    </row>
    <row r="20" spans="1:5" ht="14.25">
      <c r="A20" s="40" t="s">
        <v>112</v>
      </c>
      <c r="B20" s="121" t="s">
        <v>61</v>
      </c>
      <c r="C20" s="297">
        <v>2600</v>
      </c>
      <c r="D20" s="297">
        <v>2600</v>
      </c>
      <c r="E20" s="297">
        <f t="shared" si="0"/>
        <v>100</v>
      </c>
    </row>
    <row r="21" spans="1:5" ht="14.25">
      <c r="A21" s="40" t="s">
        <v>171</v>
      </c>
      <c r="B21" s="121" t="s">
        <v>62</v>
      </c>
      <c r="C21" s="297">
        <v>5600</v>
      </c>
      <c r="D21" s="297">
        <v>5600</v>
      </c>
      <c r="E21" s="297">
        <f t="shared" si="0"/>
        <v>100</v>
      </c>
    </row>
    <row r="22" spans="1:5" ht="14.25">
      <c r="A22" s="40" t="s">
        <v>172</v>
      </c>
      <c r="B22" s="121" t="s">
        <v>63</v>
      </c>
      <c r="C22" s="297">
        <v>11700</v>
      </c>
      <c r="D22" s="297">
        <v>11700</v>
      </c>
      <c r="E22" s="297">
        <f t="shared" si="0"/>
        <v>100</v>
      </c>
    </row>
    <row r="23" spans="1:5" ht="14.25">
      <c r="A23" s="40" t="s">
        <v>113</v>
      </c>
      <c r="B23" s="121" t="s">
        <v>64</v>
      </c>
      <c r="C23" s="297">
        <v>4000</v>
      </c>
      <c r="D23" s="297">
        <v>4000</v>
      </c>
      <c r="E23" s="297">
        <f t="shared" si="0"/>
        <v>100</v>
      </c>
    </row>
  </sheetData>
  <mergeCells count="3">
    <mergeCell ref="A5:B5"/>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23.xml><?xml version="1.0" encoding="utf-8"?>
<worksheet xmlns="http://schemas.openxmlformats.org/spreadsheetml/2006/main" xmlns:r="http://schemas.openxmlformats.org/officeDocument/2006/relationships">
  <sheetPr codeName="Лист10">
    <tabColor rgb="FF92D050"/>
  </sheetPr>
  <dimension ref="A1:H22"/>
  <sheetViews>
    <sheetView workbookViewId="0">
      <selection activeCell="A3" sqref="A3"/>
    </sheetView>
  </sheetViews>
  <sheetFormatPr defaultRowHeight="12.75"/>
  <cols>
    <col min="1" max="1" width="45.7109375" style="4" customWidth="1"/>
    <col min="2" max="2" width="18" style="4" customWidth="1"/>
    <col min="3" max="3" width="15" style="4" customWidth="1"/>
    <col min="4" max="4" width="13" style="4" customWidth="1"/>
    <col min="5" max="5" width="18" style="4" customWidth="1"/>
    <col min="6" max="6" width="11.5703125" style="4" customWidth="1"/>
    <col min="7" max="7" width="13.5703125" style="4" customWidth="1"/>
    <col min="8" max="8" width="13.28515625" style="4" customWidth="1"/>
    <col min="9" max="16384" width="9.140625" style="4"/>
  </cols>
  <sheetData>
    <row r="1" spans="1:8" ht="48" customHeight="1">
      <c r="A1" s="508" t="str">
        <f>"Приложение №"&amp;Н1вус&amp;" к решению
Богучанского районного Совета депутатов
от "&amp;Р1дата&amp;" года №"&amp;Р1номер</f>
        <v>Приложение №12 к решению
Богучанского районного Совета депутатов
от     " " 2018 года №</v>
      </c>
      <c r="B1" s="508"/>
      <c r="C1" s="508"/>
      <c r="D1" s="508"/>
    </row>
    <row r="2" spans="1:8" ht="126" customHeight="1">
      <c r="A2" s="509" t="str">
        <f>"Субвенции на осуществление государственных полномочий по  первичному воинскому учету на территориях, где отсутствуют военные комиссариаты за "&amp;год&amp;" год "</f>
        <v xml:space="preserve">Субвенции на осуществление государственных полномочий по  первичному воинскому учету на территориях, где отсутствуют военные комиссариаты за 2017 год </v>
      </c>
      <c r="B2" s="509"/>
      <c r="C2" s="509"/>
      <c r="D2" s="509"/>
    </row>
    <row r="3" spans="1:8">
      <c r="B3" s="11"/>
      <c r="C3" s="11"/>
      <c r="D3" s="11" t="s">
        <v>94</v>
      </c>
    </row>
    <row r="4" spans="1:8" ht="28.5">
      <c r="A4" s="36" t="s">
        <v>28</v>
      </c>
      <c r="B4" s="26" t="s">
        <v>2456</v>
      </c>
      <c r="C4" s="26" t="s">
        <v>2457</v>
      </c>
      <c r="D4" s="26" t="s">
        <v>2194</v>
      </c>
    </row>
    <row r="5" spans="1:8" ht="15">
      <c r="A5" s="38" t="s">
        <v>95</v>
      </c>
      <c r="B5" s="294">
        <f>SUM(B6:B22)</f>
        <v>4131005</v>
      </c>
      <c r="C5" s="294">
        <f>SUM(C6:C22)</f>
        <v>4076645.37</v>
      </c>
      <c r="D5" s="296">
        <f>C5/B5*100</f>
        <v>98.684106409941407</v>
      </c>
      <c r="E5" s="116" t="s">
        <v>312</v>
      </c>
      <c r="F5" s="118">
        <f ca="1">SUMIF(РзПз,"02031110051180",СумВед)-B5</f>
        <v>0</v>
      </c>
      <c r="G5" s="118">
        <f ca="1">SUMIF(РзПзПлПер,"02031110051180",СумВед14)-C5</f>
        <v>-4076645.37</v>
      </c>
      <c r="H5" s="118"/>
    </row>
    <row r="6" spans="1:8" ht="14.25">
      <c r="A6" s="28" t="s">
        <v>795</v>
      </c>
      <c r="B6" s="296">
        <f>368867+4834-41042</f>
        <v>332659</v>
      </c>
      <c r="C6" s="296">
        <v>332659</v>
      </c>
      <c r="D6" s="296">
        <f>C6/B6*100</f>
        <v>100</v>
      </c>
    </row>
    <row r="7" spans="1:8" ht="14.25">
      <c r="A7" s="28" t="s">
        <v>106</v>
      </c>
      <c r="B7" s="296">
        <f>66756+1244+57000</f>
        <v>125000</v>
      </c>
      <c r="C7" s="296">
        <v>125000</v>
      </c>
      <c r="D7" s="296">
        <f t="shared" ref="D7:D22" si="0">C7/B7*100</f>
        <v>100</v>
      </c>
    </row>
    <row r="8" spans="1:8" ht="14.25">
      <c r="A8" s="28" t="s">
        <v>200</v>
      </c>
      <c r="B8" s="296">
        <f>40054+747+35000</f>
        <v>75801</v>
      </c>
      <c r="C8" s="296">
        <v>75801</v>
      </c>
      <c r="D8" s="296">
        <f t="shared" si="0"/>
        <v>100</v>
      </c>
    </row>
    <row r="9" spans="1:8" ht="14.25">
      <c r="A9" s="28" t="s">
        <v>67</v>
      </c>
      <c r="B9" s="296">
        <f>66756+1244+20000</f>
        <v>88000</v>
      </c>
      <c r="C9" s="296">
        <v>88000</v>
      </c>
      <c r="D9" s="296">
        <f t="shared" si="0"/>
        <v>100</v>
      </c>
    </row>
    <row r="10" spans="1:8" ht="28.5">
      <c r="A10" s="28" t="s">
        <v>279</v>
      </c>
      <c r="B10" s="296">
        <f>368867+4834-42903.22</f>
        <v>330797.78000000003</v>
      </c>
      <c r="C10" s="296">
        <v>330797.78000000003</v>
      </c>
      <c r="D10" s="296">
        <f t="shared" si="0"/>
        <v>100</v>
      </c>
    </row>
    <row r="11" spans="1:8" ht="14.25">
      <c r="A11" s="43" t="s">
        <v>107</v>
      </c>
      <c r="B11" s="296">
        <f>368867+4834</f>
        <v>373701</v>
      </c>
      <c r="C11" s="296">
        <v>373701</v>
      </c>
      <c r="D11" s="296">
        <f t="shared" si="0"/>
        <v>100</v>
      </c>
    </row>
    <row r="12" spans="1:8" ht="14.25">
      <c r="A12" s="28" t="s">
        <v>168</v>
      </c>
      <c r="B12" s="296">
        <f>368867+4834-70000</f>
        <v>303701</v>
      </c>
      <c r="C12" s="296">
        <v>303701</v>
      </c>
      <c r="D12" s="296">
        <f t="shared" si="0"/>
        <v>100</v>
      </c>
    </row>
    <row r="13" spans="1:8" ht="28.5">
      <c r="A13" s="28" t="s">
        <v>169</v>
      </c>
      <c r="B13" s="296">
        <f>66756+1244+35000</f>
        <v>103000</v>
      </c>
      <c r="C13" s="296">
        <v>103000</v>
      </c>
      <c r="D13" s="296">
        <f t="shared" si="0"/>
        <v>100</v>
      </c>
    </row>
    <row r="14" spans="1:8" ht="14.25">
      <c r="A14" s="28" t="s">
        <v>108</v>
      </c>
      <c r="B14" s="296">
        <f>93459+1726+50000</f>
        <v>145185</v>
      </c>
      <c r="C14" s="296">
        <v>145185</v>
      </c>
      <c r="D14" s="296">
        <f t="shared" si="0"/>
        <v>100</v>
      </c>
    </row>
    <row r="15" spans="1:8" ht="14.25">
      <c r="A15" s="28" t="s">
        <v>110</v>
      </c>
      <c r="B15" s="296">
        <f>377482+4836-29740.37</f>
        <v>352577.63</v>
      </c>
      <c r="C15" s="296">
        <v>298218</v>
      </c>
      <c r="D15" s="296">
        <f t="shared" si="0"/>
        <v>84.582223778632809</v>
      </c>
    </row>
    <row r="16" spans="1:8" ht="28.5">
      <c r="A16" s="28" t="s">
        <v>201</v>
      </c>
      <c r="B16" s="296">
        <f>368867+4834</f>
        <v>373701</v>
      </c>
      <c r="C16" s="296">
        <v>373701</v>
      </c>
      <c r="D16" s="296">
        <f t="shared" si="0"/>
        <v>100</v>
      </c>
    </row>
    <row r="17" spans="1:4" ht="14.25">
      <c r="A17" s="28" t="s">
        <v>109</v>
      </c>
      <c r="B17" s="296">
        <f>368867+4834-75100-21000</f>
        <v>277601</v>
      </c>
      <c r="C17" s="296">
        <v>277601</v>
      </c>
      <c r="D17" s="296">
        <f t="shared" si="0"/>
        <v>100</v>
      </c>
    </row>
    <row r="18" spans="1:4" ht="14.25">
      <c r="A18" s="28" t="s">
        <v>111</v>
      </c>
      <c r="B18" s="296">
        <f>377483+4835-34395</f>
        <v>347923</v>
      </c>
      <c r="C18" s="296">
        <v>347923</v>
      </c>
      <c r="D18" s="296">
        <f t="shared" si="0"/>
        <v>100</v>
      </c>
    </row>
    <row r="19" spans="1:4" ht="14.25">
      <c r="A19" s="28" t="s">
        <v>112</v>
      </c>
      <c r="B19" s="296">
        <f>93459+1726+685.59</f>
        <v>95870.59</v>
      </c>
      <c r="C19" s="296">
        <v>95870.59</v>
      </c>
      <c r="D19" s="296">
        <f t="shared" si="0"/>
        <v>100</v>
      </c>
    </row>
    <row r="20" spans="1:4" ht="14.25">
      <c r="A20" s="28" t="s">
        <v>171</v>
      </c>
      <c r="B20" s="296">
        <f>368867+4834</f>
        <v>373701</v>
      </c>
      <c r="C20" s="296">
        <v>373701</v>
      </c>
      <c r="D20" s="296">
        <f t="shared" si="0"/>
        <v>100</v>
      </c>
    </row>
    <row r="21" spans="1:4" ht="14.25">
      <c r="A21" s="28" t="s">
        <v>172</v>
      </c>
      <c r="B21" s="296">
        <f>368867+4834-44100</f>
        <v>329601</v>
      </c>
      <c r="C21" s="296">
        <v>329601</v>
      </c>
      <c r="D21" s="296">
        <f t="shared" si="0"/>
        <v>100</v>
      </c>
    </row>
    <row r="22" spans="1:4" ht="14.25">
      <c r="A22" s="28" t="s">
        <v>113</v>
      </c>
      <c r="B22" s="296">
        <f>93459+1726+7000</f>
        <v>102185</v>
      </c>
      <c r="C22" s="296">
        <v>102185</v>
      </c>
      <c r="D22" s="296">
        <f t="shared" si="0"/>
        <v>100</v>
      </c>
    </row>
  </sheetData>
  <mergeCells count="2">
    <mergeCell ref="A2:D2"/>
    <mergeCell ref="A1:D1"/>
  </mergeCells>
  <phoneticPr fontId="3" type="noConversion"/>
  <pageMargins left="0.98425196850393704" right="0.23622047244094491" top="0.74803149606299213" bottom="0.74803149606299213" header="0.31496062992125984" footer="0.31496062992125984"/>
  <pageSetup paperSize="9" fitToHeight="0" orientation="portrait" r:id="rId1"/>
  <headerFooter alignWithMargins="0"/>
</worksheet>
</file>

<file path=xl/worksheets/sheet24.xml><?xml version="1.0" encoding="utf-8"?>
<worksheet xmlns="http://schemas.openxmlformats.org/spreadsheetml/2006/main" xmlns:r="http://schemas.openxmlformats.org/officeDocument/2006/relationships">
  <sheetPr>
    <tabColor rgb="FF92D050"/>
  </sheetPr>
  <dimension ref="A1:G8"/>
  <sheetViews>
    <sheetView workbookViewId="0">
      <selection activeCell="A3" sqref="A3"/>
    </sheetView>
  </sheetViews>
  <sheetFormatPr defaultRowHeight="12.75"/>
  <cols>
    <col min="1" max="1" width="45.28515625" customWidth="1"/>
    <col min="2" max="2" width="14.7109375" customWidth="1"/>
    <col min="3" max="3" width="14.140625" customWidth="1"/>
    <col min="4" max="4" width="14.5703125" customWidth="1"/>
    <col min="5" max="5" width="19.140625" customWidth="1"/>
    <col min="6" max="6" width="13.85546875" customWidth="1"/>
    <col min="7" max="7" width="11.28515625" customWidth="1"/>
  </cols>
  <sheetData>
    <row r="1" spans="1:7" ht="60.75" customHeight="1">
      <c r="A1" s="508" t="str">
        <f>"Приложение №"&amp;Н1акк&amp;" к решению
Богучанского районного Совета депутатов
от "&amp;Р1дата&amp;" года №"&amp;Р1номер</f>
        <v>Приложение №13 к решению
Богучанского районного Совета депутатов
от     " " 2018 года №</v>
      </c>
      <c r="B1" s="508"/>
      <c r="C1" s="508"/>
      <c r="D1" s="508"/>
    </row>
    <row r="2" spans="1:7" ht="114" customHeight="1">
      <c r="A2" s="509" t="str">
        <f>"Межбюджетные трансферы на организацию и проведение акарицидных обработок мест массового отдыха населения за "&amp;год&amp;" год"</f>
        <v>Межбюджетные трансферы на организацию и проведение акарицидных обработок мест массового отдыха населения за 2017 год</v>
      </c>
      <c r="B2" s="509"/>
      <c r="C2" s="509"/>
      <c r="D2" s="509"/>
    </row>
    <row r="3" spans="1:7">
      <c r="A3" s="4"/>
      <c r="B3" s="4"/>
      <c r="C3" s="4"/>
      <c r="D3" s="11" t="s">
        <v>94</v>
      </c>
    </row>
    <row r="4" spans="1:7" ht="28.5">
      <c r="A4" s="36" t="s">
        <v>28</v>
      </c>
      <c r="B4" s="26" t="s">
        <v>2456</v>
      </c>
      <c r="C4" s="26" t="s">
        <v>2457</v>
      </c>
      <c r="D4" s="26" t="s">
        <v>2194</v>
      </c>
      <c r="F4">
        <v>9090075550</v>
      </c>
    </row>
    <row r="5" spans="1:7" ht="15">
      <c r="A5" s="154" t="s">
        <v>95</v>
      </c>
      <c r="B5" s="294">
        <f>SUM(B6:B19)</f>
        <v>64000</v>
      </c>
      <c r="C5" s="294">
        <f>SUM(C6:C19)</f>
        <v>64000</v>
      </c>
      <c r="D5" s="424">
        <f>C5/B5*100</f>
        <v>100</v>
      </c>
      <c r="E5" s="155">
        <f ca="1">SUMIF(РзПз,"????"&amp;F4,СумВед)-B5</f>
        <v>0</v>
      </c>
      <c r="F5" s="155">
        <f ca="1">SUMIF(РзПзПлПер,"????"&amp;F4,СумВед14)-C5</f>
        <v>0</v>
      </c>
      <c r="G5" s="155">
        <f ca="1">SUMIF(РзПзПлПер,"????"&amp;F4,СумВед15)-D5</f>
        <v>63900</v>
      </c>
    </row>
    <row r="6" spans="1:7" ht="14.25">
      <c r="A6" s="40" t="s">
        <v>66</v>
      </c>
      <c r="B6" s="297">
        <v>20000</v>
      </c>
      <c r="C6" s="297">
        <v>20000</v>
      </c>
      <c r="D6" s="297">
        <f>C6/B6*100</f>
        <v>100</v>
      </c>
    </row>
    <row r="7" spans="1:7" ht="14.25">
      <c r="A7" s="28" t="s">
        <v>109</v>
      </c>
      <c r="B7" s="297">
        <v>24000</v>
      </c>
      <c r="C7" s="297">
        <v>24000</v>
      </c>
      <c r="D7" s="297">
        <f t="shared" ref="D7:D8" si="0">C7/B7*100</f>
        <v>100</v>
      </c>
    </row>
    <row r="8" spans="1:7" ht="14.25">
      <c r="A8" s="40" t="s">
        <v>170</v>
      </c>
      <c r="B8" s="297">
        <v>20000</v>
      </c>
      <c r="C8" s="297">
        <v>20000</v>
      </c>
      <c r="D8" s="297">
        <f t="shared" si="0"/>
        <v>100</v>
      </c>
    </row>
  </sheetData>
  <mergeCells count="2">
    <mergeCell ref="A1:D1"/>
    <mergeCell ref="A2:D2"/>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sheetPr codeName="Лист16">
    <tabColor rgb="FF92D050"/>
  </sheetPr>
  <dimension ref="A1:D11"/>
  <sheetViews>
    <sheetView workbookViewId="0">
      <selection activeCell="A3" sqref="A3"/>
    </sheetView>
  </sheetViews>
  <sheetFormatPr defaultRowHeight="12.75"/>
  <cols>
    <col min="1" max="1" width="48.28515625" style="4" customWidth="1"/>
    <col min="2" max="2" width="17" style="4" customWidth="1"/>
    <col min="3" max="3" width="16" style="4" customWidth="1"/>
    <col min="4" max="4" width="14.7109375" style="4" customWidth="1"/>
    <col min="5" max="16384" width="9.140625" style="4"/>
  </cols>
  <sheetData>
    <row r="1" spans="1:4" ht="54.75" customHeight="1">
      <c r="A1" s="508" t="str">
        <f>"Приложение №"&amp;Н1займ&amp;" к решению
Богучанского районного Совета депутатов
от "&amp;Р1дата&amp;" года №"&amp;Р1номер</f>
        <v>Приложение №14 к решению
Богучанского районного Совета депутатов
от     " " 2018 года №</v>
      </c>
      <c r="B1" s="508"/>
      <c r="C1" s="508"/>
      <c r="D1" s="508"/>
    </row>
    <row r="2" spans="1:4" ht="64.5" customHeight="1">
      <c r="A2" s="586" t="str">
        <f>"Программа муниципальных внутренних заимствований районного бюджета за "&amp;год&amp;" год"</f>
        <v>Программа муниципальных внутренних заимствований районного бюджета за 2017 год</v>
      </c>
      <c r="B2" s="586"/>
      <c r="C2" s="586"/>
      <c r="D2" s="586"/>
    </row>
    <row r="3" spans="1:4" ht="18">
      <c r="A3" s="16"/>
      <c r="D3" s="11" t="s">
        <v>94</v>
      </c>
    </row>
    <row r="4" spans="1:4" s="18" customFormat="1" ht="28.5">
      <c r="A4" s="17" t="s">
        <v>221</v>
      </c>
      <c r="B4" s="17" t="s">
        <v>2456</v>
      </c>
      <c r="C4" s="17" t="s">
        <v>2754</v>
      </c>
      <c r="D4" s="17" t="s">
        <v>2194</v>
      </c>
    </row>
    <row r="5" spans="1:4" s="18" customFormat="1" ht="28.5">
      <c r="A5" s="19" t="s">
        <v>247</v>
      </c>
      <c r="B5" s="20">
        <f>B6-B7</f>
        <v>-33400000</v>
      </c>
      <c r="C5" s="20">
        <f>C6-C7</f>
        <v>-48000000</v>
      </c>
      <c r="D5" s="20">
        <f>C5/B5*100</f>
        <v>143.7125748502994</v>
      </c>
    </row>
    <row r="6" spans="1:4" s="18" customFormat="1" ht="14.25">
      <c r="A6" s="19" t="s">
        <v>796</v>
      </c>
      <c r="B6" s="20">
        <f>123000000+14600000-70000000+22000000</f>
        <v>89600000</v>
      </c>
      <c r="C6" s="20">
        <v>22000000</v>
      </c>
      <c r="D6" s="20">
        <f t="shared" ref="D6:D10" si="0">C6/B6*100</f>
        <v>24.553571428571427</v>
      </c>
    </row>
    <row r="7" spans="1:4" ht="14.25">
      <c r="A7" s="19" t="s">
        <v>248</v>
      </c>
      <c r="B7" s="20">
        <v>123000000</v>
      </c>
      <c r="C7" s="20">
        <v>70000000</v>
      </c>
      <c r="D7" s="20">
        <f t="shared" si="0"/>
        <v>56.910569105691053</v>
      </c>
    </row>
    <row r="8" spans="1:4" ht="57">
      <c r="A8" s="19" t="s">
        <v>249</v>
      </c>
      <c r="B8" s="20">
        <f>B9-B10</f>
        <v>-33400000</v>
      </c>
      <c r="C8" s="20">
        <f>C9-C10</f>
        <v>-48000000</v>
      </c>
      <c r="D8" s="20">
        <f t="shared" si="0"/>
        <v>143.7125748502994</v>
      </c>
    </row>
    <row r="9" spans="1:4" ht="14.25">
      <c r="A9" s="19" t="s">
        <v>267</v>
      </c>
      <c r="B9" s="20">
        <f>123000000+14600000-70000000+22000000</f>
        <v>89600000</v>
      </c>
      <c r="C9" s="20">
        <v>22000000</v>
      </c>
      <c r="D9" s="20">
        <f t="shared" si="0"/>
        <v>24.553571428571427</v>
      </c>
    </row>
    <row r="10" spans="1:4" ht="14.25">
      <c r="A10" s="19" t="s">
        <v>38</v>
      </c>
      <c r="B10" s="20">
        <v>123000000</v>
      </c>
      <c r="C10" s="20">
        <v>70000000</v>
      </c>
      <c r="D10" s="20">
        <f t="shared" si="0"/>
        <v>56.910569105691053</v>
      </c>
    </row>
    <row r="11" spans="1:4" ht="15">
      <c r="A11" s="21"/>
    </row>
  </sheetData>
  <mergeCells count="2">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6.xml><?xml version="1.0" encoding="utf-8"?>
<worksheet xmlns="http://schemas.openxmlformats.org/spreadsheetml/2006/main" xmlns:r="http://schemas.openxmlformats.org/officeDocument/2006/relationships">
  <sheetPr>
    <tabColor rgb="FF92D050"/>
    <pageSetUpPr fitToPage="1"/>
  </sheetPr>
  <dimension ref="A1:F7"/>
  <sheetViews>
    <sheetView zoomScaleNormal="100" workbookViewId="0">
      <selection activeCell="A3" sqref="A3"/>
    </sheetView>
  </sheetViews>
  <sheetFormatPr defaultRowHeight="12.75"/>
  <cols>
    <col min="1" max="1" width="37.7109375" customWidth="1"/>
    <col min="2" max="2" width="16.28515625" customWidth="1"/>
    <col min="3" max="3" width="16.85546875" customWidth="1"/>
    <col min="4" max="4" width="15" customWidth="1"/>
    <col min="5" max="5" width="19.5703125" customWidth="1"/>
    <col min="6" max="6" width="17" customWidth="1"/>
  </cols>
  <sheetData>
    <row r="1" spans="1:6" ht="66" customHeight="1">
      <c r="A1" s="508" t="str">
        <f>"Приложение №"&amp;Н1Пересел&amp;" к решению
Богучанского районного Совета депутатов
от "&amp;Р1дата&amp;" года №"&amp;Р1номер</f>
        <v>Приложение №15 к решению
Богучанского районного Совета депутатов
от     " " 2018 года №</v>
      </c>
      <c r="B1" s="508"/>
      <c r="C1" s="508"/>
      <c r="D1" s="508"/>
      <c r="E1" s="55"/>
    </row>
    <row r="2" spans="1:6" ht="162.75" customHeight="1">
      <c r="A2" s="551" t="s">
        <v>2755</v>
      </c>
      <c r="B2" s="551"/>
      <c r="C2" s="551"/>
      <c r="D2" s="551"/>
    </row>
    <row r="3" spans="1:6" ht="15.75" customHeight="1">
      <c r="A3" s="271"/>
      <c r="B3" s="11" t="s">
        <v>94</v>
      </c>
    </row>
    <row r="4" spans="1:6" ht="35.25" customHeight="1">
      <c r="A4" s="26" t="s">
        <v>28</v>
      </c>
      <c r="B4" s="26" t="s">
        <v>2456</v>
      </c>
      <c r="C4" s="26" t="s">
        <v>2457</v>
      </c>
      <c r="D4" s="26" t="s">
        <v>2194</v>
      </c>
    </row>
    <row r="5" spans="1:6" ht="15">
      <c r="A5" s="419" t="s">
        <v>95</v>
      </c>
      <c r="B5" s="426">
        <f>SUM(B6:B7)</f>
        <v>2069412.1200000003</v>
      </c>
      <c r="C5" s="426">
        <f>SUM(C6:C7)</f>
        <v>2069412.1200000003</v>
      </c>
      <c r="D5" s="428">
        <f>C5/B5*100</f>
        <v>100</v>
      </c>
      <c r="E5">
        <v>1010009502</v>
      </c>
      <c r="F5">
        <v>1010009602</v>
      </c>
    </row>
    <row r="6" spans="1:6">
      <c r="A6" s="278" t="s">
        <v>1298</v>
      </c>
      <c r="B6" s="427">
        <f>4801201.24-2866036.15+134247.03</f>
        <v>2069412.1200000003</v>
      </c>
      <c r="C6" s="427">
        <f>4801201.24-2866036.15+134247.03</f>
        <v>2069412.1200000003</v>
      </c>
      <c r="D6" s="427">
        <f>C6/B6*100</f>
        <v>100</v>
      </c>
      <c r="E6" s="117">
        <f ca="1">SUMIF(РзПз,"????"&amp;E$5,СумВед)+SUMIF(РзПз,"????"&amp;F$5,СумВед)-B5</f>
        <v>0</v>
      </c>
    </row>
    <row r="7" spans="1:6" hidden="1">
      <c r="A7" s="278" t="s">
        <v>109</v>
      </c>
      <c r="B7" s="279"/>
      <c r="C7" s="279">
        <f>1257335.47-1257335.47</f>
        <v>0</v>
      </c>
      <c r="D7" s="425"/>
    </row>
  </sheetData>
  <mergeCells count="2">
    <mergeCell ref="A1:D1"/>
    <mergeCell ref="A2:D2"/>
  </mergeCells>
  <pageMargins left="0.70866141732283472" right="0.24" top="0.74803149606299213" bottom="0.74803149606299213"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sheetPr>
    <tabColor rgb="FF92D050"/>
  </sheetPr>
  <dimension ref="A1:D23"/>
  <sheetViews>
    <sheetView workbookViewId="0">
      <selection activeCell="B5" sqref="B5:D23"/>
    </sheetView>
  </sheetViews>
  <sheetFormatPr defaultRowHeight="12.75"/>
  <cols>
    <col min="1" max="1" width="45.42578125" customWidth="1"/>
    <col min="2" max="2" width="18.5703125" customWidth="1"/>
    <col min="3" max="3" width="18.28515625" customWidth="1"/>
    <col min="4" max="4" width="14" customWidth="1"/>
  </cols>
  <sheetData>
    <row r="1" spans="1:4" ht="56.25" customHeight="1">
      <c r="A1" s="508" t="str">
        <f>"Приложение №"&amp;Н1Дороги&amp;" к решению
Богучанского районного Совета депутатов
от "&amp;Р1дата&amp;" года №"&amp;Р1номер</f>
        <v>Приложение №16 к решению
Богучанского районного Совета депутатов
от     " " 2018 года №</v>
      </c>
      <c r="B1" s="508"/>
      <c r="C1" s="508"/>
      <c r="D1" s="508"/>
    </row>
    <row r="2" spans="1:4" ht="144.75" customHeight="1">
      <c r="A2" s="551" t="s">
        <v>2761</v>
      </c>
      <c r="B2" s="551"/>
      <c r="C2" s="551"/>
      <c r="D2" s="551"/>
    </row>
    <row r="3" spans="1:4" ht="16.5" customHeight="1">
      <c r="A3" s="271"/>
      <c r="B3" s="11" t="s">
        <v>94</v>
      </c>
    </row>
    <row r="4" spans="1:4" ht="25.5">
      <c r="A4" s="26" t="s">
        <v>28</v>
      </c>
      <c r="B4" s="26" t="s">
        <v>2456</v>
      </c>
      <c r="C4" s="488" t="s">
        <v>2457</v>
      </c>
      <c r="D4" s="6" t="s">
        <v>2194</v>
      </c>
    </row>
    <row r="5" spans="1:4" ht="15">
      <c r="A5" s="480" t="s">
        <v>95</v>
      </c>
      <c r="B5" s="277">
        <f>SUM(B6:B23)</f>
        <v>5912130</v>
      </c>
      <c r="C5" s="277">
        <f>SUM(C6:C23)</f>
        <v>5912130</v>
      </c>
      <c r="D5" s="330">
        <f>C5/B5*100</f>
        <v>100</v>
      </c>
    </row>
    <row r="6" spans="1:4" ht="14.25">
      <c r="A6" s="489" t="s">
        <v>65</v>
      </c>
      <c r="B6" s="329">
        <v>300000</v>
      </c>
      <c r="C6" s="291">
        <v>300000</v>
      </c>
      <c r="D6" s="291">
        <f>C6/B6*100</f>
        <v>100</v>
      </c>
    </row>
    <row r="7" spans="1:4" ht="14.25">
      <c r="A7" s="489" t="s">
        <v>1299</v>
      </c>
      <c r="B7" s="329">
        <v>150000</v>
      </c>
      <c r="C7" s="291">
        <v>150000</v>
      </c>
      <c r="D7" s="291">
        <f t="shared" ref="D7:D23" si="0">C7/B7*100</f>
        <v>100</v>
      </c>
    </row>
    <row r="8" spans="1:4" ht="14.25">
      <c r="A8" s="489" t="s">
        <v>200</v>
      </c>
      <c r="B8" s="329">
        <v>70000</v>
      </c>
      <c r="C8" s="291">
        <v>70000</v>
      </c>
      <c r="D8" s="291">
        <f t="shared" si="0"/>
        <v>100</v>
      </c>
    </row>
    <row r="9" spans="1:4" ht="14.25">
      <c r="A9" s="489" t="s">
        <v>66</v>
      </c>
      <c r="B9" s="329">
        <f>625900+949430</f>
        <v>1575330</v>
      </c>
      <c r="C9" s="291">
        <v>1575330</v>
      </c>
      <c r="D9" s="291">
        <f t="shared" si="0"/>
        <v>100</v>
      </c>
    </row>
    <row r="10" spans="1:4" ht="14.25">
      <c r="A10" s="489" t="s">
        <v>67</v>
      </c>
      <c r="B10" s="329">
        <v>150000</v>
      </c>
      <c r="C10" s="291">
        <v>150000</v>
      </c>
      <c r="D10" s="291">
        <f t="shared" si="0"/>
        <v>100</v>
      </c>
    </row>
    <row r="11" spans="1:4" ht="28.5">
      <c r="A11" s="489" t="s">
        <v>279</v>
      </c>
      <c r="B11" s="329">
        <f>200000+200000</f>
        <v>400000</v>
      </c>
      <c r="C11" s="291">
        <v>400000</v>
      </c>
      <c r="D11" s="291">
        <f t="shared" si="0"/>
        <v>100</v>
      </c>
    </row>
    <row r="12" spans="1:4" ht="14.25">
      <c r="A12" s="489" t="s">
        <v>1300</v>
      </c>
      <c r="B12" s="329">
        <v>250000</v>
      </c>
      <c r="C12" s="291">
        <v>250000</v>
      </c>
      <c r="D12" s="291">
        <f t="shared" si="0"/>
        <v>100</v>
      </c>
    </row>
    <row r="13" spans="1:4" ht="14.25">
      <c r="A13" s="489" t="s">
        <v>168</v>
      </c>
      <c r="B13" s="329">
        <v>271800</v>
      </c>
      <c r="C13" s="291">
        <v>271800</v>
      </c>
      <c r="D13" s="291">
        <f t="shared" si="0"/>
        <v>100</v>
      </c>
    </row>
    <row r="14" spans="1:4" ht="14.25">
      <c r="A14" s="489" t="s">
        <v>108</v>
      </c>
      <c r="B14" s="329">
        <v>150000</v>
      </c>
      <c r="C14" s="291">
        <v>150000</v>
      </c>
      <c r="D14" s="291">
        <f t="shared" si="0"/>
        <v>100</v>
      </c>
    </row>
    <row r="15" spans="1:4" ht="28.5">
      <c r="A15" s="489" t="s">
        <v>169</v>
      </c>
      <c r="B15" s="329">
        <v>75000</v>
      </c>
      <c r="C15" s="291">
        <v>75000</v>
      </c>
      <c r="D15" s="291">
        <f t="shared" si="0"/>
        <v>100</v>
      </c>
    </row>
    <row r="16" spans="1:4" ht="28.5">
      <c r="A16" s="489" t="s">
        <v>1301</v>
      </c>
      <c r="B16" s="329">
        <v>220000</v>
      </c>
      <c r="C16" s="291">
        <v>220000</v>
      </c>
      <c r="D16" s="291">
        <f t="shared" si="0"/>
        <v>100</v>
      </c>
    </row>
    <row r="17" spans="1:4" ht="14.25">
      <c r="A17" s="489" t="s">
        <v>110</v>
      </c>
      <c r="B17" s="329">
        <v>200000</v>
      </c>
      <c r="C17" s="291">
        <v>200000</v>
      </c>
      <c r="D17" s="291">
        <f t="shared" si="0"/>
        <v>100</v>
      </c>
    </row>
    <row r="18" spans="1:4" ht="14.25">
      <c r="A18" s="489" t="s">
        <v>109</v>
      </c>
      <c r="B18" s="329">
        <f>200000+200000</f>
        <v>400000</v>
      </c>
      <c r="C18" s="291">
        <v>400000</v>
      </c>
      <c r="D18" s="291">
        <f t="shared" si="0"/>
        <v>100</v>
      </c>
    </row>
    <row r="19" spans="1:4" ht="14.25">
      <c r="A19" s="489" t="s">
        <v>1302</v>
      </c>
      <c r="B19" s="329">
        <v>100000</v>
      </c>
      <c r="C19" s="291">
        <v>100000</v>
      </c>
      <c r="D19" s="291">
        <f t="shared" si="0"/>
        <v>100</v>
      </c>
    </row>
    <row r="20" spans="1:4" ht="14.25">
      <c r="A20" s="489" t="s">
        <v>111</v>
      </c>
      <c r="B20" s="329">
        <f>400000+600000</f>
        <v>1000000</v>
      </c>
      <c r="C20" s="291">
        <v>1000000</v>
      </c>
      <c r="D20" s="291">
        <f t="shared" si="0"/>
        <v>100</v>
      </c>
    </row>
    <row r="21" spans="1:4" ht="14.25">
      <c r="A21" s="489" t="s">
        <v>171</v>
      </c>
      <c r="B21" s="329">
        <v>200000</v>
      </c>
      <c r="C21" s="291">
        <v>200000</v>
      </c>
      <c r="D21" s="291">
        <f t="shared" si="0"/>
        <v>100</v>
      </c>
    </row>
    <row r="22" spans="1:4" ht="14.25">
      <c r="A22" s="489" t="s">
        <v>172</v>
      </c>
      <c r="B22" s="329">
        <v>250000</v>
      </c>
      <c r="C22" s="291">
        <v>250000</v>
      </c>
      <c r="D22" s="291">
        <f t="shared" si="0"/>
        <v>100</v>
      </c>
    </row>
    <row r="23" spans="1:4" ht="14.25">
      <c r="A23" s="489" t="s">
        <v>113</v>
      </c>
      <c r="B23" s="329">
        <v>150000</v>
      </c>
      <c r="C23" s="291">
        <v>150000</v>
      </c>
      <c r="D23" s="291">
        <f t="shared" si="0"/>
        <v>100</v>
      </c>
    </row>
  </sheetData>
  <mergeCells count="2">
    <mergeCell ref="A1:D1"/>
    <mergeCell ref="A2:D2"/>
  </mergeCells>
  <pageMargins left="0.70866141732283472" right="0.23622047244094491" top="0.74803149606299213" bottom="0.74803149606299213" header="0.31496062992125984" footer="0.31496062992125984"/>
  <pageSetup paperSize="9" scale="95" orientation="portrait" r:id="rId1"/>
</worksheet>
</file>

<file path=xl/worksheets/sheet28.xml><?xml version="1.0" encoding="utf-8"?>
<worksheet xmlns="http://schemas.openxmlformats.org/spreadsheetml/2006/main" xmlns:r="http://schemas.openxmlformats.org/officeDocument/2006/relationships">
  <sheetPr>
    <tabColor rgb="FF92D050"/>
  </sheetPr>
  <dimension ref="A1:D17"/>
  <sheetViews>
    <sheetView workbookViewId="0">
      <selection activeCell="I19" sqref="I19"/>
    </sheetView>
  </sheetViews>
  <sheetFormatPr defaultRowHeight="12.75"/>
  <cols>
    <col min="1" max="1" width="45.5703125" customWidth="1"/>
    <col min="2" max="2" width="17.5703125" customWidth="1"/>
    <col min="3" max="3" width="14.85546875" customWidth="1"/>
    <col min="4" max="4" width="13.28515625" customWidth="1"/>
  </cols>
  <sheetData>
    <row r="1" spans="1:4" ht="54.75" customHeight="1">
      <c r="A1" s="508" t="str">
        <f>"Приложение №"&amp;Н1доркап&amp;" к решению
Богучанского районного Совета депутатов
от "&amp;Р1дата&amp;" года №"&amp;Р1номер</f>
        <v>Приложение №17 к решению
Богучанского районного Совета депутатов
от     " " 2018 года №</v>
      </c>
      <c r="B1" s="508"/>
      <c r="C1" s="508"/>
      <c r="D1" s="508"/>
    </row>
    <row r="2" spans="1:4" ht="132" customHeight="1">
      <c r="A2" s="586" t="s">
        <v>2756</v>
      </c>
      <c r="B2" s="586"/>
      <c r="C2" s="586"/>
      <c r="D2" s="586"/>
    </row>
    <row r="3" spans="1:4">
      <c r="A3" s="200"/>
      <c r="B3" s="200"/>
      <c r="C3" s="200"/>
    </row>
    <row r="4" spans="1:4" ht="31.5" customHeight="1">
      <c r="A4" s="324" t="s">
        <v>28</v>
      </c>
      <c r="B4" s="431" t="s">
        <v>2551</v>
      </c>
      <c r="C4" s="418" t="s">
        <v>2457</v>
      </c>
      <c r="D4" s="432" t="s">
        <v>2552</v>
      </c>
    </row>
    <row r="5" spans="1:4" ht="15">
      <c r="A5" s="430" t="s">
        <v>95</v>
      </c>
      <c r="B5" s="330">
        <f>SUM(B6:B17)</f>
        <v>29068700</v>
      </c>
      <c r="C5" s="330">
        <f>SUM(C6:C17)</f>
        <v>28817536.649999999</v>
      </c>
      <c r="D5" s="291">
        <f>C5/B5*100</f>
        <v>99.13596634868432</v>
      </c>
    </row>
    <row r="6" spans="1:4" ht="14.25">
      <c r="A6" s="328" t="s">
        <v>65</v>
      </c>
      <c r="B6" s="329">
        <f>1000000-208439.84</f>
        <v>791560.16</v>
      </c>
      <c r="C6" s="329">
        <v>791560.16</v>
      </c>
      <c r="D6" s="291">
        <f>C6/B6*100</f>
        <v>100</v>
      </c>
    </row>
    <row r="7" spans="1:4" ht="14.25">
      <c r="A7" s="328" t="s">
        <v>106</v>
      </c>
      <c r="B7" s="329">
        <v>1000000</v>
      </c>
      <c r="C7" s="329">
        <v>1000000</v>
      </c>
      <c r="D7" s="291">
        <f t="shared" ref="D7:D17" si="0">C7/B7*100</f>
        <v>100</v>
      </c>
    </row>
    <row r="8" spans="1:4" ht="14.25">
      <c r="A8" s="328" t="s">
        <v>66</v>
      </c>
      <c r="B8" s="329">
        <f>12000000+917100+14106.7+208439.84</f>
        <v>13139646.539999999</v>
      </c>
      <c r="C8" s="329">
        <v>13139646.539999999</v>
      </c>
      <c r="D8" s="291">
        <f t="shared" si="0"/>
        <v>100</v>
      </c>
    </row>
    <row r="9" spans="1:4" ht="28.5">
      <c r="A9" s="328" t="s">
        <v>279</v>
      </c>
      <c r="B9" s="329">
        <v>2000000</v>
      </c>
      <c r="C9" s="329">
        <v>2000000</v>
      </c>
      <c r="D9" s="291">
        <f t="shared" si="0"/>
        <v>100</v>
      </c>
    </row>
    <row r="10" spans="1:4" ht="14.25">
      <c r="A10" s="328" t="s">
        <v>107</v>
      </c>
      <c r="B10" s="329">
        <v>1500000</v>
      </c>
      <c r="C10" s="329">
        <v>1500000</v>
      </c>
      <c r="D10" s="291">
        <f t="shared" si="0"/>
        <v>100</v>
      </c>
    </row>
    <row r="11" spans="1:4" ht="14.25">
      <c r="A11" s="328" t="s">
        <v>108</v>
      </c>
      <c r="B11" s="329">
        <v>1000000</v>
      </c>
      <c r="C11" s="329">
        <v>1000000</v>
      </c>
      <c r="D11" s="291">
        <f t="shared" si="0"/>
        <v>100</v>
      </c>
    </row>
    <row r="12" spans="1:4" ht="28.5">
      <c r="A12" s="328" t="s">
        <v>201</v>
      </c>
      <c r="B12" s="329">
        <v>1000000</v>
      </c>
      <c r="C12" s="329">
        <v>1000000</v>
      </c>
      <c r="D12" s="291">
        <f t="shared" si="0"/>
        <v>100</v>
      </c>
    </row>
    <row r="13" spans="1:4" ht="14.25">
      <c r="A13" s="328" t="s">
        <v>109</v>
      </c>
      <c r="B13" s="329">
        <f>1500000-14106.7</f>
        <v>1485893.3</v>
      </c>
      <c r="C13" s="329">
        <v>1485893.3</v>
      </c>
      <c r="D13" s="291">
        <f t="shared" si="0"/>
        <v>100</v>
      </c>
    </row>
    <row r="14" spans="1:4" ht="14.25">
      <c r="A14" s="328" t="s">
        <v>111</v>
      </c>
      <c r="B14" s="329">
        <v>4000000</v>
      </c>
      <c r="C14" s="329">
        <v>4000000</v>
      </c>
      <c r="D14" s="291">
        <f t="shared" si="0"/>
        <v>100</v>
      </c>
    </row>
    <row r="15" spans="1:4" ht="14.25">
      <c r="A15" s="328" t="s">
        <v>112</v>
      </c>
      <c r="B15" s="329">
        <v>1000000</v>
      </c>
      <c r="C15" s="329">
        <v>748836.65</v>
      </c>
      <c r="D15" s="291">
        <f t="shared" si="0"/>
        <v>74.883664999999993</v>
      </c>
    </row>
    <row r="16" spans="1:4" ht="14.25">
      <c r="A16" s="328" t="s">
        <v>171</v>
      </c>
      <c r="B16" s="329">
        <v>1400000</v>
      </c>
      <c r="C16" s="329">
        <v>1400000</v>
      </c>
      <c r="D16" s="291">
        <f t="shared" si="0"/>
        <v>100</v>
      </c>
    </row>
    <row r="17" spans="1:4" ht="14.25">
      <c r="A17" s="328" t="s">
        <v>113</v>
      </c>
      <c r="B17" s="329">
        <v>751600</v>
      </c>
      <c r="C17" s="329">
        <v>751600</v>
      </c>
      <c r="D17" s="291">
        <f t="shared" si="0"/>
        <v>100</v>
      </c>
    </row>
  </sheetData>
  <mergeCells count="2">
    <mergeCell ref="A1:D1"/>
    <mergeCell ref="A2:D2"/>
  </mergeCells>
  <pageMargins left="0.7" right="0.24"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sheetPr>
    <tabColor rgb="FF92D050"/>
  </sheetPr>
  <dimension ref="A1:E25"/>
  <sheetViews>
    <sheetView workbookViewId="0">
      <selection activeCell="D6" sqref="D6:D24"/>
    </sheetView>
  </sheetViews>
  <sheetFormatPr defaultRowHeight="12.75"/>
  <cols>
    <col min="1" max="1" width="48.5703125" customWidth="1"/>
    <col min="2" max="2" width="17" customWidth="1"/>
    <col min="3" max="3" width="16.7109375" customWidth="1"/>
    <col min="4" max="4" width="12.85546875" customWidth="1"/>
    <col min="5" max="5" width="11.140625" bestFit="1" customWidth="1"/>
  </cols>
  <sheetData>
    <row r="1" spans="1:5" ht="47.25" customHeight="1">
      <c r="A1" s="508" t="str">
        <f>"Приложение №"&amp;Н1пожар&amp;" к решению
Богучанского районного Совета депутатов
от "&amp;Р1дата&amp;" года №"&amp;Р1номер</f>
        <v>Приложение №18 к решению
Богучанского районного Совета депутатов
от     " " 2018 года №</v>
      </c>
      <c r="B1" s="508"/>
      <c r="C1" s="508"/>
      <c r="D1" s="508"/>
    </row>
    <row r="2" spans="1:5" ht="106.5" customHeight="1">
      <c r="A2" s="587" t="s">
        <v>1786</v>
      </c>
      <c r="B2" s="587"/>
      <c r="C2" s="587"/>
      <c r="D2" s="587"/>
    </row>
    <row r="3" spans="1:5" ht="24" customHeight="1">
      <c r="A3" s="587" t="str">
        <f>"природного и техногенного характера» за "&amp;год&amp;" год "</f>
        <v xml:space="preserve">природного и техногенного характера» за 2017 год </v>
      </c>
      <c r="B3" s="587"/>
      <c r="C3" s="587"/>
      <c r="D3" s="587"/>
    </row>
    <row r="4" spans="1:5" ht="20.25">
      <c r="A4" s="280"/>
      <c r="C4" s="11"/>
      <c r="D4" s="11" t="s">
        <v>94</v>
      </c>
    </row>
    <row r="5" spans="1:5" ht="28.5">
      <c r="A5" s="26" t="s">
        <v>28</v>
      </c>
      <c r="B5" s="26" t="s">
        <v>2456</v>
      </c>
      <c r="C5" s="26" t="s">
        <v>2457</v>
      </c>
      <c r="D5" s="433" t="s">
        <v>2194</v>
      </c>
      <c r="E5" s="244" t="s">
        <v>1736</v>
      </c>
    </row>
    <row r="6" spans="1:5" ht="15">
      <c r="A6" s="281" t="s">
        <v>95</v>
      </c>
      <c r="B6" s="277">
        <f>SUM(B7:B24)</f>
        <v>1173571</v>
      </c>
      <c r="C6" s="277">
        <f>SUM(C7:C24)</f>
        <v>1173571</v>
      </c>
      <c r="D6" s="330">
        <f>C6/B6*100</f>
        <v>100</v>
      </c>
      <c r="E6" s="117">
        <f ca="1">SUMIF(РзПз,"????0420074120",СумВед)-B6</f>
        <v>2429</v>
      </c>
    </row>
    <row r="7" spans="1:5" ht="14.25">
      <c r="A7" s="44" t="s">
        <v>65</v>
      </c>
      <c r="B7" s="327">
        <v>50964</v>
      </c>
      <c r="C7" s="327">
        <v>50964</v>
      </c>
      <c r="D7" s="291">
        <f>C7/B7*100</f>
        <v>100</v>
      </c>
    </row>
    <row r="8" spans="1:5" ht="14.25">
      <c r="A8" s="44" t="s">
        <v>106</v>
      </c>
      <c r="B8" s="327">
        <v>17643</v>
      </c>
      <c r="C8" s="327">
        <v>17643</v>
      </c>
      <c r="D8" s="291">
        <f t="shared" ref="D8:D24" si="0">C8/B8*100</f>
        <v>100</v>
      </c>
    </row>
    <row r="9" spans="1:5" ht="14.25">
      <c r="A9" s="44" t="s">
        <v>200</v>
      </c>
      <c r="B9" s="327">
        <v>6252</v>
      </c>
      <c r="C9" s="327">
        <v>6252</v>
      </c>
      <c r="D9" s="291">
        <f t="shared" si="0"/>
        <v>100</v>
      </c>
    </row>
    <row r="10" spans="1:5" ht="14.25">
      <c r="A10" s="45" t="s">
        <v>66</v>
      </c>
      <c r="B10" s="327">
        <v>287959</v>
      </c>
      <c r="C10" s="327">
        <v>287959</v>
      </c>
      <c r="D10" s="291">
        <f t="shared" si="0"/>
        <v>100</v>
      </c>
    </row>
    <row r="11" spans="1:5" ht="14.25">
      <c r="A11" s="45" t="s">
        <v>67</v>
      </c>
      <c r="B11" s="327">
        <v>18599</v>
      </c>
      <c r="C11" s="327">
        <v>18599</v>
      </c>
      <c r="D11" s="291">
        <f t="shared" si="0"/>
        <v>100</v>
      </c>
    </row>
    <row r="12" spans="1:5" ht="14.25">
      <c r="A12" s="45" t="s">
        <v>279</v>
      </c>
      <c r="B12" s="327">
        <v>85216</v>
      </c>
      <c r="C12" s="327">
        <v>85216</v>
      </c>
      <c r="D12" s="291">
        <f t="shared" si="0"/>
        <v>100</v>
      </c>
    </row>
    <row r="13" spans="1:5" ht="14.25">
      <c r="A13" s="45" t="s">
        <v>107</v>
      </c>
      <c r="B13" s="327">
        <v>47296</v>
      </c>
      <c r="C13" s="327">
        <v>47296</v>
      </c>
      <c r="D13" s="291">
        <f t="shared" si="0"/>
        <v>100</v>
      </c>
    </row>
    <row r="14" spans="1:5" ht="14.25">
      <c r="A14" s="45" t="s">
        <v>168</v>
      </c>
      <c r="B14" s="327">
        <v>41820</v>
      </c>
      <c r="C14" s="327">
        <v>41820</v>
      </c>
      <c r="D14" s="291">
        <f t="shared" si="0"/>
        <v>100</v>
      </c>
    </row>
    <row r="15" spans="1:5" ht="14.25">
      <c r="A15" s="45" t="s">
        <v>169</v>
      </c>
      <c r="B15" s="327">
        <v>13122</v>
      </c>
      <c r="C15" s="327">
        <v>13122</v>
      </c>
      <c r="D15" s="291">
        <f t="shared" si="0"/>
        <v>100</v>
      </c>
    </row>
    <row r="16" spans="1:5" ht="14.25">
      <c r="A16" s="45" t="s">
        <v>108</v>
      </c>
      <c r="B16" s="327">
        <v>31901</v>
      </c>
      <c r="C16" s="327">
        <v>31901</v>
      </c>
      <c r="D16" s="291">
        <f t="shared" si="0"/>
        <v>100</v>
      </c>
    </row>
    <row r="17" spans="1:4" ht="14.25">
      <c r="A17" s="45" t="s">
        <v>110</v>
      </c>
      <c r="B17" s="327">
        <v>145634</v>
      </c>
      <c r="C17" s="327">
        <v>145634</v>
      </c>
      <c r="D17" s="291">
        <f t="shared" si="0"/>
        <v>100</v>
      </c>
    </row>
    <row r="18" spans="1:4" ht="14.25">
      <c r="A18" s="45" t="s">
        <v>201</v>
      </c>
      <c r="B18" s="327">
        <v>39754</v>
      </c>
      <c r="C18" s="327">
        <v>39754</v>
      </c>
      <c r="D18" s="291">
        <f t="shared" si="0"/>
        <v>100</v>
      </c>
    </row>
    <row r="19" spans="1:4" ht="14.25">
      <c r="A19" s="45" t="s">
        <v>109</v>
      </c>
      <c r="B19" s="327">
        <v>60263</v>
      </c>
      <c r="C19" s="327">
        <v>60263</v>
      </c>
      <c r="D19" s="291">
        <f t="shared" si="0"/>
        <v>100</v>
      </c>
    </row>
    <row r="20" spans="1:4" ht="28.5">
      <c r="A20" s="326" t="s">
        <v>1785</v>
      </c>
      <c r="B20" s="327">
        <v>166376</v>
      </c>
      <c r="C20" s="327">
        <v>166376</v>
      </c>
      <c r="D20" s="291">
        <f t="shared" si="0"/>
        <v>100</v>
      </c>
    </row>
    <row r="21" spans="1:4" ht="14.25">
      <c r="A21" s="45" t="s">
        <v>112</v>
      </c>
      <c r="B21" s="327">
        <v>17772</v>
      </c>
      <c r="C21" s="327">
        <v>17772</v>
      </c>
      <c r="D21" s="291">
        <f t="shared" si="0"/>
        <v>100</v>
      </c>
    </row>
    <row r="22" spans="1:4" ht="14.25">
      <c r="A22" s="45" t="s">
        <v>171</v>
      </c>
      <c r="B22" s="327">
        <v>38488</v>
      </c>
      <c r="C22" s="327">
        <v>38488</v>
      </c>
      <c r="D22" s="291">
        <f t="shared" si="0"/>
        <v>100</v>
      </c>
    </row>
    <row r="23" spans="1:4" ht="14.25">
      <c r="A23" s="45" t="s">
        <v>172</v>
      </c>
      <c r="B23" s="327">
        <v>78500</v>
      </c>
      <c r="C23" s="327">
        <v>78500</v>
      </c>
      <c r="D23" s="291">
        <f t="shared" si="0"/>
        <v>100</v>
      </c>
    </row>
    <row r="24" spans="1:4" ht="14.25">
      <c r="A24" s="45" t="s">
        <v>113</v>
      </c>
      <c r="B24" s="327">
        <v>26012</v>
      </c>
      <c r="C24" s="327">
        <v>26012</v>
      </c>
      <c r="D24" s="291">
        <f t="shared" si="0"/>
        <v>100</v>
      </c>
    </row>
    <row r="25" spans="1:4" ht="14.25">
      <c r="A25" s="325"/>
    </row>
  </sheetData>
  <mergeCells count="3">
    <mergeCell ref="A1:D1"/>
    <mergeCell ref="A2:D2"/>
    <mergeCell ref="A3:D3"/>
  </mergeCells>
  <pageMargins left="0.7" right="0.24"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rgb="FF92D050"/>
  </sheetPr>
  <dimension ref="A1:E24"/>
  <sheetViews>
    <sheetView workbookViewId="0">
      <selection activeCell="H8" sqref="H8"/>
    </sheetView>
  </sheetViews>
  <sheetFormatPr defaultRowHeight="12.75"/>
  <cols>
    <col min="1" max="1" width="28.5703125" style="55" customWidth="1"/>
    <col min="2" max="2" width="54.28515625" style="55" customWidth="1"/>
    <col min="3" max="3" width="17.7109375" style="55" customWidth="1"/>
    <col min="4" max="4" width="18" style="55" bestFit="1" customWidth="1"/>
    <col min="5" max="5" width="13.85546875" style="55" customWidth="1"/>
    <col min="6" max="16384" width="9.140625" style="55"/>
  </cols>
  <sheetData>
    <row r="1" spans="1:5" ht="44.25" customHeight="1">
      <c r="A1" s="508" t="str">
        <f>"Приложение №"&amp;Н1аист&amp;" к решению
Богучанского районного Совета депутатов
от "&amp;Р1дата&amp;" года №"&amp;Р1номер</f>
        <v>Приложение №1 к решению
Богучанского районного Совета депутатов
от     " " 2018 года №</v>
      </c>
      <c r="B1" s="508"/>
      <c r="C1" s="508"/>
      <c r="D1" s="508"/>
      <c r="E1" s="508"/>
    </row>
    <row r="2" spans="1:5" ht="57" customHeight="1">
      <c r="A2" s="509" t="str">
        <f>"Источники финансирования дефицита районного бюджета по кодам классификации источников финансирования дефицитов бюджетов за "&amp;год&amp;" год "</f>
        <v xml:space="preserve">Источники финансирования дефицита районного бюджета по кодам классификации источников финансирования дефицитов бюджетов за 2017 год </v>
      </c>
      <c r="B2" s="509"/>
      <c r="C2" s="509"/>
      <c r="D2" s="509"/>
      <c r="E2" s="509"/>
    </row>
    <row r="3" spans="1:5" ht="15.75">
      <c r="B3" s="123"/>
      <c r="C3" s="123"/>
      <c r="E3" s="344" t="s">
        <v>94</v>
      </c>
    </row>
    <row r="4" spans="1:5" ht="28.5">
      <c r="A4" s="82" t="s">
        <v>145</v>
      </c>
      <c r="B4" s="82" t="s">
        <v>146</v>
      </c>
      <c r="C4" s="83" t="s">
        <v>2558</v>
      </c>
      <c r="D4" s="83" t="s">
        <v>2457</v>
      </c>
      <c r="E4" s="83" t="s">
        <v>2194</v>
      </c>
    </row>
    <row r="5" spans="1:5" ht="30">
      <c r="A5" s="48" t="s">
        <v>147</v>
      </c>
      <c r="B5" s="84" t="s">
        <v>148</v>
      </c>
      <c r="C5" s="32">
        <f>SUM(C6+C11)</f>
        <v>3807369.5899996758</v>
      </c>
      <c r="D5" s="32">
        <f>SUM(D6+D11)</f>
        <v>-37197459.529999733</v>
      </c>
      <c r="E5" s="32">
        <f>D5/C5*100</f>
        <v>-976.98578114668669</v>
      </c>
    </row>
    <row r="6" spans="1:5" ht="30">
      <c r="A6" s="486" t="s">
        <v>2752</v>
      </c>
      <c r="B6" s="84" t="s">
        <v>149</v>
      </c>
      <c r="C6" s="32">
        <f>C7-C9</f>
        <v>-33400000</v>
      </c>
      <c r="D6" s="32">
        <f>D7-D9</f>
        <v>-48000000</v>
      </c>
      <c r="E6" s="32">
        <f>D6/C6*100</f>
        <v>143.7125748502994</v>
      </c>
    </row>
    <row r="7" spans="1:5" ht="42.75">
      <c r="A7" s="48" t="s">
        <v>150</v>
      </c>
      <c r="B7" s="19" t="s">
        <v>151</v>
      </c>
      <c r="C7" s="85">
        <f>C8</f>
        <v>89600000</v>
      </c>
      <c r="D7" s="85">
        <f>D8</f>
        <v>22000000</v>
      </c>
      <c r="E7" s="85">
        <f>D7/C7*100</f>
        <v>24.553571428571427</v>
      </c>
    </row>
    <row r="8" spans="1:5" ht="57">
      <c r="A8" s="48" t="s">
        <v>1585</v>
      </c>
      <c r="B8" s="19" t="s">
        <v>209</v>
      </c>
      <c r="C8" s="85">
        <f>123000000+14600000-70000000+22000000</f>
        <v>89600000</v>
      </c>
      <c r="D8" s="85">
        <v>22000000</v>
      </c>
      <c r="E8" s="85">
        <f t="shared" ref="E8:E19" si="0">D8/C8*100</f>
        <v>24.553571428571427</v>
      </c>
    </row>
    <row r="9" spans="1:5" ht="42.75">
      <c r="A9" s="48" t="s">
        <v>210</v>
      </c>
      <c r="B9" s="19" t="s">
        <v>211</v>
      </c>
      <c r="C9" s="85">
        <f>C10</f>
        <v>123000000</v>
      </c>
      <c r="D9" s="85">
        <f>D10</f>
        <v>70000000</v>
      </c>
      <c r="E9" s="85">
        <f t="shared" si="0"/>
        <v>56.910569105691053</v>
      </c>
    </row>
    <row r="10" spans="1:5" ht="57">
      <c r="A10" s="48" t="s">
        <v>1586</v>
      </c>
      <c r="B10" s="19" t="s">
        <v>44</v>
      </c>
      <c r="C10" s="85">
        <v>123000000</v>
      </c>
      <c r="D10" s="85">
        <v>70000000</v>
      </c>
      <c r="E10" s="85">
        <f t="shared" si="0"/>
        <v>56.910569105691053</v>
      </c>
    </row>
    <row r="11" spans="1:5" ht="28.5">
      <c r="A11" s="48" t="s">
        <v>212</v>
      </c>
      <c r="B11" s="19" t="s">
        <v>182</v>
      </c>
      <c r="C11" s="85">
        <f>-C12+C16</f>
        <v>37207369.589999676</v>
      </c>
      <c r="D11" s="85">
        <f>-D12+D16</f>
        <v>10802540.470000267</v>
      </c>
      <c r="E11" s="85">
        <f t="shared" si="0"/>
        <v>29.03333557044488</v>
      </c>
    </row>
    <row r="12" spans="1:5" ht="14.25">
      <c r="A12" s="48" t="s">
        <v>183</v>
      </c>
      <c r="B12" s="19" t="s">
        <v>121</v>
      </c>
      <c r="C12" s="85">
        <f>C13</f>
        <v>2205714650.5300002</v>
      </c>
      <c r="D12" s="85">
        <f t="shared" ref="D12:D14" si="1">D13</f>
        <v>2087497528.6999998</v>
      </c>
      <c r="E12" s="85">
        <f t="shared" si="0"/>
        <v>94.640416347527335</v>
      </c>
    </row>
    <row r="13" spans="1:5" ht="14.25">
      <c r="A13" s="48" t="s">
        <v>184</v>
      </c>
      <c r="B13" s="19" t="s">
        <v>122</v>
      </c>
      <c r="C13" s="86">
        <f>C14</f>
        <v>2205714650.5300002</v>
      </c>
      <c r="D13" s="86">
        <f t="shared" si="1"/>
        <v>2087497528.6999998</v>
      </c>
      <c r="E13" s="85">
        <f t="shared" si="0"/>
        <v>94.640416347527335</v>
      </c>
    </row>
    <row r="14" spans="1:5" ht="28.5">
      <c r="A14" s="48" t="s">
        <v>185</v>
      </c>
      <c r="B14" s="19" t="s">
        <v>235</v>
      </c>
      <c r="C14" s="85">
        <f>C15</f>
        <v>2205714650.5300002</v>
      </c>
      <c r="D14" s="85">
        <f t="shared" si="1"/>
        <v>2087497528.6999998</v>
      </c>
      <c r="E14" s="85">
        <f t="shared" si="0"/>
        <v>94.640416347527335</v>
      </c>
    </row>
    <row r="15" spans="1:5" ht="28.5">
      <c r="A15" s="48" t="s">
        <v>236</v>
      </c>
      <c r="B15" s="19" t="s">
        <v>189</v>
      </c>
      <c r="C15" s="85">
        <f>'Дох '!I257+C7</f>
        <v>2205714650.5300002</v>
      </c>
      <c r="D15" s="85">
        <f>'Дох '!J257+D7</f>
        <v>2087497528.6999998</v>
      </c>
      <c r="E15" s="85">
        <f t="shared" si="0"/>
        <v>94.640416347527335</v>
      </c>
    </row>
    <row r="16" spans="1:5" ht="14.25">
      <c r="A16" s="48" t="s">
        <v>190</v>
      </c>
      <c r="B16" s="19" t="s">
        <v>123</v>
      </c>
      <c r="C16" s="85">
        <f>C17</f>
        <v>2242922020.1199999</v>
      </c>
      <c r="D16" s="85">
        <f t="shared" ref="D16:D18" si="2">D17</f>
        <v>2098300069.1700001</v>
      </c>
      <c r="E16" s="85">
        <f t="shared" si="0"/>
        <v>93.552074051051392</v>
      </c>
    </row>
    <row r="17" spans="1:5" ht="14.25">
      <c r="A17" s="19" t="s">
        <v>191</v>
      </c>
      <c r="B17" s="19" t="s">
        <v>124</v>
      </c>
      <c r="C17" s="87">
        <f>C18</f>
        <v>2242922020.1199999</v>
      </c>
      <c r="D17" s="87">
        <f t="shared" si="2"/>
        <v>2098300069.1700001</v>
      </c>
      <c r="E17" s="85">
        <f t="shared" si="0"/>
        <v>93.552074051051392</v>
      </c>
    </row>
    <row r="18" spans="1:5" ht="28.5">
      <c r="A18" s="19" t="s">
        <v>192</v>
      </c>
      <c r="B18" s="19" t="s">
        <v>193</v>
      </c>
      <c r="C18" s="87">
        <f>C19</f>
        <v>2242922020.1199999</v>
      </c>
      <c r="D18" s="87">
        <f t="shared" si="2"/>
        <v>2098300069.1700001</v>
      </c>
      <c r="E18" s="85">
        <f t="shared" si="0"/>
        <v>93.552074051051392</v>
      </c>
    </row>
    <row r="19" spans="1:5" ht="28.5">
      <c r="A19" s="48" t="s">
        <v>194</v>
      </c>
      <c r="B19" s="19" t="s">
        <v>195</v>
      </c>
      <c r="C19" s="85">
        <f>Вед17!F6+C9</f>
        <v>2242922020.1199999</v>
      </c>
      <c r="D19" s="85">
        <f>Вед17!G6+D9</f>
        <v>2098300069.1700001</v>
      </c>
      <c r="E19" s="85">
        <f t="shared" si="0"/>
        <v>93.552074051051392</v>
      </c>
    </row>
    <row r="20" spans="1:5" ht="47.25" hidden="1">
      <c r="A20" s="88" t="s">
        <v>255</v>
      </c>
      <c r="B20" s="89" t="s">
        <v>256</v>
      </c>
      <c r="C20" s="90">
        <v>0</v>
      </c>
    </row>
    <row r="21" spans="1:5" ht="30" hidden="1">
      <c r="A21" s="88" t="s">
        <v>257</v>
      </c>
      <c r="B21" s="88" t="s">
        <v>225</v>
      </c>
      <c r="C21" s="91"/>
    </row>
    <row r="22" spans="1:5" ht="75" hidden="1">
      <c r="A22" s="92" t="s">
        <v>226</v>
      </c>
      <c r="B22" s="88" t="s">
        <v>227</v>
      </c>
      <c r="C22" s="93"/>
    </row>
    <row r="23" spans="1:5" ht="30" hidden="1">
      <c r="A23" s="94" t="s">
        <v>228</v>
      </c>
      <c r="B23" s="95" t="s">
        <v>229</v>
      </c>
      <c r="C23" s="96"/>
    </row>
    <row r="24" spans="1:5" ht="60" hidden="1">
      <c r="A24" s="94" t="s">
        <v>230</v>
      </c>
      <c r="B24" s="95" t="s">
        <v>114</v>
      </c>
      <c r="C24" s="96"/>
    </row>
  </sheetData>
  <mergeCells count="2">
    <mergeCell ref="A1:E1"/>
    <mergeCell ref="A2:E2"/>
  </mergeCells>
  <pageMargins left="0.70866141732283472" right="0.70866141732283472" top="0.74803149606299213" bottom="0.74803149606299213" header="0.31496062992125984" footer="0.31496062992125984"/>
  <pageSetup paperSize="9" orientation="landscape" r:id="rId1"/>
</worksheet>
</file>

<file path=xl/worksheets/sheet30.xml><?xml version="1.0" encoding="utf-8"?>
<worksheet xmlns="http://schemas.openxmlformats.org/spreadsheetml/2006/main" xmlns:r="http://schemas.openxmlformats.org/officeDocument/2006/relationships">
  <sheetPr>
    <tabColor rgb="FF92D050"/>
  </sheetPr>
  <dimension ref="A1:L23"/>
  <sheetViews>
    <sheetView workbookViewId="0">
      <selection activeCell="C6" sqref="C6"/>
    </sheetView>
  </sheetViews>
  <sheetFormatPr defaultRowHeight="12.75"/>
  <cols>
    <col min="1" max="1" width="5.5703125" customWidth="1"/>
    <col min="2" max="2" width="58.85546875" customWidth="1"/>
    <col min="3" max="3" width="15" customWidth="1"/>
    <col min="4" max="4" width="17.42578125" customWidth="1"/>
    <col min="5" max="5" width="18.5703125" customWidth="1"/>
    <col min="6" max="6" width="0" hidden="1" customWidth="1"/>
    <col min="7" max="7" width="15" customWidth="1"/>
  </cols>
  <sheetData>
    <row r="1" spans="1:12" ht="61.5" customHeight="1">
      <c r="B1" s="508"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 " 2018 года №</v>
      </c>
      <c r="C1" s="508"/>
      <c r="D1" s="508"/>
      <c r="E1" s="508"/>
    </row>
    <row r="2" spans="1:12" ht="63.75" customHeight="1">
      <c r="B2" s="509" t="str">
        <f>"Долевое финансирование мероприятий выделенных из
 краевого бюджета за  "&amp;год&amp;" год"</f>
        <v>Долевое финансирование мероприятий выделенных из
 краевого бюджета за  2017 год</v>
      </c>
      <c r="C2" s="509"/>
      <c r="D2" s="509"/>
      <c r="E2" s="509"/>
      <c r="F2" s="509"/>
    </row>
    <row r="3" spans="1:12" ht="20.25">
      <c r="B3" s="356"/>
      <c r="C3" s="356"/>
      <c r="D3" s="356"/>
      <c r="E3" s="11" t="s">
        <v>94</v>
      </c>
      <c r="F3" s="4"/>
    </row>
    <row r="4" spans="1:12" ht="28.5">
      <c r="A4" s="284"/>
      <c r="B4" s="26" t="s">
        <v>28</v>
      </c>
      <c r="C4" s="26" t="s">
        <v>2558</v>
      </c>
      <c r="D4" s="26" t="s">
        <v>2457</v>
      </c>
      <c r="E4" s="26" t="s">
        <v>2194</v>
      </c>
      <c r="F4" s="4"/>
    </row>
    <row r="5" spans="1:12" ht="15.75">
      <c r="A5" s="284"/>
      <c r="B5" s="359" t="s">
        <v>95</v>
      </c>
      <c r="C5" s="360">
        <f>SUM(C6:C23)</f>
        <v>6597832.8900000006</v>
      </c>
      <c r="D5" s="360">
        <f t="shared" ref="D5" si="0">SUM(D6:D23)</f>
        <v>6542453.71</v>
      </c>
      <c r="E5" s="360">
        <f>D5/C5*100</f>
        <v>99.160645913237119</v>
      </c>
      <c r="F5" s="4"/>
      <c r="G5" s="118"/>
      <c r="H5" s="118"/>
      <c r="J5" s="355"/>
      <c r="K5" s="118"/>
      <c r="L5" s="118"/>
    </row>
    <row r="6" spans="1:12" ht="86.25">
      <c r="A6" s="342">
        <v>1</v>
      </c>
      <c r="B6" s="503" t="s">
        <v>486</v>
      </c>
      <c r="C6" s="361">
        <v>300000</v>
      </c>
      <c r="D6" s="445">
        <v>300000</v>
      </c>
      <c r="E6" s="504">
        <f t="shared" ref="E6:E23" si="1">D6/C6*100</f>
        <v>100</v>
      </c>
      <c r="F6" s="4"/>
    </row>
    <row r="7" spans="1:12" ht="57.75">
      <c r="A7" s="342">
        <v>2</v>
      </c>
      <c r="B7" s="505" t="s">
        <v>1763</v>
      </c>
      <c r="C7" s="362">
        <v>1945</v>
      </c>
      <c r="D7" s="445">
        <v>1945</v>
      </c>
      <c r="E7" s="504">
        <f t="shared" si="1"/>
        <v>100</v>
      </c>
      <c r="F7" s="4"/>
    </row>
    <row r="8" spans="1:12" ht="86.25">
      <c r="A8" s="342">
        <v>3</v>
      </c>
      <c r="B8" s="506" t="s">
        <v>526</v>
      </c>
      <c r="C8" s="361">
        <v>2555400</v>
      </c>
      <c r="D8" s="445">
        <v>2555400</v>
      </c>
      <c r="E8" s="504">
        <f t="shared" si="1"/>
        <v>100</v>
      </c>
      <c r="F8" s="4"/>
    </row>
    <row r="9" spans="1:12" ht="86.25">
      <c r="A9" s="342">
        <v>4</v>
      </c>
      <c r="B9" s="506" t="s">
        <v>982</v>
      </c>
      <c r="C9" s="361">
        <f>2092402+823000</f>
        <v>2915402</v>
      </c>
      <c r="D9" s="445">
        <v>2915401.52</v>
      </c>
      <c r="E9" s="504">
        <f t="shared" si="1"/>
        <v>99.999983535718229</v>
      </c>
      <c r="F9" s="4"/>
    </row>
    <row r="10" spans="1:12" ht="143.25">
      <c r="A10" s="342">
        <v>5</v>
      </c>
      <c r="B10" s="363" t="s">
        <v>1733</v>
      </c>
      <c r="C10" s="361">
        <v>370</v>
      </c>
      <c r="D10" s="507">
        <v>370</v>
      </c>
      <c r="E10" s="504">
        <f t="shared" si="1"/>
        <v>100</v>
      </c>
      <c r="F10" s="4"/>
    </row>
    <row r="11" spans="1:12" ht="100.5">
      <c r="A11" s="342">
        <v>6</v>
      </c>
      <c r="B11" s="505" t="s">
        <v>1737</v>
      </c>
      <c r="C11" s="361">
        <v>121.45</v>
      </c>
      <c r="D11" s="507">
        <v>121.45</v>
      </c>
      <c r="E11" s="504">
        <f t="shared" si="1"/>
        <v>100</v>
      </c>
      <c r="F11" s="4"/>
    </row>
    <row r="12" spans="1:12" ht="228.75">
      <c r="A12" s="342">
        <v>7</v>
      </c>
      <c r="B12" s="505" t="s">
        <v>1752</v>
      </c>
      <c r="C12" s="361">
        <f>176664+256306+10560</f>
        <v>443530</v>
      </c>
      <c r="D12" s="507">
        <v>432970</v>
      </c>
      <c r="E12" s="504">
        <f t="shared" si="1"/>
        <v>97.619101300926658</v>
      </c>
      <c r="F12" s="4"/>
    </row>
    <row r="13" spans="1:12" ht="72">
      <c r="A13" s="343">
        <v>8</v>
      </c>
      <c r="B13" s="505" t="s">
        <v>1810</v>
      </c>
      <c r="C13" s="361">
        <v>86100</v>
      </c>
      <c r="D13" s="507">
        <v>86100</v>
      </c>
      <c r="E13" s="504">
        <f t="shared" si="1"/>
        <v>100</v>
      </c>
      <c r="F13" s="4"/>
    </row>
    <row r="14" spans="1:12" ht="143.25">
      <c r="A14" s="343">
        <v>9</v>
      </c>
      <c r="B14" s="505" t="s">
        <v>1813</v>
      </c>
      <c r="C14" s="361">
        <v>6900</v>
      </c>
      <c r="D14" s="507">
        <v>6900</v>
      </c>
      <c r="E14" s="504">
        <f t="shared" si="1"/>
        <v>100</v>
      </c>
      <c r="F14" s="4"/>
    </row>
    <row r="15" spans="1:12" ht="86.25">
      <c r="A15" s="343">
        <v>10</v>
      </c>
      <c r="B15" s="326" t="s">
        <v>1818</v>
      </c>
      <c r="C15" s="361">
        <v>58000</v>
      </c>
      <c r="D15" s="507">
        <v>58000</v>
      </c>
      <c r="E15" s="504">
        <f t="shared" si="1"/>
        <v>100</v>
      </c>
      <c r="F15" s="4"/>
    </row>
    <row r="16" spans="1:12" ht="100.5">
      <c r="A16" s="343">
        <v>11</v>
      </c>
      <c r="B16" s="326" t="s">
        <v>1822</v>
      </c>
      <c r="C16" s="361">
        <v>5000</v>
      </c>
      <c r="D16" s="507">
        <v>4280</v>
      </c>
      <c r="E16" s="504">
        <f t="shared" si="1"/>
        <v>85.6</v>
      </c>
      <c r="F16" s="4"/>
    </row>
    <row r="17" spans="1:6" ht="100.5">
      <c r="A17" s="343">
        <v>12</v>
      </c>
      <c r="B17" s="505" t="s">
        <v>1863</v>
      </c>
      <c r="C17" s="361">
        <v>30073</v>
      </c>
      <c r="D17" s="507">
        <v>30073</v>
      </c>
      <c r="E17" s="504">
        <f t="shared" si="1"/>
        <v>100</v>
      </c>
      <c r="F17" s="4"/>
    </row>
    <row r="18" spans="1:6" ht="115.5" customHeight="1">
      <c r="A18" s="343">
        <v>13</v>
      </c>
      <c r="B18" s="505" t="s">
        <v>1893</v>
      </c>
      <c r="C18" s="361">
        <v>113</v>
      </c>
      <c r="D18" s="507">
        <v>113</v>
      </c>
      <c r="E18" s="504">
        <f t="shared" si="1"/>
        <v>100</v>
      </c>
      <c r="F18" s="4"/>
    </row>
    <row r="19" spans="1:6" ht="100.5">
      <c r="A19" s="343">
        <v>14</v>
      </c>
      <c r="B19" s="505" t="s">
        <v>1887</v>
      </c>
      <c r="C19" s="361">
        <v>10000</v>
      </c>
      <c r="D19" s="507">
        <v>10000</v>
      </c>
      <c r="E19" s="504">
        <f t="shared" si="1"/>
        <v>100</v>
      </c>
      <c r="F19" s="4"/>
    </row>
    <row r="20" spans="1:6" ht="86.25">
      <c r="A20" s="343">
        <v>15</v>
      </c>
      <c r="B20" s="505" t="s">
        <v>1951</v>
      </c>
      <c r="C20" s="361">
        <f>7048.37-16</f>
        <v>7032.37</v>
      </c>
      <c r="D20" s="507">
        <v>7032.37</v>
      </c>
      <c r="E20" s="504">
        <f t="shared" si="1"/>
        <v>100</v>
      </c>
      <c r="F20" s="4"/>
    </row>
    <row r="21" spans="1:6" ht="114.75">
      <c r="A21" s="343">
        <v>16</v>
      </c>
      <c r="B21" s="326" t="s">
        <v>1954</v>
      </c>
      <c r="C21" s="361">
        <f>306800-213901.3</f>
        <v>92898.700000000012</v>
      </c>
      <c r="D21" s="507">
        <v>48800</v>
      </c>
      <c r="E21" s="504">
        <f t="shared" si="1"/>
        <v>52.530336807727117</v>
      </c>
      <c r="F21" s="4"/>
    </row>
    <row r="22" spans="1:6" ht="143.25">
      <c r="A22" s="343">
        <v>17</v>
      </c>
      <c r="B22" s="505" t="s">
        <v>1949</v>
      </c>
      <c r="C22" s="502">
        <v>78947.37</v>
      </c>
      <c r="D22" s="507">
        <v>78947.37</v>
      </c>
      <c r="E22" s="504">
        <f t="shared" si="1"/>
        <v>100</v>
      </c>
      <c r="F22" s="4"/>
    </row>
    <row r="23" spans="1:6" ht="241.5" customHeight="1">
      <c r="A23" s="343">
        <v>18</v>
      </c>
      <c r="B23" s="326" t="s">
        <v>2003</v>
      </c>
      <c r="C23" s="361">
        <v>6000</v>
      </c>
      <c r="D23" s="507">
        <v>6000</v>
      </c>
      <c r="E23" s="504">
        <f t="shared" si="1"/>
        <v>100</v>
      </c>
      <c r="F23" s="4"/>
    </row>
  </sheetData>
  <mergeCells count="2">
    <mergeCell ref="B1:E1"/>
    <mergeCell ref="B2:F2"/>
  </mergeCells>
  <pageMargins left="0.70866141732283472" right="0.70866141732283472" top="0.74803149606299213" bottom="0.74803149606299213" header="0.31496062992125984" footer="0.31496062992125984"/>
  <pageSetup paperSize="9" scale="70" orientation="portrait" r:id="rId1"/>
</worksheet>
</file>

<file path=xl/worksheets/sheet31.xml><?xml version="1.0" encoding="utf-8"?>
<worksheet xmlns="http://schemas.openxmlformats.org/spreadsheetml/2006/main" xmlns:r="http://schemas.openxmlformats.org/officeDocument/2006/relationships">
  <sheetPr>
    <tabColor rgb="FF92D050"/>
  </sheetPr>
  <dimension ref="A1:D11"/>
  <sheetViews>
    <sheetView workbookViewId="0">
      <selection activeCell="D3" sqref="D3"/>
    </sheetView>
  </sheetViews>
  <sheetFormatPr defaultRowHeight="12.75"/>
  <cols>
    <col min="1" max="1" width="43.140625" customWidth="1"/>
    <col min="2" max="2" width="16" customWidth="1"/>
    <col min="3" max="4" width="15" customWidth="1"/>
  </cols>
  <sheetData>
    <row r="1" spans="1:4" ht="54" customHeight="1">
      <c r="A1" s="508" t="str">
        <f>"Приложение №"&amp;Н1благ&amp;" к решению
Богучанского районного Совета депутатов
от "&amp;Р1дата&amp;" года №"&amp;Р1номер</f>
        <v>Приложение №20 к решению
Богучанского районного Совета депутатов
от     " " 2018 года №</v>
      </c>
      <c r="B1" s="508"/>
      <c r="C1" s="508"/>
      <c r="D1" s="508"/>
    </row>
    <row r="2" spans="1:4" ht="180" customHeight="1">
      <c r="A2" s="551" t="s">
        <v>2757</v>
      </c>
      <c r="B2" s="551"/>
      <c r="C2" s="551"/>
      <c r="D2" s="551"/>
    </row>
    <row r="3" spans="1:4">
      <c r="A3" s="4"/>
      <c r="C3" s="11"/>
      <c r="D3" s="11" t="s">
        <v>94</v>
      </c>
    </row>
    <row r="4" spans="1:4" ht="25.5">
      <c r="A4" s="36" t="s">
        <v>28</v>
      </c>
      <c r="B4" s="120" t="s">
        <v>2553</v>
      </c>
      <c r="C4" s="429" t="s">
        <v>2457</v>
      </c>
      <c r="D4" s="261" t="s">
        <v>2194</v>
      </c>
    </row>
    <row r="5" spans="1:4" ht="15">
      <c r="A5" s="345" t="s">
        <v>95</v>
      </c>
      <c r="B5" s="434">
        <f>SUM(B6:B12)</f>
        <v>3780740</v>
      </c>
      <c r="C5" s="434">
        <f>SUM(C6:C12)</f>
        <v>3431421.54</v>
      </c>
      <c r="D5" s="330">
        <f>C5/B5*100</f>
        <v>90.760579674878457</v>
      </c>
    </row>
    <row r="6" spans="1:4" ht="14.25">
      <c r="A6" s="13" t="s">
        <v>795</v>
      </c>
      <c r="B6" s="435">
        <v>652350</v>
      </c>
      <c r="C6" s="291">
        <v>652350</v>
      </c>
      <c r="D6" s="291">
        <f>C6/B6*100</f>
        <v>100</v>
      </c>
    </row>
    <row r="7" spans="1:4" ht="14.25" customHeight="1">
      <c r="A7" s="13" t="s">
        <v>106</v>
      </c>
      <c r="B7" s="435">
        <v>421990</v>
      </c>
      <c r="C7" s="291">
        <v>421990</v>
      </c>
      <c r="D7" s="291">
        <f t="shared" ref="D7:D11" si="0">C7/B7*100</f>
        <v>100</v>
      </c>
    </row>
    <row r="8" spans="1:4" ht="14.25">
      <c r="A8" s="13" t="s">
        <v>66</v>
      </c>
      <c r="B8" s="435">
        <v>1398930</v>
      </c>
      <c r="C8" s="291">
        <v>1049611.54</v>
      </c>
      <c r="D8" s="291">
        <f t="shared" si="0"/>
        <v>75.029596906206891</v>
      </c>
    </row>
    <row r="9" spans="1:4" ht="14.25">
      <c r="A9" s="13" t="s">
        <v>107</v>
      </c>
      <c r="B9" s="435">
        <v>467470</v>
      </c>
      <c r="C9" s="291">
        <v>467470</v>
      </c>
      <c r="D9" s="291">
        <f t="shared" si="0"/>
        <v>100</v>
      </c>
    </row>
    <row r="10" spans="1:4" ht="14.25" customHeight="1">
      <c r="A10" s="13" t="s">
        <v>108</v>
      </c>
      <c r="B10" s="435">
        <v>480000</v>
      </c>
      <c r="C10" s="291">
        <v>480000</v>
      </c>
      <c r="D10" s="291">
        <f t="shared" si="0"/>
        <v>100</v>
      </c>
    </row>
    <row r="11" spans="1:4" ht="14.25">
      <c r="A11" s="13" t="s">
        <v>113</v>
      </c>
      <c r="B11" s="435">
        <v>360000</v>
      </c>
      <c r="C11" s="291">
        <v>360000</v>
      </c>
      <c r="D11" s="291">
        <f t="shared" si="0"/>
        <v>100</v>
      </c>
    </row>
  </sheetData>
  <mergeCells count="2">
    <mergeCell ref="A1:D1"/>
    <mergeCell ref="A2:D2"/>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tabColor rgb="FF92D050"/>
  </sheetPr>
  <dimension ref="A1:D8"/>
  <sheetViews>
    <sheetView workbookViewId="0">
      <selection activeCell="D5" sqref="D5:D8"/>
    </sheetView>
  </sheetViews>
  <sheetFormatPr defaultRowHeight="12.75"/>
  <cols>
    <col min="1" max="1" width="43.5703125" customWidth="1"/>
    <col min="2" max="2" width="16.42578125" customWidth="1"/>
    <col min="3" max="3" width="15.85546875" customWidth="1"/>
    <col min="4" max="5" width="18.42578125" customWidth="1"/>
  </cols>
  <sheetData>
    <row r="1" spans="1:4" ht="63" customHeight="1">
      <c r="A1" s="508" t="str">
        <f>"Приложение №"&amp;H1ДК&amp;" к решению
Богучанского районного Совета депутатов
от "&amp;Р1дата&amp;" года №"&amp;Р1номер</f>
        <v>Приложение №21 к решению
Богучанского районного Совета депутатов
от     " " 2018 года №</v>
      </c>
      <c r="B1" s="508"/>
      <c r="C1" s="508"/>
      <c r="D1" s="508"/>
    </row>
    <row r="2" spans="1:4" ht="90" customHeight="1">
      <c r="A2" s="509" t="str">
        <f>"Средства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за "&amp;год&amp;" год "</f>
        <v xml:space="preserve">Средства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за 2017 год </v>
      </c>
      <c r="B2" s="509"/>
      <c r="C2" s="509"/>
      <c r="D2" s="509"/>
    </row>
    <row r="3" spans="1:4">
      <c r="A3" s="4"/>
      <c r="B3" s="11" t="s">
        <v>94</v>
      </c>
      <c r="C3" s="11" t="s">
        <v>94</v>
      </c>
      <c r="D3" s="11" t="s">
        <v>94</v>
      </c>
    </row>
    <row r="4" spans="1:4" ht="28.5">
      <c r="A4" s="26" t="s">
        <v>28</v>
      </c>
      <c r="B4" s="26" t="s">
        <v>2456</v>
      </c>
      <c r="C4" s="26" t="s">
        <v>2457</v>
      </c>
      <c r="D4" s="26" t="s">
        <v>2194</v>
      </c>
    </row>
    <row r="5" spans="1:4" ht="15">
      <c r="A5" s="480" t="s">
        <v>95</v>
      </c>
      <c r="B5" s="371">
        <f>SUM(B6:B18)</f>
        <v>106684.29000000001</v>
      </c>
      <c r="C5" s="371">
        <f>SUM(C6:C18)</f>
        <v>106684.29000000001</v>
      </c>
      <c r="D5" s="424">
        <f>C5/B5*100</f>
        <v>100</v>
      </c>
    </row>
    <row r="6" spans="1:4" ht="14.25">
      <c r="A6" s="436" t="s">
        <v>168</v>
      </c>
      <c r="B6" s="297">
        <f>6203.09+61123.6</f>
        <v>67326.69</v>
      </c>
      <c r="C6" s="297">
        <v>67326.69</v>
      </c>
      <c r="D6" s="297">
        <f>C6/B6*100</f>
        <v>100</v>
      </c>
    </row>
    <row r="7" spans="1:4" ht="14.25">
      <c r="A7" s="436" t="s">
        <v>1940</v>
      </c>
      <c r="B7" s="297">
        <v>7914.3</v>
      </c>
      <c r="C7" s="297">
        <v>7914.3</v>
      </c>
      <c r="D7" s="297">
        <f t="shared" ref="D7:D8" si="0">C7/B7*100</f>
        <v>100</v>
      </c>
    </row>
    <row r="8" spans="1:4" ht="14.25">
      <c r="A8" s="437" t="s">
        <v>172</v>
      </c>
      <c r="B8" s="297">
        <v>31443.3</v>
      </c>
      <c r="C8" s="297">
        <v>31443.3</v>
      </c>
      <c r="D8" s="297">
        <f t="shared" si="0"/>
        <v>100</v>
      </c>
    </row>
  </sheetData>
  <mergeCells count="2">
    <mergeCell ref="A1:D1"/>
    <mergeCell ref="A2:D2"/>
  </mergeCells>
  <pageMargins left="0.7" right="0.24"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sheetPr>
    <tabColor rgb="FF92D050"/>
  </sheetPr>
  <dimension ref="A1:D25"/>
  <sheetViews>
    <sheetView workbookViewId="0">
      <selection activeCell="C12" sqref="C12"/>
    </sheetView>
  </sheetViews>
  <sheetFormatPr defaultRowHeight="12.75"/>
  <cols>
    <col min="1" max="1" width="60" style="4" customWidth="1"/>
    <col min="2" max="2" width="16" style="4" customWidth="1"/>
    <col min="3" max="3" width="15.5703125" customWidth="1"/>
    <col min="4" max="4" width="13" customWidth="1"/>
  </cols>
  <sheetData>
    <row r="1" spans="1:4" ht="52.5" customHeight="1">
      <c r="A1" s="508" t="str">
        <f>"Приложение №"&amp;Н1наилпок&amp;" к решению
Богучанского районного Совета депутатов
от "&amp;Р1дата&amp;" года №"&amp;Р1номер</f>
        <v>Приложение №22 к решению
Богучанского районного Совета депутатов
от     " " 2018 года №</v>
      </c>
      <c r="B1" s="508"/>
      <c r="C1" s="508"/>
      <c r="D1" s="508"/>
    </row>
    <row r="2" spans="1:4" ht="114.75" customHeight="1">
      <c r="A2" s="586" t="s">
        <v>1982</v>
      </c>
      <c r="B2" s="586"/>
      <c r="C2" s="586"/>
      <c r="D2" s="586"/>
    </row>
    <row r="3" spans="1:4" ht="21" customHeight="1">
      <c r="A3" s="509" t="str">
        <f>"  за "&amp;год&amp;" год "</f>
        <v xml:space="preserve">  за 2017 год </v>
      </c>
      <c r="B3" s="509"/>
      <c r="C3" s="509"/>
      <c r="D3" s="509"/>
    </row>
    <row r="4" spans="1:4">
      <c r="B4" s="11"/>
    </row>
    <row r="5" spans="1:4" ht="28.5">
      <c r="A5" s="17" t="s">
        <v>1983</v>
      </c>
      <c r="B5" s="26" t="s">
        <v>2456</v>
      </c>
      <c r="C5" s="432" t="s">
        <v>2457</v>
      </c>
      <c r="D5" s="432" t="s">
        <v>2552</v>
      </c>
    </row>
    <row r="6" spans="1:4" ht="15">
      <c r="A6" s="357" t="s">
        <v>95</v>
      </c>
      <c r="B6" s="358">
        <f>SUM(B7:B25)</f>
        <v>3312132</v>
      </c>
      <c r="C6" s="358">
        <f>SUM(C7:C25)</f>
        <v>2556255.9699999997</v>
      </c>
      <c r="D6" s="440">
        <f>C6/B6*100</f>
        <v>77.178565648953594</v>
      </c>
    </row>
    <row r="7" spans="1:4" ht="42.75">
      <c r="A7" s="19" t="s">
        <v>1984</v>
      </c>
      <c r="B7" s="364">
        <v>613550</v>
      </c>
      <c r="C7" s="438">
        <v>613549.87</v>
      </c>
      <c r="D7" s="439">
        <f>C7/B7*100</f>
        <v>99.999978811832776</v>
      </c>
    </row>
    <row r="8" spans="1:4" ht="42.75">
      <c r="A8" s="19" t="s">
        <v>1985</v>
      </c>
      <c r="B8" s="364">
        <v>125000</v>
      </c>
      <c r="C8" s="438">
        <v>125000</v>
      </c>
      <c r="D8" s="439">
        <f t="shared" ref="D8:D25" si="0">C8/B8*100</f>
        <v>100</v>
      </c>
    </row>
    <row r="9" spans="1:4" ht="28.5">
      <c r="A9" s="19" t="s">
        <v>1986</v>
      </c>
      <c r="B9" s="364">
        <v>245000</v>
      </c>
      <c r="C9" s="438">
        <v>245000</v>
      </c>
      <c r="D9" s="439">
        <f t="shared" si="0"/>
        <v>100</v>
      </c>
    </row>
    <row r="10" spans="1:4" ht="42.75">
      <c r="A10" s="19" t="s">
        <v>1987</v>
      </c>
      <c r="B10" s="364">
        <v>69440</v>
      </c>
      <c r="C10" s="438">
        <v>69440</v>
      </c>
      <c r="D10" s="439">
        <f t="shared" si="0"/>
        <v>100</v>
      </c>
    </row>
    <row r="11" spans="1:4" ht="14.25">
      <c r="A11" s="365" t="s">
        <v>1988</v>
      </c>
      <c r="B11" s="364">
        <v>47020</v>
      </c>
      <c r="C11" s="438">
        <v>47015</v>
      </c>
      <c r="D11" s="439">
        <f t="shared" si="0"/>
        <v>99.989366227137396</v>
      </c>
    </row>
    <row r="12" spans="1:4" ht="28.5">
      <c r="A12" s="366" t="s">
        <v>1989</v>
      </c>
      <c r="B12" s="367">
        <v>207000</v>
      </c>
      <c r="C12" s="438">
        <v>207000</v>
      </c>
      <c r="D12" s="439">
        <f t="shared" si="0"/>
        <v>100</v>
      </c>
    </row>
    <row r="13" spans="1:4" ht="28.5">
      <c r="A13" s="365" t="s">
        <v>1990</v>
      </c>
      <c r="B13" s="364">
        <v>150000</v>
      </c>
      <c r="C13" s="438">
        <v>150000</v>
      </c>
      <c r="D13" s="439">
        <f t="shared" si="0"/>
        <v>100</v>
      </c>
    </row>
    <row r="14" spans="1:4" ht="39" customHeight="1">
      <c r="A14" s="368" t="s">
        <v>1991</v>
      </c>
      <c r="B14" s="364">
        <v>95000</v>
      </c>
      <c r="C14" s="438">
        <v>95000</v>
      </c>
      <c r="D14" s="439">
        <f t="shared" si="0"/>
        <v>100</v>
      </c>
    </row>
    <row r="15" spans="1:4" ht="20.25" customHeight="1">
      <c r="A15" s="366" t="s">
        <v>1992</v>
      </c>
      <c r="B15" s="367">
        <v>504270</v>
      </c>
      <c r="C15" s="438">
        <v>496369.72</v>
      </c>
      <c r="D15" s="439">
        <f t="shared" si="0"/>
        <v>98.43332341801019</v>
      </c>
    </row>
    <row r="16" spans="1:4" ht="14.25">
      <c r="A16" s="365" t="s">
        <v>1993</v>
      </c>
      <c r="B16" s="364">
        <v>547970</v>
      </c>
      <c r="C16" s="438">
        <v>0</v>
      </c>
      <c r="D16" s="439">
        <f t="shared" si="0"/>
        <v>0</v>
      </c>
    </row>
    <row r="17" spans="1:4" ht="14.25">
      <c r="A17" s="365" t="s">
        <v>1994</v>
      </c>
      <c r="B17" s="369">
        <v>14902</v>
      </c>
      <c r="C17" s="438">
        <v>14901.38</v>
      </c>
      <c r="D17" s="439">
        <f t="shared" si="0"/>
        <v>99.995839484632938</v>
      </c>
    </row>
    <row r="18" spans="1:4" ht="42.75">
      <c r="A18" s="366" t="s">
        <v>1995</v>
      </c>
      <c r="B18" s="367">
        <v>161780</v>
      </c>
      <c r="C18" s="438">
        <v>161780</v>
      </c>
      <c r="D18" s="439">
        <f t="shared" si="0"/>
        <v>100</v>
      </c>
    </row>
    <row r="19" spans="1:4" ht="28.5">
      <c r="A19" s="365" t="s">
        <v>1996</v>
      </c>
      <c r="B19" s="369">
        <v>200000</v>
      </c>
      <c r="C19" s="438">
        <v>0</v>
      </c>
      <c r="D19" s="439">
        <f t="shared" si="0"/>
        <v>0</v>
      </c>
    </row>
    <row r="20" spans="1:4" ht="28.5">
      <c r="A20" s="19" t="s">
        <v>1997</v>
      </c>
      <c r="B20" s="364">
        <v>234380</v>
      </c>
      <c r="C20" s="438">
        <v>234380</v>
      </c>
      <c r="D20" s="439">
        <f t="shared" si="0"/>
        <v>100</v>
      </c>
    </row>
    <row r="21" spans="1:4" ht="42.75">
      <c r="A21" s="19" t="s">
        <v>1998</v>
      </c>
      <c r="B21" s="364">
        <v>70780</v>
      </c>
      <c r="C21" s="438">
        <v>70780</v>
      </c>
      <c r="D21" s="439">
        <f t="shared" si="0"/>
        <v>100</v>
      </c>
    </row>
    <row r="22" spans="1:4" ht="42.75">
      <c r="A22" s="19" t="s">
        <v>1999</v>
      </c>
      <c r="B22" s="364">
        <v>10000</v>
      </c>
      <c r="C22" s="438">
        <v>10000</v>
      </c>
      <c r="D22" s="439">
        <f t="shared" si="0"/>
        <v>100</v>
      </c>
    </row>
    <row r="23" spans="1:4" ht="42.75">
      <c r="A23" s="19" t="s">
        <v>2000</v>
      </c>
      <c r="B23" s="364">
        <v>3020</v>
      </c>
      <c r="C23" s="438">
        <v>3020</v>
      </c>
      <c r="D23" s="439">
        <f t="shared" si="0"/>
        <v>100</v>
      </c>
    </row>
    <row r="24" spans="1:4" ht="28.5">
      <c r="A24" s="19" t="s">
        <v>2001</v>
      </c>
      <c r="B24" s="364">
        <v>10000</v>
      </c>
      <c r="C24" s="438">
        <v>10000</v>
      </c>
      <c r="D24" s="439">
        <f t="shared" si="0"/>
        <v>100</v>
      </c>
    </row>
    <row r="25" spans="1:4" ht="42.75">
      <c r="A25" s="19" t="s">
        <v>2002</v>
      </c>
      <c r="B25" s="364">
        <v>3020</v>
      </c>
      <c r="C25" s="438">
        <v>3020</v>
      </c>
      <c r="D25" s="439">
        <f t="shared" si="0"/>
        <v>100</v>
      </c>
    </row>
  </sheetData>
  <mergeCells count="3">
    <mergeCell ref="A1:D1"/>
    <mergeCell ref="A2:D2"/>
    <mergeCell ref="A3:D3"/>
  </mergeCells>
  <pageMargins left="0.70866141732283472" right="0.31496062992125984" top="0.35433070866141736" bottom="0.35433070866141736" header="0.31496062992125984" footer="0.31496062992125984"/>
  <pageSetup paperSize="9" scale="90" orientation="portrait" r:id="rId1"/>
</worksheet>
</file>

<file path=xl/worksheets/sheet34.xml><?xml version="1.0" encoding="utf-8"?>
<worksheet xmlns="http://schemas.openxmlformats.org/spreadsheetml/2006/main" xmlns:r="http://schemas.openxmlformats.org/officeDocument/2006/relationships">
  <sheetPr>
    <tabColor rgb="FF92D050"/>
  </sheetPr>
  <dimension ref="A1:D13"/>
  <sheetViews>
    <sheetView workbookViewId="0">
      <selection activeCell="B6" sqref="B6:D13"/>
    </sheetView>
  </sheetViews>
  <sheetFormatPr defaultRowHeight="12.75"/>
  <cols>
    <col min="1" max="1" width="55" style="4" customWidth="1"/>
    <col min="2" max="2" width="18.28515625" style="4" customWidth="1"/>
    <col min="3" max="3" width="16.42578125" customWidth="1"/>
    <col min="4" max="4" width="13.5703125" customWidth="1"/>
  </cols>
  <sheetData>
    <row r="1" spans="1:4" ht="52.5" customHeight="1">
      <c r="A1" s="508" t="str">
        <f>"Приложение №"&amp;Н1потенц&amp;" к решению
Богучанского районного Совета депутатов
от "&amp;Р1дата&amp;" года №"&amp;Р1номер</f>
        <v>Приложение №23 к решению
Богучанского районного Совета депутатов
от     " " 2018 года №</v>
      </c>
      <c r="B1" s="508"/>
      <c r="C1" s="508"/>
      <c r="D1" s="508"/>
    </row>
    <row r="2" spans="1:4" ht="85.5" customHeight="1">
      <c r="A2" s="509" t="str">
        <f>" Распределение иного межбюджетного трансферта бюджетам муниципальных образований Красноярского края за содействие развитию налогового потенциала за "&amp;год&amp;" год "</f>
        <v xml:space="preserve"> Распределение иного межбюджетного трансферта бюджетам муниципальных образований Красноярского края за содействие развитию налогового потенциала за 2017 год </v>
      </c>
      <c r="B2" s="509"/>
      <c r="C2" s="509"/>
      <c r="D2" s="509"/>
    </row>
    <row r="3" spans="1:4">
      <c r="B3" s="11"/>
    </row>
    <row r="4" spans="1:4" ht="28.5">
      <c r="A4" s="26" t="s">
        <v>28</v>
      </c>
      <c r="B4" s="26" t="s">
        <v>2456</v>
      </c>
      <c r="C4" s="432" t="s">
        <v>2457</v>
      </c>
      <c r="D4" s="432" t="s">
        <v>2194</v>
      </c>
    </row>
    <row r="5" spans="1:4" ht="15">
      <c r="A5" s="370" t="s">
        <v>95</v>
      </c>
      <c r="B5" s="371">
        <f>SUM(B6:B17)</f>
        <v>3171900</v>
      </c>
      <c r="C5" s="371">
        <f>SUM(C6:C17)</f>
        <v>2186779</v>
      </c>
      <c r="D5" s="330">
        <f>C5/B5*100</f>
        <v>68.94224281976102</v>
      </c>
    </row>
    <row r="6" spans="1:4" ht="28.5">
      <c r="A6" s="490" t="s">
        <v>1941</v>
      </c>
      <c r="B6" s="492">
        <v>985121</v>
      </c>
      <c r="C6" s="446">
        <v>0</v>
      </c>
      <c r="D6" s="291">
        <f t="shared" ref="D6:D13" si="0">C6/B6*100</f>
        <v>0</v>
      </c>
    </row>
    <row r="7" spans="1:4" ht="28.5">
      <c r="A7" s="490" t="s">
        <v>1942</v>
      </c>
      <c r="B7" s="493">
        <v>478734.3</v>
      </c>
      <c r="C7" s="446">
        <v>478734.3</v>
      </c>
      <c r="D7" s="291">
        <f t="shared" si="0"/>
        <v>100</v>
      </c>
    </row>
    <row r="8" spans="1:4" ht="28.5">
      <c r="A8" s="490" t="s">
        <v>1943</v>
      </c>
      <c r="B8" s="493">
        <v>301952</v>
      </c>
      <c r="C8" s="446">
        <v>301952</v>
      </c>
      <c r="D8" s="291">
        <f t="shared" si="0"/>
        <v>100</v>
      </c>
    </row>
    <row r="9" spans="1:4" ht="28.5">
      <c r="A9" s="490" t="s">
        <v>1944</v>
      </c>
      <c r="B9" s="493">
        <v>374312.07</v>
      </c>
      <c r="C9" s="446">
        <v>374312.07</v>
      </c>
      <c r="D9" s="291">
        <f t="shared" si="0"/>
        <v>100</v>
      </c>
    </row>
    <row r="10" spans="1:4" ht="14.25">
      <c r="A10" s="491" t="s">
        <v>1945</v>
      </c>
      <c r="B10" s="493">
        <v>498000</v>
      </c>
      <c r="C10" s="446">
        <v>498000</v>
      </c>
      <c r="D10" s="291">
        <f t="shared" si="0"/>
        <v>100</v>
      </c>
    </row>
    <row r="11" spans="1:4" ht="28.5">
      <c r="A11" s="491" t="s">
        <v>1946</v>
      </c>
      <c r="B11" s="492">
        <v>215000</v>
      </c>
      <c r="C11" s="446">
        <v>215000</v>
      </c>
      <c r="D11" s="291">
        <f t="shared" si="0"/>
        <v>100</v>
      </c>
    </row>
    <row r="12" spans="1:4" ht="39" customHeight="1">
      <c r="A12" s="491" t="s">
        <v>1947</v>
      </c>
      <c r="B12" s="492">
        <v>192780.63</v>
      </c>
      <c r="C12" s="446">
        <v>192780.63</v>
      </c>
      <c r="D12" s="291">
        <f t="shared" si="0"/>
        <v>100</v>
      </c>
    </row>
    <row r="13" spans="1:4" ht="20.25" customHeight="1">
      <c r="A13" s="491" t="s">
        <v>1948</v>
      </c>
      <c r="B13" s="492">
        <v>126000</v>
      </c>
      <c r="C13" s="446">
        <v>126000</v>
      </c>
      <c r="D13" s="291">
        <f t="shared" si="0"/>
        <v>100</v>
      </c>
    </row>
  </sheetData>
  <mergeCells count="2">
    <mergeCell ref="A1:D1"/>
    <mergeCell ref="A2:D2"/>
  </mergeCells>
  <pageMargins left="0.70866141732283472" right="0.24" top="0.74803149606299213" bottom="0.74803149606299213" header="0.31496062992125984" footer="0.31496062992125984"/>
  <pageSetup paperSize="9" scale="90" orientation="portrait" r:id="rId1"/>
</worksheet>
</file>

<file path=xl/worksheets/sheet35.xml><?xml version="1.0" encoding="utf-8"?>
<worksheet xmlns="http://schemas.openxmlformats.org/spreadsheetml/2006/main" xmlns:r="http://schemas.openxmlformats.org/officeDocument/2006/relationships">
  <sheetPr codeName="Лист26"/>
  <dimension ref="A1:G714"/>
  <sheetViews>
    <sheetView tabSelected="1" topLeftCell="A11" workbookViewId="0">
      <selection activeCell="B38" sqref="B38"/>
    </sheetView>
  </sheetViews>
  <sheetFormatPr defaultColWidth="8.7109375" defaultRowHeight="12.75"/>
  <cols>
    <col min="1" max="1" width="27.5703125" customWidth="1"/>
    <col min="2" max="2" width="22.42578125" style="1" customWidth="1"/>
    <col min="3" max="3" width="22.5703125" customWidth="1"/>
    <col min="7" max="7" width="10.140625" bestFit="1" customWidth="1"/>
  </cols>
  <sheetData>
    <row r="1" spans="1:7">
      <c r="A1" t="s">
        <v>134</v>
      </c>
      <c r="B1" s="1">
        <v>2017</v>
      </c>
    </row>
    <row r="2" spans="1:7">
      <c r="A2" t="s">
        <v>318</v>
      </c>
      <c r="B2" s="1" t="s">
        <v>1326</v>
      </c>
    </row>
    <row r="3" spans="1:7">
      <c r="A3" t="s">
        <v>307</v>
      </c>
      <c r="B3" s="2" t="s">
        <v>2753</v>
      </c>
    </row>
    <row r="4" spans="1:7">
      <c r="A4" t="s">
        <v>308</v>
      </c>
      <c r="B4" s="268"/>
    </row>
    <row r="5" spans="1:7">
      <c r="A5" t="s">
        <v>771</v>
      </c>
      <c r="B5" s="2"/>
    </row>
    <row r="6" spans="1:7">
      <c r="A6" t="s">
        <v>772</v>
      </c>
      <c r="B6" s="268"/>
    </row>
    <row r="8" spans="1:7">
      <c r="A8" s="4"/>
      <c r="B8" s="5"/>
      <c r="C8" s="4"/>
      <c r="D8" s="4"/>
      <c r="E8" s="4"/>
      <c r="G8" s="3"/>
    </row>
    <row r="9" spans="1:7">
      <c r="A9" s="6" t="s">
        <v>317</v>
      </c>
      <c r="B9" s="7" t="s">
        <v>316</v>
      </c>
      <c r="C9" s="171" t="s">
        <v>773</v>
      </c>
      <c r="D9" s="4"/>
      <c r="E9" s="4"/>
    </row>
    <row r="10" spans="1:7">
      <c r="A10" s="6" t="s">
        <v>135</v>
      </c>
      <c r="B10" s="341"/>
      <c r="C10" s="8"/>
      <c r="D10" s="4"/>
      <c r="E10" s="4"/>
    </row>
    <row r="11" spans="1:7">
      <c r="A11" s="6" t="s">
        <v>142</v>
      </c>
      <c r="B11" s="348"/>
      <c r="C11" s="8"/>
      <c r="D11" s="4"/>
      <c r="E11" s="4"/>
    </row>
    <row r="12" spans="1:7">
      <c r="A12" s="6" t="s">
        <v>143</v>
      </c>
      <c r="B12" s="8">
        <v>1</v>
      </c>
      <c r="C12" s="8"/>
      <c r="D12" s="4"/>
      <c r="E12" s="4"/>
    </row>
    <row r="13" spans="1:7">
      <c r="A13" s="6" t="s">
        <v>1250</v>
      </c>
      <c r="B13" s="8"/>
      <c r="C13" s="8"/>
      <c r="D13" s="4"/>
      <c r="E13" s="4"/>
    </row>
    <row r="14" spans="1:7">
      <c r="A14" s="6" t="s">
        <v>144</v>
      </c>
      <c r="B14" s="341">
        <v>2</v>
      </c>
      <c r="C14" s="8"/>
      <c r="D14" s="4"/>
      <c r="E14" s="4"/>
    </row>
    <row r="15" spans="1:7">
      <c r="A15" s="6" t="s">
        <v>1801</v>
      </c>
      <c r="B15" s="341">
        <v>3</v>
      </c>
      <c r="C15" s="8"/>
      <c r="D15" s="4"/>
      <c r="E15" s="4"/>
    </row>
    <row r="16" spans="1:7">
      <c r="A16" s="6" t="s">
        <v>1802</v>
      </c>
      <c r="B16" s="8"/>
      <c r="C16" s="8"/>
      <c r="D16" s="4"/>
      <c r="E16" s="4"/>
    </row>
    <row r="17" spans="1:5">
      <c r="A17" s="6" t="s">
        <v>1803</v>
      </c>
      <c r="B17" s="341">
        <v>4</v>
      </c>
      <c r="C17" s="8"/>
      <c r="D17" s="4"/>
      <c r="E17" s="4"/>
    </row>
    <row r="18" spans="1:5">
      <c r="A18" s="6" t="s">
        <v>1804</v>
      </c>
      <c r="B18" s="8"/>
      <c r="C18" s="8"/>
      <c r="D18" s="4"/>
      <c r="E18" s="4"/>
    </row>
    <row r="19" spans="1:5">
      <c r="A19" s="6" t="s">
        <v>1805</v>
      </c>
      <c r="B19" s="341">
        <v>5</v>
      </c>
      <c r="C19" s="8"/>
      <c r="D19" s="4"/>
      <c r="E19" s="4"/>
    </row>
    <row r="20" spans="1:5">
      <c r="A20" s="6" t="s">
        <v>1806</v>
      </c>
      <c r="B20" s="8"/>
      <c r="C20" s="8"/>
      <c r="D20" s="4"/>
      <c r="E20" s="4"/>
    </row>
    <row r="21" spans="1:5">
      <c r="A21" s="6" t="s">
        <v>16</v>
      </c>
      <c r="B21" s="348">
        <v>6</v>
      </c>
      <c r="C21" s="8"/>
      <c r="D21" s="4"/>
      <c r="E21" s="4"/>
    </row>
    <row r="22" spans="1:5">
      <c r="A22" s="6" t="s">
        <v>141</v>
      </c>
      <c r="B22" s="347">
        <v>7</v>
      </c>
      <c r="C22" s="8"/>
      <c r="D22" s="4"/>
      <c r="E22" s="4"/>
    </row>
    <row r="23" spans="1:5">
      <c r="A23" s="6" t="s">
        <v>138</v>
      </c>
      <c r="B23" s="348">
        <v>8</v>
      </c>
      <c r="C23" s="8"/>
      <c r="D23" s="4"/>
      <c r="E23" s="4"/>
    </row>
    <row r="24" spans="1:5">
      <c r="A24" s="6" t="s">
        <v>136</v>
      </c>
      <c r="B24" s="8">
        <v>9</v>
      </c>
      <c r="C24" s="8"/>
      <c r="D24" s="4"/>
      <c r="E24" s="4"/>
    </row>
    <row r="25" spans="1:5">
      <c r="A25" s="6" t="s">
        <v>137</v>
      </c>
      <c r="B25" s="8">
        <v>10</v>
      </c>
      <c r="C25" s="8"/>
      <c r="D25" s="4"/>
      <c r="E25" s="4"/>
    </row>
    <row r="26" spans="1:5">
      <c r="A26" s="6" t="s">
        <v>234</v>
      </c>
      <c r="B26" s="8">
        <v>11</v>
      </c>
      <c r="C26" s="8"/>
      <c r="D26" s="4"/>
      <c r="E26" s="4"/>
    </row>
    <row r="27" spans="1:5">
      <c r="A27" s="6" t="s">
        <v>196</v>
      </c>
      <c r="B27" s="8"/>
      <c r="C27" s="8"/>
      <c r="D27" s="4"/>
      <c r="E27" s="4"/>
    </row>
    <row r="28" spans="1:5">
      <c r="A28" s="6" t="s">
        <v>139</v>
      </c>
      <c r="B28" s="348">
        <v>12</v>
      </c>
      <c r="C28" s="8"/>
      <c r="D28" s="4"/>
      <c r="E28" s="4"/>
    </row>
    <row r="29" spans="1:5">
      <c r="A29" s="6" t="s">
        <v>140</v>
      </c>
      <c r="B29" s="8"/>
      <c r="C29" s="8"/>
      <c r="D29" s="4"/>
      <c r="E29" s="4"/>
    </row>
    <row r="30" spans="1:5">
      <c r="A30" s="9" t="s">
        <v>295</v>
      </c>
      <c r="B30" s="346">
        <v>14</v>
      </c>
      <c r="C30" s="8"/>
      <c r="D30" s="4"/>
      <c r="E30" s="4"/>
    </row>
    <row r="31" spans="1:5">
      <c r="A31" s="9" t="s">
        <v>624</v>
      </c>
      <c r="B31" s="10">
        <v>13</v>
      </c>
      <c r="C31" s="8"/>
      <c r="D31" s="4"/>
      <c r="E31" s="4"/>
    </row>
    <row r="32" spans="1:5">
      <c r="A32" s="6" t="s">
        <v>1296</v>
      </c>
      <c r="B32" s="348">
        <v>15</v>
      </c>
      <c r="C32" s="8"/>
      <c r="D32" s="4"/>
      <c r="E32" s="4"/>
    </row>
    <row r="33" spans="1:5">
      <c r="A33" s="9" t="s">
        <v>1726</v>
      </c>
      <c r="B33" s="346">
        <v>16</v>
      </c>
      <c r="C33" s="8"/>
      <c r="D33" s="4"/>
      <c r="E33" s="4"/>
    </row>
    <row r="34" spans="1:5">
      <c r="A34" s="8" t="s">
        <v>1727</v>
      </c>
      <c r="B34" s="346">
        <v>17</v>
      </c>
      <c r="C34" s="8"/>
      <c r="D34" s="4"/>
      <c r="E34" s="4"/>
    </row>
    <row r="35" spans="1:5">
      <c r="A35" s="6" t="s">
        <v>1437</v>
      </c>
      <c r="B35" s="349">
        <v>19</v>
      </c>
      <c r="C35" s="8"/>
      <c r="D35" s="4"/>
      <c r="E35" s="4"/>
    </row>
    <row r="36" spans="1:5">
      <c r="A36" s="8" t="s">
        <v>1728</v>
      </c>
      <c r="B36" s="10">
        <v>18</v>
      </c>
      <c r="C36" s="8"/>
      <c r="D36" s="4"/>
      <c r="E36" s="4"/>
    </row>
    <row r="37" spans="1:5">
      <c r="A37" s="6" t="s">
        <v>1826</v>
      </c>
      <c r="B37" s="346">
        <v>24</v>
      </c>
      <c r="C37" s="6"/>
      <c r="D37" s="4"/>
      <c r="E37" s="4"/>
    </row>
    <row r="38" spans="1:5">
      <c r="A38" s="6" t="s">
        <v>45</v>
      </c>
      <c r="B38" s="346">
        <v>20</v>
      </c>
      <c r="C38" s="6"/>
      <c r="D38" s="4"/>
      <c r="E38" s="4"/>
    </row>
    <row r="39" spans="1:5">
      <c r="A39" s="6" t="s">
        <v>1932</v>
      </c>
      <c r="B39" s="349">
        <v>21</v>
      </c>
      <c r="C39" s="6"/>
      <c r="D39" s="4"/>
      <c r="E39" s="4"/>
    </row>
    <row r="40" spans="1:5">
      <c r="A40" s="6" t="s">
        <v>1981</v>
      </c>
      <c r="B40" s="349">
        <v>22</v>
      </c>
      <c r="C40" s="6"/>
      <c r="D40" s="4"/>
      <c r="E40" s="4"/>
    </row>
    <row r="41" spans="1:5">
      <c r="A41" s="6" t="s">
        <v>1933</v>
      </c>
      <c r="B41" s="10">
        <v>23</v>
      </c>
      <c r="C41" s="6"/>
      <c r="D41" s="4"/>
      <c r="E41" s="4"/>
    </row>
    <row r="42" spans="1:5">
      <c r="A42" s="4"/>
      <c r="B42" s="5"/>
      <c r="C42" s="4"/>
      <c r="D42" s="4"/>
      <c r="E42" s="4"/>
    </row>
    <row r="43" spans="1:5">
      <c r="A43" s="4"/>
      <c r="B43" s="5"/>
      <c r="C43" s="4"/>
      <c r="D43" s="4"/>
      <c r="E43" s="4"/>
    </row>
    <row r="44" spans="1:5">
      <c r="A44" s="4"/>
      <c r="B44" s="5"/>
      <c r="C44" s="4"/>
      <c r="D44" s="4"/>
      <c r="E44" s="4"/>
    </row>
    <row r="45" spans="1:5">
      <c r="A45" s="4"/>
      <c r="B45" s="5"/>
      <c r="C45" s="4"/>
      <c r="D45" s="4"/>
      <c r="E45" s="4"/>
    </row>
    <row r="46" spans="1:5">
      <c r="A46" s="4"/>
      <c r="B46" s="5"/>
      <c r="C46" s="4"/>
      <c r="D46" s="4"/>
      <c r="E46" s="4"/>
    </row>
    <row r="47" spans="1:5">
      <c r="A47" s="4"/>
      <c r="B47" s="5"/>
      <c r="C47" s="4"/>
      <c r="D47" s="4"/>
      <c r="E47" s="4"/>
    </row>
    <row r="48" spans="1:5">
      <c r="A48" s="4"/>
      <c r="B48" s="5"/>
      <c r="C48" s="4"/>
      <c r="D48" s="4"/>
      <c r="E48" s="4"/>
    </row>
    <row r="49" spans="1:5">
      <c r="A49" s="4"/>
      <c r="B49" s="5"/>
      <c r="C49" s="4"/>
      <c r="D49" s="4"/>
      <c r="E49" s="4"/>
    </row>
    <row r="50" spans="1:5">
      <c r="A50" s="4"/>
      <c r="B50" s="5"/>
      <c r="C50" s="4"/>
      <c r="D50" s="4"/>
      <c r="E50" s="4"/>
    </row>
    <row r="51" spans="1:5">
      <c r="A51" s="4"/>
      <c r="B51" s="5"/>
      <c r="C51" s="4"/>
      <c r="D51" s="4"/>
      <c r="E51" s="4"/>
    </row>
    <row r="52" spans="1:5">
      <c r="A52" s="4"/>
      <c r="B52" s="5"/>
      <c r="C52" s="4"/>
      <c r="D52" s="4"/>
      <c r="E52" s="4"/>
    </row>
    <row r="53" spans="1:5">
      <c r="A53" s="4"/>
      <c r="B53" s="5"/>
      <c r="C53" s="4"/>
      <c r="D53" s="4"/>
      <c r="E53" s="4"/>
    </row>
    <row r="54" spans="1:5">
      <c r="A54" s="4"/>
      <c r="B54" s="5"/>
      <c r="C54" s="4"/>
      <c r="D54" s="4"/>
      <c r="E54" s="4"/>
    </row>
    <row r="55" spans="1:5">
      <c r="A55" s="4"/>
      <c r="B55" s="5"/>
      <c r="C55" s="4"/>
      <c r="D55" s="4"/>
      <c r="E55" s="4"/>
    </row>
    <row r="56" spans="1:5">
      <c r="A56" s="4"/>
      <c r="B56" s="5"/>
      <c r="C56" s="4"/>
      <c r="D56" s="4"/>
      <c r="E56" s="4"/>
    </row>
    <row r="57" spans="1:5">
      <c r="A57" s="4"/>
      <c r="B57" s="5"/>
      <c r="C57" s="4"/>
      <c r="D57" s="4"/>
      <c r="E57" s="4"/>
    </row>
    <row r="58" spans="1:5">
      <c r="A58" s="4"/>
      <c r="B58" s="5"/>
      <c r="C58" s="4"/>
      <c r="D58" s="4"/>
      <c r="E58" s="4"/>
    </row>
    <row r="59" spans="1:5">
      <c r="A59" s="4"/>
      <c r="B59" s="5"/>
      <c r="C59" s="4"/>
      <c r="D59" s="4"/>
      <c r="E59" s="4"/>
    </row>
    <row r="60" spans="1:5">
      <c r="A60" s="4"/>
      <c r="B60" s="5"/>
      <c r="C60" s="4"/>
      <c r="D60" s="4"/>
      <c r="E60" s="4"/>
    </row>
    <row r="61" spans="1:5">
      <c r="A61" s="4"/>
      <c r="B61" s="5"/>
      <c r="C61" s="4"/>
      <c r="D61" s="4"/>
      <c r="E61" s="4"/>
    </row>
    <row r="62" spans="1:5">
      <c r="A62" s="4"/>
      <c r="B62" s="5"/>
      <c r="C62" s="4"/>
      <c r="D62" s="4"/>
      <c r="E62" s="4"/>
    </row>
    <row r="63" spans="1:5">
      <c r="A63" s="4"/>
      <c r="B63" s="5"/>
      <c r="C63" s="4"/>
      <c r="D63" s="4"/>
      <c r="E63" s="4"/>
    </row>
    <row r="64" spans="1:5">
      <c r="A64" s="4"/>
      <c r="B64" s="5"/>
      <c r="C64" s="4"/>
      <c r="D64" s="4"/>
      <c r="E64" s="4"/>
    </row>
    <row r="65" spans="1:5">
      <c r="A65" s="4"/>
      <c r="B65" s="5"/>
      <c r="C65" s="4"/>
      <c r="D65" s="4"/>
      <c r="E65" s="4"/>
    </row>
    <row r="66" spans="1:5">
      <c r="A66" s="4"/>
      <c r="B66" s="5"/>
      <c r="C66" s="4"/>
      <c r="D66" s="4"/>
      <c r="E66" s="4"/>
    </row>
    <row r="67" spans="1:5">
      <c r="A67" s="4"/>
      <c r="B67" s="5"/>
      <c r="C67" s="4"/>
      <c r="D67" s="4"/>
      <c r="E67" s="4"/>
    </row>
    <row r="68" spans="1:5">
      <c r="A68" s="4"/>
      <c r="B68" s="5"/>
      <c r="C68" s="4"/>
      <c r="D68" s="4"/>
      <c r="E68" s="4"/>
    </row>
    <row r="69" spans="1:5">
      <c r="A69" s="4"/>
      <c r="B69" s="5"/>
      <c r="C69" s="4"/>
      <c r="D69" s="4"/>
      <c r="E69" s="4"/>
    </row>
    <row r="70" spans="1:5">
      <c r="A70" s="4"/>
      <c r="B70" s="5"/>
      <c r="C70" s="4"/>
      <c r="D70" s="4"/>
      <c r="E70" s="4"/>
    </row>
    <row r="71" spans="1:5">
      <c r="A71" s="4"/>
      <c r="B71" s="5"/>
      <c r="C71" s="4"/>
      <c r="D71" s="4"/>
      <c r="E71" s="4"/>
    </row>
    <row r="72" spans="1:5">
      <c r="A72" s="4"/>
      <c r="B72" s="5"/>
      <c r="C72" s="4"/>
      <c r="D72" s="4"/>
      <c r="E72" s="4"/>
    </row>
    <row r="73" spans="1:5">
      <c r="A73" s="4"/>
      <c r="B73" s="5"/>
      <c r="C73" s="4"/>
      <c r="D73" s="4"/>
      <c r="E73" s="4"/>
    </row>
    <row r="74" spans="1:5">
      <c r="A74" s="4"/>
      <c r="B74" s="5"/>
      <c r="C74" s="4"/>
      <c r="D74" s="4"/>
      <c r="E74" s="4"/>
    </row>
    <row r="75" spans="1:5">
      <c r="A75" s="4"/>
      <c r="B75" s="5"/>
      <c r="C75" s="4"/>
      <c r="D75" s="4"/>
      <c r="E75" s="4"/>
    </row>
    <row r="76" spans="1:5">
      <c r="A76" s="4"/>
      <c r="B76" s="5"/>
      <c r="C76" s="4"/>
      <c r="D76" s="4"/>
      <c r="E76" s="4"/>
    </row>
    <row r="77" spans="1:5">
      <c r="A77" s="4"/>
      <c r="B77" s="5"/>
      <c r="C77" s="4"/>
      <c r="D77" s="4"/>
      <c r="E77" s="4"/>
    </row>
    <row r="78" spans="1:5">
      <c r="A78" s="4"/>
      <c r="B78" s="5"/>
      <c r="C78" s="4"/>
      <c r="D78" s="4"/>
      <c r="E78" s="4"/>
    </row>
    <row r="79" spans="1:5">
      <c r="A79" s="4"/>
      <c r="B79" s="5"/>
      <c r="C79" s="4"/>
      <c r="D79" s="4"/>
      <c r="E79" s="4"/>
    </row>
    <row r="80" spans="1:5">
      <c r="A80" s="4"/>
      <c r="B80" s="5"/>
      <c r="C80" s="4"/>
      <c r="D80" s="4"/>
      <c r="E80" s="4"/>
    </row>
    <row r="81" spans="1:5">
      <c r="A81" s="4"/>
      <c r="B81" s="5"/>
      <c r="C81" s="4"/>
      <c r="D81" s="4"/>
      <c r="E81" s="4"/>
    </row>
    <row r="82" spans="1:5">
      <c r="A82" s="4"/>
      <c r="B82" s="5"/>
      <c r="C82" s="4"/>
      <c r="D82" s="4"/>
      <c r="E82" s="4"/>
    </row>
    <row r="83" spans="1:5">
      <c r="A83" s="4"/>
      <c r="B83" s="5"/>
      <c r="C83" s="4"/>
      <c r="D83" s="4"/>
      <c r="E83" s="4"/>
    </row>
    <row r="84" spans="1:5">
      <c r="A84" s="4"/>
      <c r="B84" s="5"/>
      <c r="C84" s="4"/>
      <c r="D84" s="4"/>
      <c r="E84" s="4"/>
    </row>
    <row r="85" spans="1:5">
      <c r="A85" s="4"/>
      <c r="B85" s="5"/>
      <c r="C85" s="4"/>
      <c r="D85" s="4"/>
      <c r="E85" s="4"/>
    </row>
    <row r="86" spans="1:5">
      <c r="A86" s="4"/>
      <c r="B86" s="5"/>
      <c r="C86" s="4"/>
      <c r="D86" s="4"/>
      <c r="E86" s="4"/>
    </row>
    <row r="87" spans="1:5">
      <c r="A87" s="4"/>
      <c r="B87" s="5"/>
      <c r="C87" s="4"/>
      <c r="D87" s="4"/>
      <c r="E87" s="4"/>
    </row>
    <row r="88" spans="1:5">
      <c r="A88" s="4"/>
      <c r="B88" s="5"/>
      <c r="C88" s="4"/>
      <c r="D88" s="4"/>
      <c r="E88" s="4"/>
    </row>
    <row r="89" spans="1:5">
      <c r="A89" s="4"/>
      <c r="B89" s="5"/>
      <c r="C89" s="4"/>
      <c r="D89" s="4"/>
      <c r="E89" s="4"/>
    </row>
    <row r="90" spans="1:5">
      <c r="A90" s="4"/>
      <c r="B90" s="5"/>
      <c r="C90" s="4"/>
      <c r="D90" s="4"/>
      <c r="E90" s="4"/>
    </row>
    <row r="91" spans="1:5">
      <c r="A91" s="4"/>
      <c r="B91" s="5"/>
      <c r="C91" s="4"/>
      <c r="D91" s="4"/>
      <c r="E91" s="4"/>
    </row>
    <row r="92" spans="1:5">
      <c r="A92" s="4"/>
      <c r="B92" s="5"/>
      <c r="C92" s="4"/>
      <c r="D92" s="4"/>
      <c r="E92" s="4"/>
    </row>
    <row r="93" spans="1:5">
      <c r="A93" s="4"/>
      <c r="B93" s="5"/>
      <c r="C93" s="4"/>
      <c r="D93" s="4"/>
      <c r="E93" s="4"/>
    </row>
    <row r="94" spans="1:5">
      <c r="A94" s="4"/>
      <c r="B94" s="5"/>
      <c r="C94" s="4"/>
      <c r="D94" s="4"/>
      <c r="E94" s="4"/>
    </row>
    <row r="95" spans="1:5">
      <c r="A95" s="4"/>
      <c r="B95" s="5"/>
      <c r="C95" s="4"/>
      <c r="D95" s="4"/>
      <c r="E95" s="4"/>
    </row>
    <row r="96" spans="1:5">
      <c r="A96" s="4"/>
      <c r="B96" s="5"/>
      <c r="C96" s="4"/>
      <c r="D96" s="4"/>
      <c r="E96" s="4"/>
    </row>
    <row r="97" spans="1:5">
      <c r="A97" s="4"/>
      <c r="B97" s="5"/>
      <c r="C97" s="4"/>
      <c r="D97" s="4"/>
      <c r="E97" s="4"/>
    </row>
    <row r="98" spans="1:5">
      <c r="A98" s="4"/>
      <c r="B98" s="5"/>
      <c r="C98" s="4"/>
      <c r="D98" s="4"/>
      <c r="E98" s="4"/>
    </row>
    <row r="99" spans="1:5">
      <c r="A99" s="4"/>
      <c r="B99" s="5"/>
      <c r="C99" s="4"/>
      <c r="D99" s="4"/>
      <c r="E99" s="4"/>
    </row>
    <row r="100" spans="1:5">
      <c r="A100" s="4"/>
      <c r="B100" s="5"/>
      <c r="C100" s="4"/>
      <c r="D100" s="4"/>
      <c r="E100" s="4"/>
    </row>
    <row r="101" spans="1:5">
      <c r="A101" s="4"/>
      <c r="B101" s="5"/>
      <c r="C101" s="4"/>
      <c r="D101" s="4"/>
      <c r="E101" s="4"/>
    </row>
    <row r="102" spans="1:5">
      <c r="A102" s="4"/>
      <c r="B102" s="5"/>
      <c r="C102" s="4"/>
      <c r="D102" s="4"/>
      <c r="E102" s="4"/>
    </row>
    <row r="103" spans="1:5">
      <c r="A103" s="4"/>
      <c r="B103" s="5"/>
      <c r="C103" s="4"/>
      <c r="D103" s="4"/>
      <c r="E103" s="4"/>
    </row>
    <row r="104" spans="1:5">
      <c r="A104" s="4"/>
      <c r="B104" s="5"/>
      <c r="C104" s="4"/>
      <c r="D104" s="4"/>
      <c r="E104" s="4"/>
    </row>
    <row r="105" spans="1:5">
      <c r="A105" s="4"/>
      <c r="B105" s="5"/>
      <c r="C105" s="4"/>
      <c r="D105" s="4"/>
      <c r="E105" s="4"/>
    </row>
    <row r="106" spans="1:5">
      <c r="A106" s="4"/>
      <c r="B106" s="5"/>
      <c r="C106" s="4"/>
      <c r="D106" s="4"/>
      <c r="E106" s="4"/>
    </row>
    <row r="107" spans="1:5">
      <c r="A107" s="4"/>
      <c r="B107" s="5"/>
      <c r="C107" s="4"/>
      <c r="D107" s="4"/>
      <c r="E107" s="4"/>
    </row>
    <row r="108" spans="1:5">
      <c r="A108" s="4"/>
      <c r="B108" s="5"/>
      <c r="C108" s="4"/>
      <c r="D108" s="4"/>
      <c r="E108" s="4"/>
    </row>
    <row r="109" spans="1:5">
      <c r="A109" s="4"/>
      <c r="B109" s="5"/>
      <c r="C109" s="4"/>
      <c r="D109" s="4"/>
      <c r="E109" s="4"/>
    </row>
    <row r="110" spans="1:5">
      <c r="A110" s="4"/>
      <c r="B110" s="5"/>
      <c r="C110" s="4"/>
      <c r="D110" s="4"/>
      <c r="E110" s="4"/>
    </row>
    <row r="111" spans="1:5">
      <c r="A111" s="4"/>
      <c r="B111" s="5"/>
      <c r="C111" s="4"/>
      <c r="D111" s="4"/>
      <c r="E111" s="4"/>
    </row>
    <row r="112" spans="1:5">
      <c r="A112" s="4"/>
      <c r="B112" s="5"/>
      <c r="C112" s="4"/>
      <c r="D112" s="4"/>
      <c r="E112" s="4"/>
    </row>
    <row r="113" spans="1:5">
      <c r="A113" s="4"/>
      <c r="B113" s="5"/>
      <c r="C113" s="4"/>
      <c r="D113" s="4"/>
      <c r="E113" s="4"/>
    </row>
    <row r="114" spans="1:5">
      <c r="A114" s="4"/>
      <c r="B114" s="5"/>
      <c r="C114" s="4"/>
      <c r="D114" s="4"/>
      <c r="E114" s="4"/>
    </row>
    <row r="115" spans="1:5">
      <c r="A115" s="4"/>
      <c r="B115" s="5"/>
      <c r="C115" s="4"/>
      <c r="D115" s="4"/>
      <c r="E115" s="4"/>
    </row>
    <row r="116" spans="1:5">
      <c r="A116" s="4"/>
      <c r="B116" s="5"/>
      <c r="C116" s="4"/>
      <c r="D116" s="4"/>
      <c r="E116" s="4"/>
    </row>
    <row r="117" spans="1:5">
      <c r="A117" s="4"/>
      <c r="B117" s="5"/>
      <c r="C117" s="4"/>
      <c r="D117" s="4"/>
      <c r="E117" s="4"/>
    </row>
    <row r="118" spans="1:5">
      <c r="A118" s="4"/>
      <c r="B118" s="5"/>
      <c r="C118" s="4"/>
      <c r="D118" s="4"/>
      <c r="E118" s="4"/>
    </row>
    <row r="119" spans="1:5">
      <c r="A119" s="4"/>
      <c r="B119" s="5"/>
      <c r="C119" s="4"/>
      <c r="D119" s="4"/>
      <c r="E119" s="4"/>
    </row>
    <row r="120" spans="1:5">
      <c r="A120" s="4"/>
      <c r="B120" s="5"/>
      <c r="C120" s="4"/>
      <c r="D120" s="4"/>
      <c r="E120" s="4"/>
    </row>
    <row r="121" spans="1:5">
      <c r="A121" s="4"/>
      <c r="B121" s="5"/>
      <c r="C121" s="4"/>
      <c r="D121" s="4"/>
      <c r="E121" s="4"/>
    </row>
    <row r="122" spans="1:5">
      <c r="A122" s="4"/>
      <c r="B122" s="5"/>
      <c r="C122" s="4"/>
      <c r="D122" s="4"/>
      <c r="E122" s="4"/>
    </row>
    <row r="123" spans="1:5">
      <c r="A123" s="4"/>
      <c r="B123" s="5"/>
      <c r="C123" s="4"/>
      <c r="D123" s="4"/>
      <c r="E123" s="4"/>
    </row>
    <row r="124" spans="1:5">
      <c r="A124" s="4"/>
      <c r="B124" s="5"/>
      <c r="C124" s="4"/>
      <c r="D124" s="4"/>
      <c r="E124" s="4"/>
    </row>
    <row r="125" spans="1:5">
      <c r="A125" s="4"/>
      <c r="B125" s="5"/>
      <c r="C125" s="4"/>
      <c r="D125" s="4"/>
      <c r="E125" s="4"/>
    </row>
    <row r="126" spans="1:5">
      <c r="A126" s="4"/>
      <c r="B126" s="5"/>
      <c r="C126" s="4"/>
      <c r="D126" s="4"/>
      <c r="E126" s="4"/>
    </row>
    <row r="127" spans="1:5">
      <c r="A127" s="4"/>
      <c r="B127" s="5"/>
      <c r="C127" s="4"/>
      <c r="D127" s="4"/>
      <c r="E127" s="4"/>
    </row>
    <row r="128" spans="1:5">
      <c r="A128" s="4"/>
      <c r="B128" s="5"/>
      <c r="C128" s="4"/>
      <c r="D128" s="4"/>
      <c r="E128" s="4"/>
    </row>
    <row r="129" spans="1:5">
      <c r="A129" s="4"/>
      <c r="B129" s="5"/>
      <c r="C129" s="4"/>
      <c r="D129" s="4"/>
      <c r="E129" s="4"/>
    </row>
    <row r="130" spans="1:5">
      <c r="A130" s="4"/>
      <c r="B130" s="5"/>
      <c r="C130" s="4"/>
      <c r="D130" s="4"/>
      <c r="E130" s="4"/>
    </row>
    <row r="131" spans="1:5">
      <c r="A131" s="4"/>
      <c r="B131" s="5"/>
      <c r="C131" s="4"/>
      <c r="D131" s="4"/>
      <c r="E131" s="4"/>
    </row>
    <row r="132" spans="1:5">
      <c r="A132" s="4"/>
      <c r="B132" s="5"/>
      <c r="C132" s="4"/>
      <c r="D132" s="4"/>
      <c r="E132" s="4"/>
    </row>
    <row r="133" spans="1:5">
      <c r="A133" s="4"/>
      <c r="B133" s="5"/>
      <c r="C133" s="4"/>
      <c r="D133" s="4"/>
      <c r="E133" s="4"/>
    </row>
    <row r="134" spans="1:5">
      <c r="A134" s="4"/>
      <c r="B134" s="5"/>
      <c r="C134" s="4"/>
      <c r="D134" s="4"/>
      <c r="E134" s="4"/>
    </row>
    <row r="135" spans="1:5">
      <c r="A135" s="4"/>
      <c r="B135" s="5"/>
      <c r="C135" s="4"/>
      <c r="D135" s="4"/>
      <c r="E135" s="4"/>
    </row>
    <row r="136" spans="1:5">
      <c r="A136" s="4"/>
      <c r="B136" s="5"/>
      <c r="C136" s="4"/>
      <c r="D136" s="4"/>
      <c r="E136" s="4"/>
    </row>
    <row r="137" spans="1:5">
      <c r="A137" s="4"/>
      <c r="B137" s="5"/>
      <c r="C137" s="4"/>
      <c r="D137" s="4"/>
      <c r="E137" s="4"/>
    </row>
    <row r="138" spans="1:5">
      <c r="A138" s="4"/>
      <c r="B138" s="5"/>
      <c r="C138" s="4"/>
      <c r="D138" s="4"/>
      <c r="E138" s="4"/>
    </row>
    <row r="139" spans="1:5">
      <c r="A139" s="4"/>
      <c r="B139" s="5"/>
      <c r="C139" s="4"/>
      <c r="D139" s="4"/>
      <c r="E139" s="4"/>
    </row>
    <row r="140" spans="1:5">
      <c r="A140" s="4"/>
      <c r="B140" s="5"/>
      <c r="C140" s="4"/>
      <c r="D140" s="4"/>
      <c r="E140" s="4"/>
    </row>
    <row r="141" spans="1:5">
      <c r="A141" s="4"/>
      <c r="B141" s="5"/>
      <c r="C141" s="4"/>
      <c r="D141" s="4"/>
      <c r="E141" s="4"/>
    </row>
    <row r="142" spans="1:5">
      <c r="A142" s="4"/>
      <c r="B142" s="5"/>
      <c r="C142" s="4"/>
      <c r="D142" s="4"/>
      <c r="E142" s="4"/>
    </row>
    <row r="143" spans="1:5">
      <c r="A143" s="4"/>
      <c r="B143" s="5"/>
      <c r="C143" s="4"/>
      <c r="D143" s="4"/>
      <c r="E143" s="4"/>
    </row>
    <row r="144" spans="1:5">
      <c r="A144" s="4"/>
      <c r="B144" s="5"/>
      <c r="C144" s="4"/>
      <c r="D144" s="4"/>
      <c r="E144" s="4"/>
    </row>
    <row r="145" spans="1:5">
      <c r="A145" s="4"/>
      <c r="B145" s="5"/>
      <c r="C145" s="4"/>
      <c r="D145" s="4"/>
      <c r="E145" s="4"/>
    </row>
    <row r="146" spans="1:5">
      <c r="A146" s="4"/>
      <c r="B146" s="5"/>
      <c r="C146" s="4"/>
      <c r="D146" s="4"/>
      <c r="E146" s="4"/>
    </row>
    <row r="147" spans="1:5">
      <c r="A147" s="4"/>
      <c r="B147" s="5"/>
      <c r="C147" s="4"/>
      <c r="D147" s="4"/>
      <c r="E147" s="4"/>
    </row>
    <row r="148" spans="1:5">
      <c r="A148" s="4"/>
      <c r="B148" s="5"/>
      <c r="C148" s="4"/>
      <c r="D148" s="4"/>
      <c r="E148" s="4"/>
    </row>
    <row r="149" spans="1:5">
      <c r="A149" s="4"/>
      <c r="B149" s="5"/>
      <c r="C149" s="4"/>
      <c r="D149" s="4"/>
      <c r="E149" s="4"/>
    </row>
    <row r="150" spans="1:5">
      <c r="A150" s="4"/>
      <c r="B150" s="5"/>
      <c r="C150" s="4"/>
      <c r="D150" s="4"/>
      <c r="E150" s="4"/>
    </row>
    <row r="151" spans="1:5">
      <c r="A151" s="4"/>
      <c r="B151" s="5"/>
      <c r="C151" s="4"/>
      <c r="D151" s="4"/>
      <c r="E151" s="4"/>
    </row>
    <row r="152" spans="1:5">
      <c r="A152" s="4"/>
      <c r="B152" s="5"/>
      <c r="C152" s="4"/>
      <c r="D152" s="4"/>
      <c r="E152" s="4"/>
    </row>
    <row r="153" spans="1:5">
      <c r="A153" s="4"/>
      <c r="B153" s="5"/>
      <c r="C153" s="4"/>
      <c r="D153" s="4"/>
      <c r="E153" s="4"/>
    </row>
    <row r="154" spans="1:5">
      <c r="A154" s="4"/>
      <c r="B154" s="5"/>
      <c r="C154" s="4"/>
      <c r="D154" s="4"/>
      <c r="E154" s="4"/>
    </row>
    <row r="155" spans="1:5">
      <c r="A155" s="4"/>
      <c r="B155" s="5"/>
      <c r="C155" s="4"/>
      <c r="D155" s="4"/>
      <c r="E155" s="4"/>
    </row>
    <row r="156" spans="1:5">
      <c r="A156" s="4"/>
      <c r="B156" s="5"/>
      <c r="C156" s="4"/>
      <c r="D156" s="4"/>
      <c r="E156" s="4"/>
    </row>
    <row r="157" spans="1:5">
      <c r="A157" s="4"/>
      <c r="B157" s="5"/>
      <c r="C157" s="4"/>
      <c r="D157" s="4"/>
      <c r="E157" s="4"/>
    </row>
    <row r="158" spans="1:5">
      <c r="A158" s="4"/>
      <c r="B158" s="5"/>
      <c r="C158" s="4"/>
      <c r="D158" s="4"/>
      <c r="E158" s="4"/>
    </row>
    <row r="159" spans="1:5">
      <c r="A159" s="4"/>
      <c r="B159" s="5"/>
      <c r="C159" s="4"/>
      <c r="D159" s="4"/>
      <c r="E159" s="4"/>
    </row>
    <row r="160" spans="1:5">
      <c r="A160" s="4"/>
      <c r="B160" s="5"/>
      <c r="C160" s="4"/>
      <c r="D160" s="4"/>
      <c r="E160" s="4"/>
    </row>
    <row r="161" spans="1:5">
      <c r="A161" s="4"/>
      <c r="B161" s="5"/>
      <c r="C161" s="4"/>
      <c r="D161" s="4"/>
      <c r="E161" s="4"/>
    </row>
    <row r="162" spans="1:5">
      <c r="A162" s="4"/>
      <c r="B162" s="5"/>
      <c r="C162" s="4"/>
      <c r="D162" s="4"/>
      <c r="E162" s="4"/>
    </row>
    <row r="163" spans="1:5">
      <c r="A163" s="4"/>
      <c r="B163" s="5"/>
      <c r="C163" s="4"/>
      <c r="D163" s="4"/>
      <c r="E163" s="4"/>
    </row>
    <row r="164" spans="1:5">
      <c r="A164" s="4"/>
      <c r="B164" s="5"/>
      <c r="C164" s="4"/>
      <c r="D164" s="4"/>
      <c r="E164" s="4"/>
    </row>
    <row r="165" spans="1:5">
      <c r="A165" s="4"/>
      <c r="B165" s="5"/>
      <c r="C165" s="4"/>
      <c r="D165" s="4"/>
      <c r="E165" s="4"/>
    </row>
    <row r="166" spans="1:5">
      <c r="A166" s="4"/>
      <c r="B166" s="5"/>
      <c r="C166" s="4"/>
      <c r="D166" s="4"/>
      <c r="E166" s="4"/>
    </row>
    <row r="167" spans="1:5">
      <c r="A167" s="4"/>
      <c r="B167" s="5"/>
      <c r="C167" s="4"/>
      <c r="D167" s="4"/>
      <c r="E167" s="4"/>
    </row>
    <row r="168" spans="1:5">
      <c r="A168" s="4"/>
      <c r="B168" s="5"/>
      <c r="C168" s="4"/>
      <c r="D168" s="4"/>
      <c r="E168" s="4"/>
    </row>
    <row r="169" spans="1:5">
      <c r="A169" s="4"/>
      <c r="B169" s="5"/>
      <c r="C169" s="4"/>
      <c r="D169" s="4"/>
      <c r="E169" s="4"/>
    </row>
    <row r="170" spans="1:5">
      <c r="A170" s="4"/>
      <c r="B170" s="5"/>
      <c r="C170" s="4"/>
      <c r="D170" s="4"/>
      <c r="E170" s="4"/>
    </row>
    <row r="171" spans="1:5">
      <c r="A171" s="4"/>
      <c r="B171" s="5"/>
      <c r="C171" s="4"/>
      <c r="D171" s="4"/>
      <c r="E171" s="4"/>
    </row>
    <row r="172" spans="1:5">
      <c r="A172" s="4"/>
      <c r="B172" s="5"/>
      <c r="C172" s="4"/>
      <c r="D172" s="4"/>
      <c r="E172" s="4"/>
    </row>
    <row r="173" spans="1:5">
      <c r="A173" s="4"/>
      <c r="B173" s="5"/>
      <c r="C173" s="4"/>
      <c r="D173" s="4"/>
      <c r="E173" s="4"/>
    </row>
    <row r="174" spans="1:5">
      <c r="A174" s="4"/>
      <c r="B174" s="5"/>
      <c r="C174" s="4"/>
      <c r="D174" s="4"/>
      <c r="E174" s="4"/>
    </row>
    <row r="175" spans="1:5">
      <c r="A175" s="4"/>
      <c r="B175" s="5"/>
      <c r="C175" s="4"/>
      <c r="D175" s="4"/>
      <c r="E175" s="4"/>
    </row>
    <row r="176" spans="1:5">
      <c r="A176" s="4"/>
      <c r="B176" s="5"/>
      <c r="C176" s="4"/>
      <c r="D176" s="4"/>
      <c r="E176" s="4"/>
    </row>
    <row r="177" spans="1:5">
      <c r="A177" s="4"/>
      <c r="B177" s="5"/>
      <c r="C177" s="4"/>
      <c r="D177" s="4"/>
      <c r="E177" s="4"/>
    </row>
    <row r="178" spans="1:5">
      <c r="A178" s="4"/>
      <c r="B178" s="5"/>
      <c r="C178" s="4"/>
      <c r="D178" s="4"/>
      <c r="E178" s="4"/>
    </row>
    <row r="179" spans="1:5">
      <c r="A179" s="4"/>
      <c r="B179" s="5"/>
      <c r="C179" s="4"/>
      <c r="D179" s="4"/>
      <c r="E179" s="4"/>
    </row>
    <row r="180" spans="1:5">
      <c r="A180" s="4"/>
      <c r="B180" s="5"/>
      <c r="C180" s="4"/>
      <c r="D180" s="4"/>
      <c r="E180" s="4"/>
    </row>
    <row r="181" spans="1:5">
      <c r="A181" s="4"/>
      <c r="B181" s="5"/>
      <c r="C181" s="4"/>
      <c r="D181" s="4"/>
      <c r="E181" s="4"/>
    </row>
    <row r="182" spans="1:5">
      <c r="A182" s="4"/>
      <c r="B182" s="5"/>
      <c r="C182" s="4"/>
      <c r="D182" s="4"/>
      <c r="E182" s="4"/>
    </row>
    <row r="183" spans="1:5">
      <c r="A183" s="4"/>
      <c r="B183" s="5"/>
      <c r="C183" s="4"/>
      <c r="D183" s="4"/>
      <c r="E183" s="4"/>
    </row>
    <row r="184" spans="1:5">
      <c r="A184" s="4"/>
      <c r="B184" s="5"/>
      <c r="C184" s="4"/>
      <c r="D184" s="4"/>
      <c r="E184" s="4"/>
    </row>
    <row r="185" spans="1:5">
      <c r="A185" s="4"/>
      <c r="B185" s="5"/>
      <c r="C185" s="4"/>
      <c r="D185" s="4"/>
      <c r="E185" s="4"/>
    </row>
    <row r="186" spans="1:5">
      <c r="A186" s="4"/>
      <c r="B186" s="5"/>
      <c r="C186" s="4"/>
      <c r="D186" s="4"/>
      <c r="E186" s="4"/>
    </row>
    <row r="187" spans="1:5">
      <c r="A187" s="4"/>
      <c r="B187" s="5"/>
      <c r="C187" s="4"/>
      <c r="D187" s="4"/>
      <c r="E187" s="4"/>
    </row>
    <row r="188" spans="1:5">
      <c r="A188" s="4"/>
      <c r="B188" s="5"/>
      <c r="C188" s="4"/>
      <c r="D188" s="4"/>
      <c r="E188" s="4"/>
    </row>
    <row r="189" spans="1:5">
      <c r="A189" s="4"/>
      <c r="B189" s="5"/>
      <c r="C189" s="4"/>
      <c r="D189" s="4"/>
      <c r="E189" s="4"/>
    </row>
    <row r="190" spans="1:5">
      <c r="A190" s="4"/>
      <c r="B190" s="5"/>
      <c r="C190" s="4"/>
      <c r="D190" s="4"/>
      <c r="E190" s="4"/>
    </row>
    <row r="191" spans="1:5">
      <c r="A191" s="4"/>
      <c r="B191" s="5"/>
      <c r="C191" s="4"/>
      <c r="D191" s="4"/>
      <c r="E191" s="4"/>
    </row>
    <row r="192" spans="1:5">
      <c r="A192" s="4"/>
      <c r="B192" s="5"/>
      <c r="C192" s="4"/>
      <c r="D192" s="4"/>
      <c r="E192" s="4"/>
    </row>
    <row r="193" spans="1:5">
      <c r="A193" s="4"/>
      <c r="B193" s="5"/>
      <c r="C193" s="4"/>
      <c r="D193" s="4"/>
      <c r="E193" s="4"/>
    </row>
    <row r="194" spans="1:5">
      <c r="A194" s="4"/>
      <c r="B194" s="5"/>
      <c r="C194" s="4"/>
      <c r="D194" s="4"/>
      <c r="E194" s="4"/>
    </row>
    <row r="195" spans="1:5">
      <c r="A195" s="4"/>
      <c r="B195" s="5"/>
      <c r="C195" s="4"/>
      <c r="D195" s="4"/>
      <c r="E195" s="4"/>
    </row>
    <row r="196" spans="1:5">
      <c r="A196" s="4"/>
      <c r="B196" s="5"/>
      <c r="C196" s="4"/>
      <c r="D196" s="4"/>
      <c r="E196" s="4"/>
    </row>
    <row r="197" spans="1:5">
      <c r="A197" s="4"/>
      <c r="B197" s="5"/>
      <c r="C197" s="4"/>
      <c r="D197" s="4"/>
      <c r="E197" s="4"/>
    </row>
    <row r="198" spans="1:5">
      <c r="A198" s="4"/>
      <c r="B198" s="5"/>
      <c r="C198" s="4"/>
      <c r="D198" s="4"/>
      <c r="E198" s="4"/>
    </row>
    <row r="199" spans="1:5">
      <c r="A199" s="4"/>
      <c r="B199" s="5"/>
      <c r="C199" s="4"/>
      <c r="D199" s="4"/>
      <c r="E199" s="4"/>
    </row>
    <row r="200" spans="1:5">
      <c r="A200" s="4"/>
      <c r="B200" s="5"/>
      <c r="C200" s="4"/>
      <c r="D200" s="4"/>
      <c r="E200" s="4"/>
    </row>
    <row r="201" spans="1:5">
      <c r="A201" s="4"/>
      <c r="B201" s="5"/>
      <c r="C201" s="4"/>
      <c r="D201" s="4"/>
      <c r="E201" s="4"/>
    </row>
    <row r="202" spans="1:5">
      <c r="A202" s="4"/>
      <c r="B202" s="5"/>
      <c r="C202" s="4"/>
      <c r="D202" s="4"/>
      <c r="E202" s="4"/>
    </row>
    <row r="203" spans="1:5">
      <c r="A203" s="4"/>
      <c r="B203" s="5"/>
      <c r="C203" s="4"/>
      <c r="D203" s="4"/>
      <c r="E203" s="4"/>
    </row>
    <row r="204" spans="1:5">
      <c r="A204" s="4"/>
      <c r="B204" s="5"/>
      <c r="C204" s="4"/>
      <c r="D204" s="4"/>
      <c r="E204" s="4"/>
    </row>
    <row r="205" spans="1:5">
      <c r="A205" s="4"/>
      <c r="B205" s="5"/>
      <c r="C205" s="4"/>
      <c r="D205" s="4"/>
      <c r="E205" s="4"/>
    </row>
    <row r="206" spans="1:5">
      <c r="A206" s="4"/>
      <c r="B206" s="5"/>
      <c r="C206" s="4"/>
      <c r="D206" s="4"/>
      <c r="E206" s="4"/>
    </row>
    <row r="207" spans="1:5">
      <c r="A207" s="4"/>
      <c r="B207" s="5"/>
      <c r="C207" s="4"/>
      <c r="D207" s="4"/>
      <c r="E207" s="4"/>
    </row>
    <row r="208" spans="1:5">
      <c r="A208" s="4"/>
      <c r="B208" s="5"/>
      <c r="C208" s="4"/>
      <c r="D208" s="4"/>
      <c r="E208" s="4"/>
    </row>
    <row r="209" spans="1:5">
      <c r="A209" s="4"/>
      <c r="B209" s="5"/>
      <c r="C209" s="4"/>
      <c r="D209" s="4"/>
      <c r="E209" s="4"/>
    </row>
    <row r="210" spans="1:5">
      <c r="A210" s="4"/>
      <c r="B210" s="5"/>
      <c r="C210" s="4"/>
      <c r="D210" s="4"/>
      <c r="E210" s="4"/>
    </row>
    <row r="211" spans="1:5">
      <c r="A211" s="4"/>
      <c r="B211" s="5"/>
      <c r="C211" s="4"/>
      <c r="D211" s="4"/>
      <c r="E211" s="4"/>
    </row>
    <row r="212" spans="1:5">
      <c r="A212" s="4"/>
      <c r="B212" s="5"/>
      <c r="C212" s="4"/>
      <c r="D212" s="4"/>
      <c r="E212" s="4"/>
    </row>
    <row r="213" spans="1:5">
      <c r="A213" s="4"/>
      <c r="B213" s="5"/>
      <c r="C213" s="4"/>
      <c r="D213" s="4"/>
      <c r="E213" s="4"/>
    </row>
    <row r="214" spans="1:5">
      <c r="A214" s="4"/>
      <c r="B214" s="5"/>
      <c r="C214" s="4"/>
      <c r="D214" s="4"/>
      <c r="E214" s="4"/>
    </row>
    <row r="215" spans="1:5">
      <c r="A215" s="4"/>
      <c r="B215" s="5"/>
      <c r="C215" s="4"/>
      <c r="D215" s="4"/>
      <c r="E215" s="4"/>
    </row>
    <row r="216" spans="1:5">
      <c r="A216" s="4"/>
      <c r="B216" s="5"/>
      <c r="C216" s="4"/>
      <c r="D216" s="4"/>
      <c r="E216" s="4"/>
    </row>
    <row r="217" spans="1:5">
      <c r="A217" s="4"/>
      <c r="B217" s="5"/>
      <c r="C217" s="4"/>
      <c r="D217" s="4"/>
      <c r="E217" s="4"/>
    </row>
    <row r="218" spans="1:5">
      <c r="A218" s="4"/>
      <c r="B218" s="5"/>
      <c r="C218" s="4"/>
      <c r="D218" s="4"/>
      <c r="E218" s="4"/>
    </row>
    <row r="219" spans="1:5">
      <c r="A219" s="4"/>
      <c r="B219" s="5"/>
      <c r="C219" s="4"/>
      <c r="D219" s="4"/>
      <c r="E219" s="4"/>
    </row>
    <row r="220" spans="1:5">
      <c r="A220" s="4"/>
      <c r="B220" s="5"/>
      <c r="C220" s="4"/>
      <c r="D220" s="4"/>
      <c r="E220" s="4"/>
    </row>
    <row r="221" spans="1:5">
      <c r="A221" s="4"/>
      <c r="B221" s="5"/>
      <c r="C221" s="4"/>
      <c r="D221" s="4"/>
      <c r="E221" s="4"/>
    </row>
    <row r="222" spans="1:5">
      <c r="A222" s="4"/>
      <c r="B222" s="5"/>
      <c r="C222" s="4"/>
      <c r="D222" s="4"/>
      <c r="E222" s="4"/>
    </row>
    <row r="223" spans="1:5">
      <c r="A223" s="4"/>
      <c r="B223" s="5"/>
      <c r="C223" s="4"/>
      <c r="D223" s="4"/>
      <c r="E223" s="4"/>
    </row>
    <row r="224" spans="1:5">
      <c r="A224" s="4"/>
      <c r="B224" s="5"/>
      <c r="C224" s="4"/>
      <c r="D224" s="4"/>
      <c r="E224" s="4"/>
    </row>
    <row r="225" spans="1:5">
      <c r="A225" s="4"/>
      <c r="B225" s="5"/>
      <c r="C225" s="4"/>
      <c r="D225" s="4"/>
      <c r="E225" s="4"/>
    </row>
    <row r="226" spans="1:5">
      <c r="A226" s="4"/>
      <c r="B226" s="5"/>
      <c r="C226" s="4"/>
      <c r="D226" s="4"/>
      <c r="E226" s="4"/>
    </row>
    <row r="227" spans="1:5">
      <c r="A227" s="4"/>
      <c r="B227" s="5"/>
      <c r="C227" s="4"/>
      <c r="D227" s="4"/>
      <c r="E227" s="4"/>
    </row>
    <row r="228" spans="1:5">
      <c r="A228" s="4"/>
      <c r="B228" s="5"/>
      <c r="C228" s="4"/>
      <c r="D228" s="4"/>
      <c r="E228" s="4"/>
    </row>
    <row r="229" spans="1:5">
      <c r="A229" s="4"/>
      <c r="B229" s="5"/>
      <c r="C229" s="4"/>
      <c r="D229" s="4"/>
      <c r="E229" s="4"/>
    </row>
    <row r="230" spans="1:5">
      <c r="A230" s="4"/>
      <c r="B230" s="5"/>
      <c r="C230" s="4"/>
      <c r="D230" s="4"/>
      <c r="E230" s="4"/>
    </row>
    <row r="231" spans="1:5">
      <c r="A231" s="4"/>
      <c r="B231" s="5"/>
      <c r="C231" s="4"/>
      <c r="D231" s="4"/>
      <c r="E231" s="4"/>
    </row>
    <row r="232" spans="1:5">
      <c r="A232" s="4"/>
      <c r="B232" s="5"/>
      <c r="C232" s="4"/>
      <c r="D232" s="4"/>
      <c r="E232" s="4"/>
    </row>
    <row r="233" spans="1:5">
      <c r="A233" s="4"/>
      <c r="B233" s="5"/>
      <c r="C233" s="4"/>
      <c r="D233" s="4"/>
      <c r="E233" s="4"/>
    </row>
    <row r="234" spans="1:5">
      <c r="A234" s="4"/>
      <c r="B234" s="5"/>
      <c r="C234" s="4"/>
      <c r="D234" s="4"/>
      <c r="E234" s="4"/>
    </row>
    <row r="235" spans="1:5">
      <c r="A235" s="4"/>
      <c r="B235" s="5"/>
      <c r="C235" s="4"/>
      <c r="D235" s="4"/>
      <c r="E235" s="4"/>
    </row>
    <row r="236" spans="1:5">
      <c r="A236" s="4"/>
      <c r="B236" s="5"/>
      <c r="C236" s="4"/>
      <c r="D236" s="4"/>
      <c r="E236" s="4"/>
    </row>
    <row r="237" spans="1:5">
      <c r="A237" s="4"/>
      <c r="B237" s="5"/>
      <c r="C237" s="4"/>
      <c r="D237" s="4"/>
      <c r="E237" s="4"/>
    </row>
    <row r="238" spans="1:5">
      <c r="A238" s="4"/>
      <c r="B238" s="5"/>
      <c r="C238" s="4"/>
      <c r="D238" s="4"/>
      <c r="E238" s="4"/>
    </row>
    <row r="239" spans="1:5">
      <c r="A239" s="4"/>
      <c r="B239" s="5"/>
      <c r="C239" s="4"/>
      <c r="D239" s="4"/>
      <c r="E239" s="4"/>
    </row>
    <row r="240" spans="1:5">
      <c r="A240" s="4"/>
      <c r="B240" s="5"/>
      <c r="C240" s="4"/>
      <c r="D240" s="4"/>
      <c r="E240" s="4"/>
    </row>
    <row r="241" spans="1:5">
      <c r="A241" s="4"/>
      <c r="B241" s="5"/>
      <c r="C241" s="4"/>
      <c r="D241" s="4"/>
      <c r="E241" s="4"/>
    </row>
    <row r="242" spans="1:5">
      <c r="A242" s="4"/>
      <c r="B242" s="5"/>
      <c r="C242" s="4"/>
      <c r="D242" s="4"/>
      <c r="E242" s="4"/>
    </row>
    <row r="243" spans="1:5">
      <c r="A243" s="4"/>
      <c r="B243" s="5"/>
      <c r="C243" s="4"/>
      <c r="D243" s="4"/>
      <c r="E243" s="4"/>
    </row>
    <row r="244" spans="1:5">
      <c r="A244" s="4"/>
      <c r="B244" s="5"/>
      <c r="C244" s="4"/>
      <c r="D244" s="4"/>
      <c r="E244" s="4"/>
    </row>
    <row r="245" spans="1:5">
      <c r="A245" s="4"/>
      <c r="B245" s="5"/>
      <c r="C245" s="4"/>
      <c r="D245" s="4"/>
      <c r="E245" s="4"/>
    </row>
    <row r="246" spans="1:5">
      <c r="A246" s="4"/>
      <c r="B246" s="5"/>
      <c r="C246" s="4"/>
      <c r="D246" s="4"/>
      <c r="E246" s="4"/>
    </row>
    <row r="247" spans="1:5">
      <c r="A247" s="4"/>
      <c r="B247" s="5"/>
      <c r="C247" s="4"/>
      <c r="D247" s="4"/>
      <c r="E247" s="4"/>
    </row>
    <row r="248" spans="1:5">
      <c r="A248" s="4"/>
      <c r="B248" s="5"/>
      <c r="C248" s="4"/>
      <c r="D248" s="4"/>
      <c r="E248" s="4"/>
    </row>
    <row r="249" spans="1:5">
      <c r="A249" s="4"/>
      <c r="B249" s="5"/>
      <c r="C249" s="4"/>
      <c r="D249" s="4"/>
      <c r="E249" s="4"/>
    </row>
    <row r="250" spans="1:5">
      <c r="A250" s="4"/>
      <c r="B250" s="5"/>
      <c r="C250" s="4"/>
      <c r="D250" s="4"/>
      <c r="E250" s="4"/>
    </row>
    <row r="251" spans="1:5">
      <c r="A251" s="4"/>
      <c r="B251" s="5"/>
      <c r="C251" s="4"/>
      <c r="D251" s="4"/>
      <c r="E251" s="4"/>
    </row>
    <row r="252" spans="1:5">
      <c r="A252" s="4"/>
      <c r="B252" s="5"/>
      <c r="C252" s="4"/>
      <c r="D252" s="4"/>
      <c r="E252" s="4"/>
    </row>
    <row r="253" spans="1:5">
      <c r="A253" s="4"/>
      <c r="B253" s="5"/>
      <c r="C253" s="4"/>
      <c r="D253" s="4"/>
      <c r="E253" s="4"/>
    </row>
    <row r="254" spans="1:5">
      <c r="A254" s="4"/>
      <c r="B254" s="5"/>
      <c r="C254" s="4"/>
      <c r="D254" s="4"/>
      <c r="E254" s="4"/>
    </row>
    <row r="255" spans="1:5">
      <c r="A255" s="4"/>
      <c r="B255" s="5"/>
      <c r="C255" s="4"/>
      <c r="D255" s="4"/>
      <c r="E255" s="4"/>
    </row>
    <row r="256" spans="1:5">
      <c r="A256" s="4"/>
      <c r="B256" s="5"/>
      <c r="C256" s="4"/>
      <c r="D256" s="4"/>
      <c r="E256" s="4"/>
    </row>
    <row r="257" spans="1:5">
      <c r="A257" s="4"/>
      <c r="B257" s="5"/>
      <c r="C257" s="4"/>
      <c r="D257" s="4"/>
      <c r="E257" s="4"/>
    </row>
    <row r="258" spans="1:5">
      <c r="A258" s="4"/>
      <c r="B258" s="5"/>
      <c r="C258" s="4"/>
      <c r="D258" s="4"/>
      <c r="E258" s="4"/>
    </row>
    <row r="259" spans="1:5">
      <c r="A259" s="4"/>
      <c r="B259" s="5"/>
      <c r="C259" s="4"/>
      <c r="D259" s="4"/>
      <c r="E259" s="4"/>
    </row>
    <row r="260" spans="1:5">
      <c r="A260" s="4"/>
      <c r="B260" s="5"/>
      <c r="C260" s="4"/>
      <c r="D260" s="4"/>
      <c r="E260" s="4"/>
    </row>
    <row r="261" spans="1:5">
      <c r="A261" s="4"/>
      <c r="B261" s="5"/>
      <c r="C261" s="4"/>
      <c r="D261" s="4"/>
      <c r="E261" s="4"/>
    </row>
    <row r="262" spans="1:5">
      <c r="A262" s="4"/>
      <c r="B262" s="5"/>
      <c r="C262" s="4"/>
      <c r="D262" s="4"/>
      <c r="E262" s="4"/>
    </row>
    <row r="263" spans="1:5">
      <c r="A263" s="4"/>
      <c r="B263" s="5"/>
      <c r="C263" s="4"/>
      <c r="D263" s="4"/>
      <c r="E263" s="4"/>
    </row>
    <row r="264" spans="1:5">
      <c r="A264" s="4"/>
      <c r="B264" s="5"/>
      <c r="C264" s="4"/>
      <c r="D264" s="4"/>
      <c r="E264" s="4"/>
    </row>
    <row r="265" spans="1:5">
      <c r="A265" s="4"/>
      <c r="B265" s="5"/>
      <c r="C265" s="4"/>
      <c r="D265" s="4"/>
      <c r="E265" s="4"/>
    </row>
    <row r="266" spans="1:5">
      <c r="A266" s="4"/>
      <c r="B266" s="5"/>
      <c r="C266" s="4"/>
      <c r="D266" s="4"/>
      <c r="E266" s="4"/>
    </row>
    <row r="267" spans="1:5">
      <c r="A267" s="4"/>
      <c r="B267" s="5"/>
      <c r="C267" s="4"/>
      <c r="D267" s="4"/>
      <c r="E267" s="4"/>
    </row>
    <row r="268" spans="1:5">
      <c r="A268" s="4"/>
      <c r="B268" s="5"/>
      <c r="C268" s="4"/>
      <c r="D268" s="4"/>
      <c r="E268" s="4"/>
    </row>
    <row r="269" spans="1:5">
      <c r="A269" s="4"/>
      <c r="B269" s="5"/>
      <c r="C269" s="4"/>
      <c r="D269" s="4"/>
      <c r="E269" s="4"/>
    </row>
    <row r="270" spans="1:5">
      <c r="A270" s="4"/>
      <c r="B270" s="5"/>
      <c r="C270" s="4"/>
      <c r="D270" s="4"/>
      <c r="E270" s="4"/>
    </row>
    <row r="271" spans="1:5">
      <c r="A271" s="4"/>
      <c r="B271" s="5"/>
      <c r="C271" s="4"/>
      <c r="D271" s="4"/>
      <c r="E271" s="4"/>
    </row>
    <row r="272" spans="1:5">
      <c r="A272" s="4"/>
      <c r="B272" s="5"/>
      <c r="C272" s="4"/>
      <c r="D272" s="4"/>
      <c r="E272" s="4"/>
    </row>
    <row r="273" spans="1:5">
      <c r="A273" s="4"/>
      <c r="B273" s="5"/>
      <c r="C273" s="4"/>
      <c r="D273" s="4"/>
      <c r="E273" s="4"/>
    </row>
    <row r="274" spans="1:5">
      <c r="A274" s="4"/>
      <c r="B274" s="5"/>
      <c r="C274" s="4"/>
      <c r="D274" s="4"/>
      <c r="E274" s="4"/>
    </row>
    <row r="275" spans="1:5">
      <c r="A275" s="4"/>
      <c r="B275" s="5"/>
      <c r="C275" s="4"/>
      <c r="D275" s="4"/>
      <c r="E275" s="4"/>
    </row>
    <row r="276" spans="1:5">
      <c r="A276" s="4"/>
      <c r="B276" s="5"/>
      <c r="C276" s="4"/>
      <c r="D276" s="4"/>
      <c r="E276" s="4"/>
    </row>
    <row r="277" spans="1:5">
      <c r="A277" s="4"/>
      <c r="B277" s="5"/>
      <c r="C277" s="4"/>
      <c r="D277" s="4"/>
      <c r="E277" s="4"/>
    </row>
    <row r="278" spans="1:5">
      <c r="A278" s="4"/>
      <c r="B278" s="5"/>
      <c r="C278" s="4"/>
      <c r="D278" s="4"/>
      <c r="E278" s="4"/>
    </row>
    <row r="279" spans="1:5">
      <c r="A279" s="4"/>
      <c r="B279" s="5"/>
      <c r="C279" s="4"/>
      <c r="D279" s="4"/>
      <c r="E279" s="4"/>
    </row>
    <row r="280" spans="1:5">
      <c r="A280" s="4"/>
      <c r="B280" s="5"/>
      <c r="C280" s="4"/>
      <c r="D280" s="4"/>
      <c r="E280" s="4"/>
    </row>
    <row r="281" spans="1:5">
      <c r="A281" s="4"/>
      <c r="B281" s="5"/>
      <c r="C281" s="4"/>
      <c r="D281" s="4"/>
      <c r="E281" s="4"/>
    </row>
    <row r="282" spans="1:5">
      <c r="A282" s="4"/>
      <c r="B282" s="5"/>
      <c r="C282" s="4"/>
      <c r="D282" s="4"/>
      <c r="E282" s="4"/>
    </row>
    <row r="283" spans="1:5">
      <c r="A283" s="4"/>
      <c r="B283" s="5"/>
      <c r="C283" s="4"/>
      <c r="D283" s="4"/>
      <c r="E283" s="4"/>
    </row>
    <row r="284" spans="1:5">
      <c r="A284" s="4"/>
      <c r="B284" s="5"/>
      <c r="C284" s="4"/>
      <c r="D284" s="4"/>
      <c r="E284" s="4"/>
    </row>
    <row r="285" spans="1:5">
      <c r="A285" s="4"/>
      <c r="B285" s="5"/>
      <c r="C285" s="4"/>
      <c r="D285" s="4"/>
      <c r="E285" s="4"/>
    </row>
    <row r="286" spans="1:5">
      <c r="A286" s="4"/>
      <c r="B286" s="5"/>
      <c r="C286" s="4"/>
      <c r="D286" s="4"/>
      <c r="E286" s="4"/>
    </row>
    <row r="287" spans="1:5">
      <c r="A287" s="4"/>
      <c r="B287" s="5"/>
      <c r="C287" s="4"/>
      <c r="D287" s="4"/>
      <c r="E287" s="4"/>
    </row>
    <row r="288" spans="1:5">
      <c r="A288" s="4"/>
      <c r="B288" s="5"/>
      <c r="C288" s="4"/>
      <c r="D288" s="4"/>
      <c r="E288" s="4"/>
    </row>
    <row r="289" spans="1:5">
      <c r="A289" s="4"/>
      <c r="B289" s="5"/>
      <c r="C289" s="4"/>
      <c r="D289" s="4"/>
      <c r="E289" s="4"/>
    </row>
    <row r="290" spans="1:5">
      <c r="A290" s="4"/>
      <c r="B290" s="5"/>
      <c r="C290" s="4"/>
      <c r="D290" s="4"/>
      <c r="E290" s="4"/>
    </row>
    <row r="291" spans="1:5">
      <c r="A291" s="4"/>
      <c r="B291" s="5"/>
      <c r="C291" s="4"/>
      <c r="D291" s="4"/>
      <c r="E291" s="4"/>
    </row>
    <row r="292" spans="1:5">
      <c r="A292" s="4"/>
      <c r="B292" s="5"/>
      <c r="C292" s="4"/>
      <c r="D292" s="4"/>
      <c r="E292" s="4"/>
    </row>
    <row r="293" spans="1:5">
      <c r="A293" s="4"/>
      <c r="B293" s="5"/>
      <c r="C293" s="4"/>
      <c r="D293" s="4"/>
      <c r="E293" s="4"/>
    </row>
    <row r="294" spans="1:5">
      <c r="A294" s="4"/>
      <c r="B294" s="5"/>
      <c r="C294" s="4"/>
      <c r="D294" s="4"/>
      <c r="E294" s="4"/>
    </row>
    <row r="295" spans="1:5">
      <c r="A295" s="4"/>
      <c r="B295" s="5"/>
      <c r="C295" s="4"/>
      <c r="D295" s="4"/>
      <c r="E295" s="4"/>
    </row>
    <row r="296" spans="1:5">
      <c r="A296" s="4"/>
      <c r="B296" s="5"/>
      <c r="C296" s="4"/>
      <c r="D296" s="4"/>
      <c r="E296" s="4"/>
    </row>
    <row r="297" spans="1:5">
      <c r="A297" s="4"/>
      <c r="B297" s="5"/>
      <c r="C297" s="4"/>
      <c r="D297" s="4"/>
      <c r="E297" s="4"/>
    </row>
    <row r="298" spans="1:5">
      <c r="A298" s="4"/>
      <c r="B298" s="5"/>
      <c r="C298" s="4"/>
      <c r="D298" s="4"/>
      <c r="E298" s="4"/>
    </row>
    <row r="299" spans="1:5">
      <c r="A299" s="4"/>
      <c r="B299" s="5"/>
      <c r="C299" s="4"/>
      <c r="D299" s="4"/>
      <c r="E299" s="4"/>
    </row>
    <row r="300" spans="1:5">
      <c r="A300" s="4"/>
      <c r="B300" s="5"/>
      <c r="C300" s="4"/>
      <c r="D300" s="4"/>
      <c r="E300" s="4"/>
    </row>
    <row r="301" spans="1:5">
      <c r="A301" s="4"/>
      <c r="B301" s="5"/>
      <c r="C301" s="4"/>
      <c r="D301" s="4"/>
      <c r="E301" s="4"/>
    </row>
    <row r="302" spans="1:5">
      <c r="A302" s="4"/>
      <c r="B302" s="5"/>
      <c r="C302" s="4"/>
      <c r="D302" s="4"/>
      <c r="E302" s="4"/>
    </row>
    <row r="303" spans="1:5">
      <c r="A303" s="4"/>
      <c r="B303" s="5"/>
      <c r="C303" s="4"/>
      <c r="D303" s="4"/>
      <c r="E303" s="4"/>
    </row>
    <row r="304" spans="1:5">
      <c r="A304" s="4"/>
      <c r="B304" s="5"/>
      <c r="C304" s="4"/>
      <c r="D304" s="4"/>
      <c r="E304" s="4"/>
    </row>
    <row r="305" spans="1:5">
      <c r="A305" s="4"/>
      <c r="B305" s="5"/>
      <c r="C305" s="4"/>
      <c r="D305" s="4"/>
      <c r="E305" s="4"/>
    </row>
    <row r="306" spans="1:5">
      <c r="A306" s="4"/>
      <c r="B306" s="5"/>
      <c r="C306" s="4"/>
      <c r="D306" s="4"/>
      <c r="E306" s="4"/>
    </row>
    <row r="307" spans="1:5">
      <c r="A307" s="4"/>
      <c r="B307" s="5"/>
      <c r="C307" s="4"/>
      <c r="D307" s="4"/>
      <c r="E307" s="4"/>
    </row>
    <row r="308" spans="1:5">
      <c r="A308" s="4"/>
      <c r="B308" s="5"/>
      <c r="C308" s="4"/>
      <c r="D308" s="4"/>
      <c r="E308" s="4"/>
    </row>
    <row r="309" spans="1:5">
      <c r="A309" s="4"/>
      <c r="B309" s="5"/>
      <c r="C309" s="4"/>
      <c r="D309" s="4"/>
      <c r="E309" s="4"/>
    </row>
    <row r="310" spans="1:5">
      <c r="A310" s="4"/>
      <c r="B310" s="5"/>
      <c r="C310" s="4"/>
      <c r="D310" s="4"/>
      <c r="E310" s="4"/>
    </row>
    <row r="311" spans="1:5">
      <c r="A311" s="4"/>
      <c r="B311" s="5"/>
      <c r="C311" s="4"/>
      <c r="D311" s="4"/>
      <c r="E311" s="4"/>
    </row>
    <row r="312" spans="1:5">
      <c r="A312" s="4"/>
      <c r="B312" s="5"/>
      <c r="C312" s="4"/>
      <c r="D312" s="4"/>
      <c r="E312" s="4"/>
    </row>
    <row r="313" spans="1:5">
      <c r="A313" s="4"/>
      <c r="B313" s="5"/>
      <c r="C313" s="4"/>
      <c r="D313" s="4"/>
      <c r="E313" s="4"/>
    </row>
    <row r="314" spans="1:5">
      <c r="A314" s="4"/>
      <c r="B314" s="5"/>
      <c r="C314" s="4"/>
      <c r="D314" s="4"/>
      <c r="E314" s="4"/>
    </row>
    <row r="315" spans="1:5">
      <c r="A315" s="4"/>
      <c r="B315" s="5"/>
      <c r="C315" s="4"/>
      <c r="D315" s="4"/>
      <c r="E315" s="4"/>
    </row>
    <row r="316" spans="1:5">
      <c r="A316" s="4"/>
      <c r="B316" s="5"/>
      <c r="C316" s="4"/>
      <c r="D316" s="4"/>
      <c r="E316" s="4"/>
    </row>
    <row r="317" spans="1:5">
      <c r="A317" s="4"/>
      <c r="B317" s="5"/>
      <c r="C317" s="4"/>
      <c r="D317" s="4"/>
      <c r="E317" s="4"/>
    </row>
    <row r="318" spans="1:5">
      <c r="A318" s="4"/>
      <c r="B318" s="5"/>
      <c r="C318" s="4"/>
      <c r="D318" s="4"/>
      <c r="E318" s="4"/>
    </row>
    <row r="319" spans="1:5">
      <c r="A319" s="4"/>
      <c r="B319" s="5"/>
      <c r="C319" s="4"/>
      <c r="D319" s="4"/>
      <c r="E319" s="4"/>
    </row>
    <row r="320" spans="1:5">
      <c r="A320" s="4"/>
      <c r="B320" s="5"/>
      <c r="C320" s="4"/>
      <c r="D320" s="4"/>
      <c r="E320" s="4"/>
    </row>
    <row r="321" spans="1:5">
      <c r="A321" s="4"/>
      <c r="B321" s="5"/>
      <c r="C321" s="4"/>
      <c r="D321" s="4"/>
      <c r="E321" s="4"/>
    </row>
    <row r="322" spans="1:5">
      <c r="A322" s="4"/>
      <c r="B322" s="5"/>
      <c r="C322" s="4"/>
      <c r="D322" s="4"/>
      <c r="E322" s="4"/>
    </row>
    <row r="323" spans="1:5">
      <c r="A323" s="4"/>
      <c r="B323" s="5"/>
      <c r="C323" s="4"/>
      <c r="D323" s="4"/>
      <c r="E323" s="4"/>
    </row>
    <row r="324" spans="1:5">
      <c r="A324" s="4"/>
      <c r="B324" s="5"/>
      <c r="C324" s="4"/>
      <c r="D324" s="4"/>
      <c r="E324" s="4"/>
    </row>
    <row r="325" spans="1:5">
      <c r="A325" s="4"/>
      <c r="B325" s="5"/>
      <c r="C325" s="4"/>
      <c r="D325" s="4"/>
      <c r="E325" s="4"/>
    </row>
    <row r="326" spans="1:5">
      <c r="A326" s="4"/>
      <c r="B326" s="5"/>
      <c r="C326" s="4"/>
      <c r="D326" s="4"/>
      <c r="E326" s="4"/>
    </row>
    <row r="327" spans="1:5">
      <c r="A327" s="4"/>
      <c r="B327" s="5"/>
      <c r="C327" s="4"/>
      <c r="D327" s="4"/>
      <c r="E327" s="4"/>
    </row>
    <row r="328" spans="1:5">
      <c r="A328" s="4"/>
      <c r="B328" s="5"/>
      <c r="C328" s="4"/>
      <c r="D328" s="4"/>
      <c r="E328" s="4"/>
    </row>
    <row r="329" spans="1:5">
      <c r="A329" s="4"/>
      <c r="B329" s="5"/>
      <c r="C329" s="4"/>
      <c r="D329" s="4"/>
      <c r="E329" s="4"/>
    </row>
    <row r="330" spans="1:5">
      <c r="A330" s="4"/>
      <c r="B330" s="5"/>
      <c r="C330" s="4"/>
      <c r="D330" s="4"/>
      <c r="E330" s="4"/>
    </row>
    <row r="331" spans="1:5">
      <c r="A331" s="4"/>
      <c r="B331" s="5"/>
      <c r="C331" s="4"/>
      <c r="D331" s="4"/>
      <c r="E331" s="4"/>
    </row>
    <row r="332" spans="1:5">
      <c r="A332" s="4"/>
      <c r="B332" s="5"/>
      <c r="C332" s="4"/>
      <c r="D332" s="4"/>
      <c r="E332" s="4"/>
    </row>
    <row r="333" spans="1:5">
      <c r="A333" s="4"/>
      <c r="B333" s="5"/>
      <c r="C333" s="4"/>
      <c r="D333" s="4"/>
      <c r="E333" s="4"/>
    </row>
    <row r="334" spans="1:5">
      <c r="A334" s="4"/>
      <c r="B334" s="5"/>
      <c r="C334" s="4"/>
      <c r="D334" s="4"/>
      <c r="E334" s="4"/>
    </row>
    <row r="335" spans="1:5">
      <c r="A335" s="4"/>
      <c r="B335" s="5"/>
      <c r="C335" s="4"/>
      <c r="D335" s="4"/>
      <c r="E335" s="4"/>
    </row>
    <row r="336" spans="1:5">
      <c r="A336" s="4"/>
      <c r="B336" s="5"/>
      <c r="C336" s="4"/>
      <c r="D336" s="4"/>
      <c r="E336" s="4"/>
    </row>
    <row r="337" spans="1:5">
      <c r="A337" s="4"/>
      <c r="B337" s="5"/>
      <c r="C337" s="4"/>
      <c r="D337" s="4"/>
      <c r="E337" s="4"/>
    </row>
    <row r="338" spans="1:5">
      <c r="A338" s="4"/>
      <c r="B338" s="5"/>
      <c r="C338" s="4"/>
      <c r="D338" s="4"/>
      <c r="E338" s="4"/>
    </row>
    <row r="339" spans="1:5">
      <c r="A339" s="4"/>
      <c r="B339" s="5"/>
      <c r="C339" s="4"/>
      <c r="D339" s="4"/>
      <c r="E339" s="4"/>
    </row>
    <row r="340" spans="1:5">
      <c r="A340" s="4"/>
      <c r="B340" s="5"/>
      <c r="C340" s="4"/>
      <c r="D340" s="4"/>
      <c r="E340" s="4"/>
    </row>
    <row r="341" spans="1:5">
      <c r="A341" s="4"/>
      <c r="B341" s="5"/>
      <c r="C341" s="4"/>
      <c r="D341" s="4"/>
      <c r="E341" s="4"/>
    </row>
    <row r="342" spans="1:5">
      <c r="A342" s="4"/>
      <c r="B342" s="5"/>
      <c r="C342" s="4"/>
      <c r="D342" s="4"/>
      <c r="E342" s="4"/>
    </row>
    <row r="343" spans="1:5">
      <c r="A343" s="4"/>
      <c r="B343" s="5"/>
      <c r="C343" s="4"/>
      <c r="D343" s="4"/>
      <c r="E343" s="4"/>
    </row>
    <row r="344" spans="1:5">
      <c r="A344" s="4"/>
      <c r="B344" s="5"/>
      <c r="C344" s="4"/>
      <c r="D344" s="4"/>
      <c r="E344" s="4"/>
    </row>
    <row r="345" spans="1:5">
      <c r="A345" s="4"/>
      <c r="B345" s="5"/>
      <c r="C345" s="4"/>
      <c r="D345" s="4"/>
      <c r="E345" s="4"/>
    </row>
    <row r="346" spans="1:5">
      <c r="A346" s="4"/>
      <c r="B346" s="5"/>
      <c r="C346" s="4"/>
      <c r="D346" s="4"/>
      <c r="E346" s="4"/>
    </row>
    <row r="347" spans="1:5">
      <c r="A347" s="4"/>
      <c r="B347" s="5"/>
      <c r="C347" s="4"/>
      <c r="D347" s="4"/>
      <c r="E347" s="4"/>
    </row>
    <row r="348" spans="1:5">
      <c r="A348" s="4"/>
      <c r="B348" s="5"/>
      <c r="C348" s="4"/>
      <c r="D348" s="4"/>
      <c r="E348" s="4"/>
    </row>
    <row r="349" spans="1:5">
      <c r="A349" s="4"/>
      <c r="B349" s="5"/>
      <c r="C349" s="4"/>
      <c r="D349" s="4"/>
      <c r="E349" s="4"/>
    </row>
    <row r="350" spans="1:5">
      <c r="A350" s="4"/>
      <c r="B350" s="5"/>
      <c r="C350" s="4"/>
      <c r="D350" s="4"/>
      <c r="E350" s="4"/>
    </row>
    <row r="351" spans="1:5">
      <c r="A351" s="4"/>
      <c r="B351" s="5"/>
      <c r="C351" s="4"/>
      <c r="D351" s="4"/>
      <c r="E351" s="4"/>
    </row>
    <row r="352" spans="1:5">
      <c r="A352" s="4"/>
      <c r="B352" s="5"/>
      <c r="C352" s="4"/>
      <c r="D352" s="4"/>
      <c r="E352" s="4"/>
    </row>
    <row r="353" spans="1:5">
      <c r="A353" s="4"/>
      <c r="B353" s="5"/>
      <c r="C353" s="4"/>
      <c r="D353" s="4"/>
      <c r="E353" s="4"/>
    </row>
    <row r="354" spans="1:5">
      <c r="A354" s="4"/>
      <c r="B354" s="5"/>
      <c r="C354" s="4"/>
      <c r="D354" s="4"/>
      <c r="E354" s="4"/>
    </row>
    <row r="355" spans="1:5">
      <c r="A355" s="4"/>
      <c r="B355" s="5"/>
      <c r="C355" s="4"/>
      <c r="D355" s="4"/>
      <c r="E355" s="4"/>
    </row>
    <row r="356" spans="1:5">
      <c r="A356" s="4"/>
      <c r="B356" s="5"/>
      <c r="C356" s="4"/>
      <c r="D356" s="4"/>
      <c r="E356" s="4"/>
    </row>
    <row r="357" spans="1:5">
      <c r="A357" s="4"/>
      <c r="B357" s="5"/>
      <c r="C357" s="4"/>
      <c r="D357" s="4"/>
      <c r="E357" s="4"/>
    </row>
    <row r="358" spans="1:5">
      <c r="A358" s="4"/>
      <c r="B358" s="5"/>
      <c r="C358" s="4"/>
      <c r="D358" s="4"/>
      <c r="E358" s="4"/>
    </row>
    <row r="359" spans="1:5">
      <c r="A359" s="4"/>
      <c r="B359" s="5"/>
      <c r="C359" s="4"/>
      <c r="D359" s="4"/>
      <c r="E359" s="4"/>
    </row>
    <row r="360" spans="1:5">
      <c r="A360" s="4"/>
      <c r="B360" s="5"/>
      <c r="C360" s="4"/>
      <c r="D360" s="4"/>
      <c r="E360" s="4"/>
    </row>
    <row r="361" spans="1:5">
      <c r="A361" s="4"/>
      <c r="B361" s="5"/>
      <c r="C361" s="4"/>
      <c r="D361" s="4"/>
      <c r="E361" s="4"/>
    </row>
    <row r="362" spans="1:5">
      <c r="A362" s="4"/>
      <c r="B362" s="5"/>
      <c r="C362" s="4"/>
      <c r="D362" s="4"/>
      <c r="E362" s="4"/>
    </row>
    <row r="363" spans="1:5">
      <c r="A363" s="4"/>
      <c r="B363" s="5"/>
      <c r="C363" s="4"/>
      <c r="D363" s="4"/>
      <c r="E363" s="4"/>
    </row>
    <row r="364" spans="1:5">
      <c r="A364" s="4"/>
      <c r="B364" s="5"/>
      <c r="C364" s="4"/>
      <c r="D364" s="4"/>
      <c r="E364" s="4"/>
    </row>
    <row r="365" spans="1:5">
      <c r="A365" s="4"/>
      <c r="B365" s="5"/>
      <c r="C365" s="4"/>
      <c r="D365" s="4"/>
      <c r="E365" s="4"/>
    </row>
    <row r="366" spans="1:5">
      <c r="A366" s="4"/>
      <c r="B366" s="5"/>
      <c r="C366" s="4"/>
      <c r="D366" s="4"/>
      <c r="E366" s="4"/>
    </row>
    <row r="367" spans="1:5">
      <c r="A367" s="4"/>
      <c r="B367" s="5"/>
      <c r="C367" s="4"/>
      <c r="D367" s="4"/>
      <c r="E367" s="4"/>
    </row>
    <row r="368" spans="1:5">
      <c r="A368" s="4"/>
      <c r="B368" s="5"/>
      <c r="C368" s="4"/>
      <c r="D368" s="4"/>
      <c r="E368" s="4"/>
    </row>
    <row r="369" spans="1:5">
      <c r="A369" s="4"/>
      <c r="B369" s="5"/>
      <c r="C369" s="4"/>
      <c r="D369" s="4"/>
      <c r="E369" s="4"/>
    </row>
    <row r="370" spans="1:5">
      <c r="A370" s="4"/>
      <c r="B370" s="5"/>
      <c r="C370" s="4"/>
      <c r="D370" s="4"/>
      <c r="E370" s="4"/>
    </row>
    <row r="371" spans="1:5">
      <c r="A371" s="4"/>
      <c r="B371" s="5"/>
      <c r="C371" s="4"/>
      <c r="D371" s="4"/>
      <c r="E371" s="4"/>
    </row>
    <row r="372" spans="1:5">
      <c r="A372" s="4"/>
      <c r="B372" s="5"/>
      <c r="C372" s="4"/>
      <c r="D372" s="4"/>
      <c r="E372" s="4"/>
    </row>
    <row r="373" spans="1:5">
      <c r="A373" s="4"/>
      <c r="B373" s="5"/>
      <c r="C373" s="4"/>
      <c r="D373" s="4"/>
      <c r="E373" s="4"/>
    </row>
    <row r="374" spans="1:5">
      <c r="A374" s="4"/>
      <c r="B374" s="5"/>
      <c r="C374" s="4"/>
      <c r="D374" s="4"/>
      <c r="E374" s="4"/>
    </row>
    <row r="375" spans="1:5">
      <c r="A375" s="4"/>
      <c r="B375" s="5"/>
      <c r="C375" s="4"/>
      <c r="D375" s="4"/>
      <c r="E375" s="4"/>
    </row>
    <row r="376" spans="1:5">
      <c r="A376" s="4"/>
      <c r="B376" s="5"/>
      <c r="C376" s="4"/>
      <c r="D376" s="4"/>
      <c r="E376" s="4"/>
    </row>
    <row r="377" spans="1:5">
      <c r="A377" s="4"/>
      <c r="B377" s="5"/>
      <c r="C377" s="4"/>
      <c r="D377" s="4"/>
      <c r="E377" s="4"/>
    </row>
    <row r="378" spans="1:5">
      <c r="A378" s="4"/>
      <c r="B378" s="5"/>
      <c r="C378" s="4"/>
      <c r="D378" s="4"/>
      <c r="E378" s="4"/>
    </row>
    <row r="379" spans="1:5">
      <c r="A379" s="4"/>
      <c r="B379" s="5"/>
      <c r="C379" s="4"/>
      <c r="D379" s="4"/>
      <c r="E379" s="4"/>
    </row>
    <row r="380" spans="1:5">
      <c r="A380" s="4"/>
      <c r="B380" s="5"/>
      <c r="C380" s="4"/>
      <c r="D380" s="4"/>
      <c r="E380" s="4"/>
    </row>
    <row r="381" spans="1:5">
      <c r="A381" s="4"/>
      <c r="B381" s="5"/>
      <c r="C381" s="4"/>
      <c r="D381" s="4"/>
      <c r="E381" s="4"/>
    </row>
    <row r="382" spans="1:5">
      <c r="A382" s="4"/>
      <c r="B382" s="5"/>
      <c r="C382" s="4"/>
      <c r="D382" s="4"/>
      <c r="E382" s="4"/>
    </row>
    <row r="383" spans="1:5">
      <c r="A383" s="4"/>
      <c r="B383" s="5"/>
      <c r="C383" s="4"/>
      <c r="D383" s="4"/>
      <c r="E383" s="4"/>
    </row>
    <row r="384" spans="1:5">
      <c r="A384" s="4"/>
      <c r="B384" s="5"/>
      <c r="C384" s="4"/>
      <c r="D384" s="4"/>
      <c r="E384" s="4"/>
    </row>
    <row r="385" spans="1:5">
      <c r="A385" s="4"/>
      <c r="B385" s="5"/>
      <c r="C385" s="4"/>
      <c r="D385" s="4"/>
      <c r="E385" s="4"/>
    </row>
    <row r="386" spans="1:5">
      <c r="A386" s="4"/>
      <c r="B386" s="5"/>
      <c r="C386" s="4"/>
      <c r="D386" s="4"/>
      <c r="E386" s="4"/>
    </row>
    <row r="387" spans="1:5">
      <c r="A387" s="4"/>
      <c r="B387" s="5"/>
      <c r="C387" s="4"/>
      <c r="D387" s="4"/>
      <c r="E387" s="4"/>
    </row>
    <row r="388" spans="1:5">
      <c r="A388" s="4"/>
      <c r="B388" s="5"/>
      <c r="C388" s="4"/>
      <c r="D388" s="4"/>
      <c r="E388" s="4"/>
    </row>
    <row r="389" spans="1:5">
      <c r="A389" s="4"/>
      <c r="B389" s="5"/>
      <c r="C389" s="4"/>
      <c r="D389" s="4"/>
      <c r="E389" s="4"/>
    </row>
    <row r="390" spans="1:5">
      <c r="A390" s="4"/>
      <c r="B390" s="5"/>
      <c r="C390" s="4"/>
      <c r="D390" s="4"/>
      <c r="E390" s="4"/>
    </row>
    <row r="391" spans="1:5">
      <c r="A391" s="4"/>
      <c r="B391" s="5"/>
      <c r="C391" s="4"/>
      <c r="D391" s="4"/>
      <c r="E391" s="4"/>
    </row>
    <row r="392" spans="1:5">
      <c r="A392" s="4"/>
      <c r="B392" s="5"/>
      <c r="C392" s="4"/>
      <c r="D392" s="4"/>
      <c r="E392" s="4"/>
    </row>
    <row r="393" spans="1:5">
      <c r="A393" s="4"/>
      <c r="B393" s="5"/>
      <c r="C393" s="4"/>
      <c r="D393" s="4"/>
      <c r="E393" s="4"/>
    </row>
    <row r="394" spans="1:5">
      <c r="A394" s="4"/>
      <c r="B394" s="5"/>
      <c r="C394" s="4"/>
      <c r="D394" s="4"/>
      <c r="E394" s="4"/>
    </row>
    <row r="395" spans="1:5">
      <c r="A395" s="4"/>
      <c r="B395" s="5"/>
      <c r="C395" s="4"/>
      <c r="D395" s="4"/>
      <c r="E395" s="4"/>
    </row>
    <row r="396" spans="1:5">
      <c r="A396" s="4"/>
      <c r="B396" s="5"/>
      <c r="C396" s="4"/>
      <c r="D396" s="4"/>
      <c r="E396" s="4"/>
    </row>
    <row r="397" spans="1:5">
      <c r="A397" s="4"/>
      <c r="B397" s="5"/>
      <c r="C397" s="4"/>
      <c r="D397" s="4"/>
      <c r="E397" s="4"/>
    </row>
    <row r="398" spans="1:5">
      <c r="A398" s="4"/>
      <c r="B398" s="5"/>
      <c r="C398" s="4"/>
      <c r="D398" s="4"/>
      <c r="E398" s="4"/>
    </row>
    <row r="399" spans="1:5">
      <c r="A399" s="4"/>
      <c r="B399" s="5"/>
      <c r="C399" s="4"/>
      <c r="D399" s="4"/>
      <c r="E399" s="4"/>
    </row>
    <row r="400" spans="1:5">
      <c r="A400" s="4"/>
      <c r="B400" s="5"/>
      <c r="C400" s="4"/>
      <c r="D400" s="4"/>
      <c r="E400" s="4"/>
    </row>
    <row r="401" spans="1:5">
      <c r="A401" s="4"/>
      <c r="B401" s="5"/>
      <c r="C401" s="4"/>
      <c r="D401" s="4"/>
      <c r="E401" s="4"/>
    </row>
    <row r="402" spans="1:5">
      <c r="A402" s="4"/>
      <c r="B402" s="5"/>
      <c r="C402" s="4"/>
      <c r="D402" s="4"/>
      <c r="E402" s="4"/>
    </row>
    <row r="403" spans="1:5">
      <c r="A403" s="4"/>
      <c r="B403" s="5"/>
      <c r="C403" s="4"/>
      <c r="D403" s="4"/>
      <c r="E403" s="4"/>
    </row>
    <row r="404" spans="1:5">
      <c r="A404" s="4"/>
      <c r="B404" s="5"/>
      <c r="C404" s="4"/>
      <c r="D404" s="4"/>
      <c r="E404" s="4"/>
    </row>
    <row r="405" spans="1:5">
      <c r="A405" s="4"/>
      <c r="B405" s="5"/>
      <c r="C405" s="4"/>
      <c r="D405" s="4"/>
      <c r="E405" s="4"/>
    </row>
    <row r="406" spans="1:5">
      <c r="A406" s="4"/>
      <c r="B406" s="5"/>
      <c r="C406" s="4"/>
      <c r="D406" s="4"/>
      <c r="E406" s="4"/>
    </row>
    <row r="407" spans="1:5">
      <c r="A407" s="4"/>
      <c r="B407" s="5"/>
      <c r="C407" s="4"/>
      <c r="D407" s="4"/>
      <c r="E407" s="4"/>
    </row>
    <row r="408" spans="1:5">
      <c r="A408" s="4"/>
      <c r="B408" s="5"/>
      <c r="C408" s="4"/>
      <c r="D408" s="4"/>
      <c r="E408" s="4"/>
    </row>
    <row r="409" spans="1:5">
      <c r="A409" s="4"/>
      <c r="B409" s="5"/>
      <c r="C409" s="4"/>
      <c r="D409" s="4"/>
      <c r="E409" s="4"/>
    </row>
    <row r="410" spans="1:5">
      <c r="A410" s="4"/>
      <c r="B410" s="5"/>
      <c r="C410" s="4"/>
      <c r="D410" s="4"/>
      <c r="E410" s="4"/>
    </row>
    <row r="411" spans="1:5">
      <c r="A411" s="4"/>
      <c r="B411" s="5"/>
      <c r="C411" s="4"/>
      <c r="D411" s="4"/>
      <c r="E411" s="4"/>
    </row>
    <row r="412" spans="1:5">
      <c r="A412" s="4"/>
      <c r="B412" s="5"/>
      <c r="C412" s="4"/>
      <c r="D412" s="4"/>
      <c r="E412" s="4"/>
    </row>
    <row r="413" spans="1:5">
      <c r="A413" s="4"/>
      <c r="B413" s="5"/>
      <c r="C413" s="4"/>
      <c r="D413" s="4"/>
      <c r="E413" s="4"/>
    </row>
    <row r="414" spans="1:5">
      <c r="A414" s="4"/>
      <c r="B414" s="5"/>
      <c r="C414" s="4"/>
      <c r="D414" s="4"/>
      <c r="E414" s="4"/>
    </row>
    <row r="415" spans="1:5">
      <c r="A415" s="4"/>
      <c r="B415" s="5"/>
      <c r="C415" s="4"/>
      <c r="D415" s="4"/>
      <c r="E415" s="4"/>
    </row>
    <row r="416" spans="1:5">
      <c r="A416" s="4"/>
      <c r="B416" s="5"/>
      <c r="C416" s="4"/>
      <c r="D416" s="4"/>
      <c r="E416" s="4"/>
    </row>
    <row r="417" spans="1:5">
      <c r="A417" s="4"/>
      <c r="B417" s="5"/>
      <c r="C417" s="4"/>
      <c r="D417" s="4"/>
      <c r="E417" s="4"/>
    </row>
    <row r="418" spans="1:5">
      <c r="A418" s="4"/>
      <c r="B418" s="5"/>
      <c r="C418" s="4"/>
      <c r="D418" s="4"/>
      <c r="E418" s="4"/>
    </row>
    <row r="419" spans="1:5">
      <c r="A419" s="4"/>
      <c r="B419" s="5"/>
      <c r="C419" s="4"/>
      <c r="D419" s="4"/>
      <c r="E419" s="4"/>
    </row>
    <row r="420" spans="1:5">
      <c r="A420" s="4"/>
      <c r="B420" s="5"/>
      <c r="C420" s="4"/>
      <c r="D420" s="4"/>
      <c r="E420" s="4"/>
    </row>
    <row r="421" spans="1:5">
      <c r="A421" s="4"/>
      <c r="B421" s="5"/>
      <c r="C421" s="4"/>
      <c r="D421" s="4"/>
      <c r="E421" s="4"/>
    </row>
    <row r="422" spans="1:5">
      <c r="A422" s="4"/>
      <c r="B422" s="5"/>
      <c r="C422" s="4"/>
      <c r="D422" s="4"/>
      <c r="E422" s="4"/>
    </row>
    <row r="423" spans="1:5">
      <c r="A423" s="4"/>
      <c r="B423" s="5"/>
      <c r="C423" s="4"/>
      <c r="D423" s="4"/>
      <c r="E423" s="4"/>
    </row>
    <row r="424" spans="1:5">
      <c r="A424" s="4"/>
      <c r="B424" s="5"/>
      <c r="C424" s="4"/>
      <c r="D424" s="4"/>
      <c r="E424" s="4"/>
    </row>
    <row r="425" spans="1:5">
      <c r="A425" s="4"/>
      <c r="B425" s="5"/>
      <c r="C425" s="4"/>
      <c r="D425" s="4"/>
      <c r="E425" s="4"/>
    </row>
    <row r="426" spans="1:5">
      <c r="A426" s="4"/>
      <c r="B426" s="5"/>
      <c r="C426" s="4"/>
      <c r="D426" s="4"/>
      <c r="E426" s="4"/>
    </row>
    <row r="427" spans="1:5">
      <c r="A427" s="4"/>
      <c r="B427" s="5"/>
      <c r="C427" s="4"/>
      <c r="D427" s="4"/>
      <c r="E427" s="4"/>
    </row>
    <row r="428" spans="1:5">
      <c r="A428" s="4"/>
      <c r="B428" s="5"/>
      <c r="C428" s="4"/>
      <c r="D428" s="4"/>
      <c r="E428" s="4"/>
    </row>
    <row r="429" spans="1:5">
      <c r="A429" s="4"/>
      <c r="B429" s="5"/>
      <c r="C429" s="4"/>
      <c r="D429" s="4"/>
      <c r="E429" s="4"/>
    </row>
    <row r="430" spans="1:5">
      <c r="A430" s="4"/>
      <c r="B430" s="5"/>
      <c r="C430" s="4"/>
      <c r="D430" s="4"/>
      <c r="E430" s="4"/>
    </row>
    <row r="431" spans="1:5">
      <c r="A431" s="4"/>
      <c r="B431" s="5"/>
      <c r="C431" s="4"/>
      <c r="D431" s="4"/>
      <c r="E431" s="4"/>
    </row>
    <row r="432" spans="1:5">
      <c r="A432" s="4"/>
      <c r="B432" s="5"/>
      <c r="C432" s="4"/>
      <c r="D432" s="4"/>
      <c r="E432" s="4"/>
    </row>
    <row r="433" spans="1:5">
      <c r="A433" s="4"/>
      <c r="B433" s="5"/>
      <c r="C433" s="4"/>
      <c r="D433" s="4"/>
      <c r="E433" s="4"/>
    </row>
    <row r="434" spans="1:5">
      <c r="A434" s="4"/>
      <c r="B434" s="5"/>
      <c r="C434" s="4"/>
      <c r="D434" s="4"/>
      <c r="E434" s="4"/>
    </row>
    <row r="435" spans="1:5">
      <c r="A435" s="4"/>
      <c r="B435" s="5"/>
      <c r="C435" s="4"/>
      <c r="D435" s="4"/>
      <c r="E435" s="4"/>
    </row>
    <row r="436" spans="1:5">
      <c r="A436" s="4"/>
      <c r="B436" s="5"/>
      <c r="C436" s="4"/>
      <c r="D436" s="4"/>
      <c r="E436" s="4"/>
    </row>
    <row r="437" spans="1:5">
      <c r="A437" s="4"/>
      <c r="B437" s="5"/>
      <c r="C437" s="4"/>
      <c r="D437" s="4"/>
      <c r="E437" s="4"/>
    </row>
    <row r="438" spans="1:5">
      <c r="A438" s="4"/>
      <c r="B438" s="5"/>
      <c r="C438" s="4"/>
      <c r="D438" s="4"/>
      <c r="E438" s="4"/>
    </row>
    <row r="439" spans="1:5">
      <c r="A439" s="4"/>
      <c r="B439" s="5"/>
      <c r="C439" s="4"/>
      <c r="D439" s="4"/>
      <c r="E439" s="4"/>
    </row>
    <row r="440" spans="1:5">
      <c r="A440" s="4"/>
      <c r="B440" s="5"/>
      <c r="C440" s="4"/>
      <c r="D440" s="4"/>
      <c r="E440" s="4"/>
    </row>
    <row r="441" spans="1:5">
      <c r="A441" s="4"/>
      <c r="B441" s="5"/>
      <c r="C441" s="4"/>
      <c r="D441" s="4"/>
      <c r="E441" s="4"/>
    </row>
    <row r="442" spans="1:5">
      <c r="A442" s="4"/>
      <c r="B442" s="5"/>
      <c r="C442" s="4"/>
      <c r="D442" s="4"/>
      <c r="E442" s="4"/>
    </row>
    <row r="443" spans="1:5">
      <c r="A443" s="4"/>
      <c r="B443" s="5"/>
      <c r="C443" s="4"/>
      <c r="D443" s="4"/>
      <c r="E443" s="4"/>
    </row>
    <row r="444" spans="1:5">
      <c r="A444" s="4"/>
      <c r="B444" s="5"/>
      <c r="C444" s="4"/>
      <c r="D444" s="4"/>
      <c r="E444" s="4"/>
    </row>
    <row r="445" spans="1:5">
      <c r="A445" s="4"/>
      <c r="B445" s="5"/>
      <c r="C445" s="4"/>
      <c r="D445" s="4"/>
      <c r="E445" s="4"/>
    </row>
    <row r="446" spans="1:5">
      <c r="A446" s="4"/>
      <c r="B446" s="5"/>
      <c r="C446" s="4"/>
      <c r="D446" s="4"/>
      <c r="E446" s="4"/>
    </row>
    <row r="447" spans="1:5">
      <c r="A447" s="4"/>
      <c r="B447" s="5"/>
      <c r="C447" s="4"/>
      <c r="D447" s="4"/>
      <c r="E447" s="4"/>
    </row>
    <row r="448" spans="1:5">
      <c r="A448" s="4"/>
      <c r="B448" s="5"/>
      <c r="C448" s="4"/>
      <c r="D448" s="4"/>
      <c r="E448" s="4"/>
    </row>
    <row r="449" spans="1:5">
      <c r="A449" s="4"/>
      <c r="B449" s="5"/>
      <c r="C449" s="4"/>
      <c r="D449" s="4"/>
      <c r="E449" s="4"/>
    </row>
    <row r="450" spans="1:5">
      <c r="A450" s="4"/>
      <c r="B450" s="5"/>
      <c r="C450" s="4"/>
      <c r="D450" s="4"/>
      <c r="E450" s="4"/>
    </row>
    <row r="451" spans="1:5">
      <c r="A451" s="4"/>
      <c r="B451" s="5"/>
      <c r="C451" s="4"/>
      <c r="D451" s="4"/>
      <c r="E451" s="4"/>
    </row>
    <row r="452" spans="1:5">
      <c r="A452" s="4"/>
      <c r="B452" s="5"/>
      <c r="C452" s="4"/>
      <c r="D452" s="4"/>
      <c r="E452" s="4"/>
    </row>
    <row r="453" spans="1:5">
      <c r="A453" s="4"/>
      <c r="B453" s="5"/>
      <c r="C453" s="4"/>
      <c r="D453" s="4"/>
      <c r="E453" s="4"/>
    </row>
    <row r="454" spans="1:5">
      <c r="A454" s="4"/>
      <c r="B454" s="5"/>
      <c r="C454" s="4"/>
      <c r="D454" s="4"/>
      <c r="E454" s="4"/>
    </row>
    <row r="455" spans="1:5">
      <c r="A455" s="4"/>
      <c r="B455" s="5"/>
      <c r="C455" s="4"/>
      <c r="D455" s="4"/>
      <c r="E455" s="4"/>
    </row>
    <row r="456" spans="1:5">
      <c r="A456" s="4"/>
      <c r="B456" s="5"/>
      <c r="C456" s="4"/>
      <c r="D456" s="4"/>
      <c r="E456" s="4"/>
    </row>
    <row r="457" spans="1:5">
      <c r="A457" s="4"/>
      <c r="B457" s="5"/>
      <c r="C457" s="4"/>
      <c r="D457" s="4"/>
      <c r="E457" s="4"/>
    </row>
    <row r="458" spans="1:5">
      <c r="A458" s="4"/>
      <c r="B458" s="5"/>
      <c r="C458" s="4"/>
      <c r="D458" s="4"/>
      <c r="E458" s="4"/>
    </row>
    <row r="459" spans="1:5">
      <c r="A459" s="4"/>
      <c r="B459" s="5"/>
      <c r="C459" s="4"/>
      <c r="D459" s="4"/>
      <c r="E459" s="4"/>
    </row>
    <row r="460" spans="1:5">
      <c r="A460" s="4"/>
      <c r="B460" s="5"/>
      <c r="C460" s="4"/>
      <c r="D460" s="4"/>
      <c r="E460" s="4"/>
    </row>
    <row r="461" spans="1:5">
      <c r="A461" s="4"/>
      <c r="B461" s="5"/>
      <c r="C461" s="4"/>
      <c r="D461" s="4"/>
      <c r="E461" s="4"/>
    </row>
    <row r="462" spans="1:5">
      <c r="A462" s="4"/>
      <c r="B462" s="5"/>
      <c r="C462" s="4"/>
      <c r="D462" s="4"/>
      <c r="E462" s="4"/>
    </row>
    <row r="463" spans="1:5">
      <c r="A463" s="4"/>
      <c r="B463" s="5"/>
      <c r="C463" s="4"/>
      <c r="D463" s="4"/>
      <c r="E463" s="4"/>
    </row>
    <row r="464" spans="1:5">
      <c r="A464" s="4"/>
      <c r="B464" s="5"/>
      <c r="C464" s="4"/>
      <c r="D464" s="4"/>
      <c r="E464" s="4"/>
    </row>
    <row r="465" spans="1:5">
      <c r="A465" s="4"/>
      <c r="B465" s="5"/>
      <c r="C465" s="4"/>
      <c r="D465" s="4"/>
      <c r="E465" s="4"/>
    </row>
    <row r="466" spans="1:5">
      <c r="A466" s="4"/>
      <c r="B466" s="5"/>
      <c r="C466" s="4"/>
      <c r="D466" s="4"/>
      <c r="E466" s="4"/>
    </row>
    <row r="467" spans="1:5">
      <c r="A467" s="4"/>
      <c r="B467" s="5"/>
      <c r="C467" s="4"/>
      <c r="D467" s="4"/>
      <c r="E467" s="4"/>
    </row>
    <row r="468" spans="1:5">
      <c r="A468" s="4"/>
      <c r="B468" s="5"/>
      <c r="C468" s="4"/>
      <c r="D468" s="4"/>
      <c r="E468" s="4"/>
    </row>
    <row r="469" spans="1:5">
      <c r="A469" s="4"/>
      <c r="B469" s="5"/>
      <c r="C469" s="4"/>
      <c r="D469" s="4"/>
      <c r="E469" s="4"/>
    </row>
    <row r="470" spans="1:5">
      <c r="A470" s="4"/>
      <c r="B470" s="5"/>
      <c r="C470" s="4"/>
      <c r="D470" s="4"/>
      <c r="E470" s="4"/>
    </row>
    <row r="471" spans="1:5">
      <c r="A471" s="4"/>
      <c r="B471" s="5"/>
      <c r="C471" s="4"/>
      <c r="D471" s="4"/>
      <c r="E471" s="4"/>
    </row>
    <row r="472" spans="1:5">
      <c r="A472" s="4"/>
      <c r="B472" s="5"/>
      <c r="C472" s="4"/>
      <c r="D472" s="4"/>
      <c r="E472" s="4"/>
    </row>
    <row r="473" spans="1:5">
      <c r="A473" s="4"/>
      <c r="B473" s="5"/>
      <c r="C473" s="4"/>
      <c r="D473" s="4"/>
      <c r="E473" s="4"/>
    </row>
    <row r="474" spans="1:5">
      <c r="A474" s="4"/>
      <c r="B474" s="5"/>
      <c r="C474" s="4"/>
      <c r="D474" s="4"/>
      <c r="E474" s="4"/>
    </row>
    <row r="475" spans="1:5">
      <c r="A475" s="4"/>
      <c r="B475" s="5"/>
      <c r="C475" s="4"/>
      <c r="D475" s="4"/>
      <c r="E475" s="4"/>
    </row>
    <row r="476" spans="1:5">
      <c r="A476" s="4"/>
      <c r="B476" s="5"/>
      <c r="C476" s="4"/>
      <c r="D476" s="4"/>
      <c r="E476" s="4"/>
    </row>
    <row r="477" spans="1:5">
      <c r="A477" s="4"/>
      <c r="B477" s="5"/>
      <c r="C477" s="4"/>
      <c r="D477" s="4"/>
      <c r="E477" s="4"/>
    </row>
    <row r="478" spans="1:5">
      <c r="A478" s="4"/>
      <c r="B478" s="5"/>
      <c r="C478" s="4"/>
      <c r="D478" s="4"/>
      <c r="E478" s="4"/>
    </row>
    <row r="479" spans="1:5">
      <c r="A479" s="4"/>
      <c r="B479" s="5"/>
      <c r="C479" s="4"/>
      <c r="D479" s="4"/>
      <c r="E479" s="4"/>
    </row>
    <row r="480" spans="1:5">
      <c r="A480" s="4"/>
      <c r="B480" s="5"/>
      <c r="C480" s="4"/>
      <c r="D480" s="4"/>
      <c r="E480" s="4"/>
    </row>
    <row r="481" spans="1:5">
      <c r="A481" s="4"/>
      <c r="B481" s="5"/>
      <c r="C481" s="4"/>
      <c r="D481" s="4"/>
      <c r="E481" s="4"/>
    </row>
    <row r="482" spans="1:5">
      <c r="A482" s="4"/>
      <c r="B482" s="5"/>
      <c r="C482" s="4"/>
      <c r="D482" s="4"/>
      <c r="E482" s="4"/>
    </row>
    <row r="483" spans="1:5">
      <c r="A483" s="4"/>
      <c r="B483" s="5"/>
      <c r="C483" s="4"/>
      <c r="D483" s="4"/>
      <c r="E483" s="4"/>
    </row>
    <row r="484" spans="1:5">
      <c r="A484" s="4"/>
      <c r="B484" s="5"/>
      <c r="C484" s="4"/>
      <c r="D484" s="4"/>
      <c r="E484" s="4"/>
    </row>
    <row r="485" spans="1:5">
      <c r="A485" s="4"/>
      <c r="B485" s="5"/>
      <c r="C485" s="4"/>
      <c r="D485" s="4"/>
      <c r="E485" s="4"/>
    </row>
    <row r="486" spans="1:5">
      <c r="A486" s="4"/>
      <c r="B486" s="5"/>
      <c r="C486" s="4"/>
      <c r="D486" s="4"/>
      <c r="E486" s="4"/>
    </row>
    <row r="487" spans="1:5">
      <c r="A487" s="4"/>
      <c r="B487" s="5"/>
      <c r="C487" s="4"/>
      <c r="D487" s="4"/>
      <c r="E487" s="4"/>
    </row>
    <row r="488" spans="1:5">
      <c r="A488" s="4"/>
      <c r="B488" s="5"/>
      <c r="C488" s="4"/>
      <c r="D488" s="4"/>
      <c r="E488" s="4"/>
    </row>
    <row r="489" spans="1:5">
      <c r="A489" s="4"/>
      <c r="B489" s="5"/>
      <c r="C489" s="4"/>
      <c r="D489" s="4"/>
      <c r="E489" s="4"/>
    </row>
    <row r="490" spans="1:5">
      <c r="A490" s="4"/>
      <c r="B490" s="5"/>
      <c r="C490" s="4"/>
      <c r="D490" s="4"/>
      <c r="E490" s="4"/>
    </row>
    <row r="491" spans="1:5">
      <c r="A491" s="4"/>
      <c r="B491" s="5"/>
      <c r="C491" s="4"/>
      <c r="D491" s="4"/>
      <c r="E491" s="4"/>
    </row>
    <row r="492" spans="1:5">
      <c r="A492" s="4"/>
      <c r="B492" s="5"/>
      <c r="C492" s="4"/>
      <c r="D492" s="4"/>
      <c r="E492" s="4"/>
    </row>
    <row r="493" spans="1:5">
      <c r="A493" s="4"/>
      <c r="B493" s="5"/>
      <c r="C493" s="4"/>
      <c r="D493" s="4"/>
      <c r="E493" s="4"/>
    </row>
    <row r="494" spans="1:5">
      <c r="A494" s="4"/>
      <c r="B494" s="5"/>
      <c r="C494" s="4"/>
      <c r="D494" s="4"/>
      <c r="E494" s="4"/>
    </row>
    <row r="495" spans="1:5">
      <c r="A495" s="4"/>
      <c r="B495" s="5"/>
      <c r="C495" s="4"/>
      <c r="D495" s="4"/>
      <c r="E495" s="4"/>
    </row>
    <row r="496" spans="1:5">
      <c r="A496" s="4"/>
      <c r="B496" s="5"/>
      <c r="C496" s="4"/>
      <c r="D496" s="4"/>
      <c r="E496" s="4"/>
    </row>
    <row r="497" spans="1:5">
      <c r="A497" s="4"/>
      <c r="B497" s="5"/>
      <c r="C497" s="4"/>
      <c r="D497" s="4"/>
      <c r="E497" s="4"/>
    </row>
    <row r="498" spans="1:5">
      <c r="A498" s="4"/>
      <c r="B498" s="5"/>
      <c r="C498" s="4"/>
      <c r="D498" s="4"/>
      <c r="E498" s="4"/>
    </row>
    <row r="499" spans="1:5">
      <c r="A499" s="4"/>
      <c r="B499" s="5"/>
      <c r="C499" s="4"/>
      <c r="D499" s="4"/>
      <c r="E499" s="4"/>
    </row>
    <row r="500" spans="1:5">
      <c r="A500" s="4"/>
      <c r="B500" s="5"/>
      <c r="C500" s="4"/>
      <c r="D500" s="4"/>
      <c r="E500" s="4"/>
    </row>
    <row r="501" spans="1:5">
      <c r="A501" s="4"/>
      <c r="B501" s="5"/>
      <c r="C501" s="4"/>
      <c r="D501" s="4"/>
      <c r="E501" s="4"/>
    </row>
    <row r="502" spans="1:5">
      <c r="A502" s="4"/>
      <c r="B502" s="5"/>
      <c r="C502" s="4"/>
      <c r="D502" s="4"/>
      <c r="E502" s="4"/>
    </row>
    <row r="503" spans="1:5">
      <c r="A503" s="4"/>
      <c r="B503" s="5"/>
      <c r="C503" s="4"/>
      <c r="D503" s="4"/>
      <c r="E503" s="4"/>
    </row>
    <row r="504" spans="1:5">
      <c r="A504" s="4"/>
      <c r="B504" s="5"/>
      <c r="C504" s="4"/>
      <c r="D504" s="4"/>
      <c r="E504" s="4"/>
    </row>
    <row r="505" spans="1:5">
      <c r="A505" s="4"/>
      <c r="B505" s="5"/>
      <c r="C505" s="4"/>
      <c r="D505" s="4"/>
      <c r="E505" s="4"/>
    </row>
    <row r="506" spans="1:5">
      <c r="A506" s="4"/>
      <c r="B506" s="5"/>
      <c r="C506" s="4"/>
      <c r="D506" s="4"/>
      <c r="E506" s="4"/>
    </row>
    <row r="507" spans="1:5">
      <c r="A507" s="4"/>
      <c r="B507" s="5"/>
      <c r="C507" s="4"/>
      <c r="D507" s="4"/>
      <c r="E507" s="4"/>
    </row>
    <row r="508" spans="1:5">
      <c r="A508" s="4"/>
      <c r="B508" s="5"/>
      <c r="C508" s="4"/>
      <c r="D508" s="4"/>
      <c r="E508" s="4"/>
    </row>
    <row r="509" spans="1:5">
      <c r="A509" s="4"/>
      <c r="B509" s="5"/>
      <c r="C509" s="4"/>
      <c r="D509" s="4"/>
      <c r="E509" s="4"/>
    </row>
    <row r="510" spans="1:5">
      <c r="A510" s="4"/>
      <c r="B510" s="5"/>
      <c r="C510" s="4"/>
      <c r="D510" s="4"/>
      <c r="E510" s="4"/>
    </row>
    <row r="511" spans="1:5">
      <c r="A511" s="4"/>
      <c r="B511" s="5"/>
      <c r="C511" s="4"/>
      <c r="D511" s="4"/>
      <c r="E511" s="4"/>
    </row>
    <row r="512" spans="1:5">
      <c r="A512" s="4"/>
      <c r="B512" s="5"/>
      <c r="C512" s="4"/>
      <c r="D512" s="4"/>
      <c r="E512" s="4"/>
    </row>
    <row r="513" spans="1:5">
      <c r="A513" s="4"/>
      <c r="B513" s="5"/>
      <c r="C513" s="4"/>
      <c r="D513" s="4"/>
      <c r="E513" s="4"/>
    </row>
    <row r="514" spans="1:5">
      <c r="A514" s="4"/>
      <c r="B514" s="5"/>
      <c r="C514" s="4"/>
      <c r="D514" s="4"/>
      <c r="E514" s="4"/>
    </row>
    <row r="515" spans="1:5">
      <c r="A515" s="4"/>
      <c r="B515" s="5"/>
      <c r="C515" s="4"/>
      <c r="D515" s="4"/>
      <c r="E515" s="4"/>
    </row>
    <row r="516" spans="1:5">
      <c r="A516" s="4"/>
      <c r="B516" s="5"/>
      <c r="C516" s="4"/>
      <c r="D516" s="4"/>
      <c r="E516" s="4"/>
    </row>
    <row r="517" spans="1:5">
      <c r="A517" s="4"/>
      <c r="B517" s="5"/>
      <c r="C517" s="4"/>
      <c r="D517" s="4"/>
      <c r="E517" s="4"/>
    </row>
    <row r="518" spans="1:5">
      <c r="A518" s="4"/>
      <c r="B518" s="5"/>
      <c r="C518" s="4"/>
      <c r="D518" s="4"/>
      <c r="E518" s="4"/>
    </row>
    <row r="519" spans="1:5">
      <c r="A519" s="4"/>
      <c r="B519" s="5"/>
      <c r="C519" s="4"/>
      <c r="D519" s="4"/>
      <c r="E519" s="4"/>
    </row>
    <row r="520" spans="1:5">
      <c r="A520" s="4"/>
      <c r="B520" s="5"/>
      <c r="C520" s="4"/>
      <c r="D520" s="4"/>
      <c r="E520" s="4"/>
    </row>
    <row r="521" spans="1:5">
      <c r="A521" s="4"/>
      <c r="B521" s="5"/>
      <c r="C521" s="4"/>
      <c r="D521" s="4"/>
      <c r="E521" s="4"/>
    </row>
    <row r="522" spans="1:5">
      <c r="A522" s="4"/>
      <c r="B522" s="5"/>
      <c r="C522" s="4"/>
      <c r="D522" s="4"/>
      <c r="E522" s="4"/>
    </row>
    <row r="523" spans="1:5">
      <c r="A523" s="4"/>
      <c r="B523" s="5"/>
      <c r="C523" s="4"/>
      <c r="D523" s="4"/>
      <c r="E523" s="4"/>
    </row>
    <row r="524" spans="1:5">
      <c r="A524" s="4"/>
      <c r="B524" s="5"/>
      <c r="C524" s="4"/>
      <c r="D524" s="4"/>
      <c r="E524" s="4"/>
    </row>
    <row r="525" spans="1:5">
      <c r="A525" s="4"/>
      <c r="B525" s="5"/>
      <c r="C525" s="4"/>
      <c r="D525" s="4"/>
      <c r="E525" s="4"/>
    </row>
    <row r="526" spans="1:5">
      <c r="A526" s="4"/>
      <c r="B526" s="5"/>
      <c r="C526" s="4"/>
      <c r="D526" s="4"/>
      <c r="E526" s="4"/>
    </row>
    <row r="527" spans="1:5">
      <c r="A527" s="4"/>
      <c r="B527" s="5"/>
      <c r="C527" s="4"/>
      <c r="D527" s="4"/>
      <c r="E527" s="4"/>
    </row>
    <row r="528" spans="1:5">
      <c r="A528" s="4"/>
      <c r="B528" s="5"/>
      <c r="C528" s="4"/>
      <c r="D528" s="4"/>
      <c r="E528" s="4"/>
    </row>
    <row r="529" spans="1:5">
      <c r="A529" s="4"/>
      <c r="B529" s="5"/>
      <c r="C529" s="4"/>
      <c r="D529" s="4"/>
      <c r="E529" s="4"/>
    </row>
    <row r="530" spans="1:5">
      <c r="A530" s="4"/>
      <c r="B530" s="5"/>
      <c r="C530" s="4"/>
      <c r="D530" s="4"/>
      <c r="E530" s="4"/>
    </row>
    <row r="531" spans="1:5">
      <c r="A531" s="4"/>
      <c r="B531" s="5"/>
      <c r="C531" s="4"/>
      <c r="D531" s="4"/>
      <c r="E531" s="4"/>
    </row>
    <row r="532" spans="1:5">
      <c r="A532" s="4"/>
      <c r="B532" s="5"/>
      <c r="C532" s="4"/>
      <c r="D532" s="4"/>
      <c r="E532" s="4"/>
    </row>
    <row r="533" spans="1:5">
      <c r="A533" s="4"/>
      <c r="B533" s="5"/>
      <c r="C533" s="4"/>
      <c r="D533" s="4"/>
      <c r="E533" s="4"/>
    </row>
    <row r="534" spans="1:5">
      <c r="A534" s="4"/>
      <c r="B534" s="5"/>
      <c r="C534" s="4"/>
      <c r="D534" s="4"/>
      <c r="E534" s="4"/>
    </row>
    <row r="535" spans="1:5">
      <c r="A535" s="4"/>
      <c r="B535" s="5"/>
      <c r="C535" s="4"/>
      <c r="D535" s="4"/>
      <c r="E535" s="4"/>
    </row>
    <row r="536" spans="1:5">
      <c r="A536" s="4"/>
      <c r="B536" s="5"/>
      <c r="C536" s="4"/>
      <c r="D536" s="4"/>
      <c r="E536" s="4"/>
    </row>
    <row r="537" spans="1:5">
      <c r="A537" s="4"/>
      <c r="B537" s="5"/>
      <c r="C537" s="4"/>
      <c r="D537" s="4"/>
      <c r="E537" s="4"/>
    </row>
    <row r="538" spans="1:5">
      <c r="A538" s="4"/>
      <c r="B538" s="5"/>
      <c r="C538" s="4"/>
      <c r="D538" s="4"/>
      <c r="E538" s="4"/>
    </row>
    <row r="539" spans="1:5">
      <c r="A539" s="4"/>
      <c r="B539" s="5"/>
      <c r="C539" s="4"/>
      <c r="D539" s="4"/>
      <c r="E539" s="4"/>
    </row>
    <row r="540" spans="1:5">
      <c r="A540" s="4"/>
      <c r="B540" s="5"/>
      <c r="C540" s="4"/>
      <c r="D540" s="4"/>
      <c r="E540" s="4"/>
    </row>
    <row r="541" spans="1:5">
      <c r="A541" s="4"/>
      <c r="B541" s="5"/>
      <c r="C541" s="4"/>
      <c r="D541" s="4"/>
      <c r="E541" s="4"/>
    </row>
    <row r="542" spans="1:5">
      <c r="A542" s="4"/>
      <c r="B542" s="5"/>
      <c r="C542" s="4"/>
      <c r="D542" s="4"/>
      <c r="E542" s="4"/>
    </row>
    <row r="543" spans="1:5">
      <c r="A543" s="4"/>
      <c r="B543" s="5"/>
      <c r="C543" s="4"/>
      <c r="D543" s="4"/>
      <c r="E543" s="4"/>
    </row>
    <row r="544" spans="1:5">
      <c r="A544" s="4"/>
      <c r="B544" s="5"/>
      <c r="C544" s="4"/>
      <c r="D544" s="4"/>
      <c r="E544" s="4"/>
    </row>
    <row r="545" spans="1:5">
      <c r="A545" s="4"/>
      <c r="B545" s="5"/>
      <c r="C545" s="4"/>
      <c r="D545" s="4"/>
      <c r="E545" s="4"/>
    </row>
    <row r="546" spans="1:5">
      <c r="A546" s="4"/>
      <c r="B546" s="5"/>
      <c r="C546" s="4"/>
      <c r="D546" s="4"/>
      <c r="E546" s="4"/>
    </row>
    <row r="547" spans="1:5">
      <c r="A547" s="4"/>
      <c r="B547" s="5"/>
      <c r="C547" s="4"/>
      <c r="D547" s="4"/>
      <c r="E547" s="4"/>
    </row>
    <row r="548" spans="1:5">
      <c r="A548" s="4"/>
      <c r="B548" s="5"/>
      <c r="C548" s="4"/>
      <c r="D548" s="4"/>
      <c r="E548" s="4"/>
    </row>
    <row r="549" spans="1:5">
      <c r="A549" s="4"/>
      <c r="B549" s="5"/>
      <c r="C549" s="4"/>
      <c r="D549" s="4"/>
      <c r="E549" s="4"/>
    </row>
    <row r="550" spans="1:5">
      <c r="A550" s="4"/>
      <c r="B550" s="5"/>
      <c r="C550" s="4"/>
      <c r="D550" s="4"/>
      <c r="E550" s="4"/>
    </row>
    <row r="551" spans="1:5">
      <c r="A551" s="4"/>
      <c r="B551" s="5"/>
      <c r="C551" s="4"/>
      <c r="D551" s="4"/>
      <c r="E551" s="4"/>
    </row>
    <row r="552" spans="1:5">
      <c r="A552" s="4"/>
      <c r="B552" s="5"/>
      <c r="C552" s="4"/>
      <c r="D552" s="4"/>
      <c r="E552" s="4"/>
    </row>
    <row r="553" spans="1:5">
      <c r="A553" s="4"/>
      <c r="B553" s="5"/>
      <c r="C553" s="4"/>
      <c r="D553" s="4"/>
      <c r="E553" s="4"/>
    </row>
    <row r="554" spans="1:5">
      <c r="A554" s="4"/>
      <c r="B554" s="5"/>
      <c r="C554" s="4"/>
      <c r="D554" s="4"/>
      <c r="E554" s="4"/>
    </row>
    <row r="555" spans="1:5">
      <c r="A555" s="4"/>
      <c r="B555" s="5"/>
      <c r="C555" s="4"/>
      <c r="D555" s="4"/>
      <c r="E555" s="4"/>
    </row>
    <row r="556" spans="1:5">
      <c r="A556" s="4"/>
      <c r="B556" s="5"/>
      <c r="C556" s="4"/>
      <c r="D556" s="4"/>
      <c r="E556" s="4"/>
    </row>
    <row r="557" spans="1:5">
      <c r="A557" s="4"/>
      <c r="B557" s="5"/>
      <c r="C557" s="4"/>
      <c r="D557" s="4"/>
      <c r="E557" s="4"/>
    </row>
    <row r="558" spans="1:5">
      <c r="A558" s="4"/>
      <c r="B558" s="5"/>
      <c r="C558" s="4"/>
      <c r="D558" s="4"/>
      <c r="E558" s="4"/>
    </row>
    <row r="559" spans="1:5">
      <c r="A559" s="4"/>
      <c r="B559" s="5"/>
      <c r="C559" s="4"/>
      <c r="D559" s="4"/>
      <c r="E559" s="4"/>
    </row>
    <row r="560" spans="1:5">
      <c r="A560" s="4"/>
      <c r="B560" s="5"/>
      <c r="C560" s="4"/>
      <c r="D560" s="4"/>
      <c r="E560" s="4"/>
    </row>
    <row r="561" spans="1:5">
      <c r="A561" s="4"/>
      <c r="B561" s="5"/>
      <c r="C561" s="4"/>
      <c r="D561" s="4"/>
      <c r="E561" s="4"/>
    </row>
    <row r="562" spans="1:5">
      <c r="A562" s="4"/>
      <c r="B562" s="5"/>
      <c r="C562" s="4"/>
      <c r="D562" s="4"/>
      <c r="E562" s="4"/>
    </row>
    <row r="563" spans="1:5">
      <c r="A563" s="4"/>
      <c r="B563" s="5"/>
      <c r="C563" s="4"/>
      <c r="D563" s="4"/>
      <c r="E563" s="4"/>
    </row>
    <row r="564" spans="1:5">
      <c r="A564" s="4"/>
      <c r="B564" s="5"/>
      <c r="C564" s="4"/>
      <c r="D564" s="4"/>
      <c r="E564" s="4"/>
    </row>
    <row r="565" spans="1:5">
      <c r="A565" s="4"/>
      <c r="B565" s="5"/>
      <c r="C565" s="4"/>
      <c r="D565" s="4"/>
      <c r="E565" s="4"/>
    </row>
    <row r="566" spans="1:5">
      <c r="A566" s="4"/>
      <c r="B566" s="5"/>
      <c r="C566" s="4"/>
      <c r="D566" s="4"/>
      <c r="E566" s="4"/>
    </row>
    <row r="567" spans="1:5">
      <c r="A567" s="4"/>
      <c r="B567" s="5"/>
      <c r="C567" s="4"/>
      <c r="D567" s="4"/>
      <c r="E567" s="4"/>
    </row>
    <row r="568" spans="1:5">
      <c r="A568" s="4"/>
      <c r="B568" s="5"/>
      <c r="C568" s="4"/>
      <c r="D568" s="4"/>
      <c r="E568" s="4"/>
    </row>
    <row r="569" spans="1:5">
      <c r="A569" s="4"/>
      <c r="B569" s="5"/>
      <c r="C569" s="4"/>
      <c r="D569" s="4"/>
      <c r="E569" s="4"/>
    </row>
    <row r="570" spans="1:5">
      <c r="A570" s="4"/>
      <c r="B570" s="5"/>
      <c r="C570" s="4"/>
      <c r="D570" s="4"/>
      <c r="E570" s="4"/>
    </row>
    <row r="571" spans="1:5">
      <c r="A571" s="4"/>
      <c r="B571" s="5"/>
      <c r="C571" s="4"/>
      <c r="D571" s="4"/>
      <c r="E571" s="4"/>
    </row>
    <row r="572" spans="1:5">
      <c r="A572" s="4"/>
      <c r="B572" s="5"/>
      <c r="C572" s="4"/>
      <c r="D572" s="4"/>
      <c r="E572" s="4"/>
    </row>
    <row r="573" spans="1:5">
      <c r="A573" s="4"/>
      <c r="B573" s="5"/>
      <c r="C573" s="4"/>
      <c r="D573" s="4"/>
      <c r="E573" s="4"/>
    </row>
    <row r="574" spans="1:5">
      <c r="A574" s="4"/>
      <c r="B574" s="5"/>
      <c r="C574" s="4"/>
      <c r="D574" s="4"/>
      <c r="E574" s="4"/>
    </row>
    <row r="575" spans="1:5">
      <c r="A575" s="4"/>
      <c r="B575" s="5"/>
      <c r="C575" s="4"/>
      <c r="D575" s="4"/>
      <c r="E575" s="4"/>
    </row>
    <row r="576" spans="1:5">
      <c r="A576" s="4"/>
      <c r="B576" s="5"/>
      <c r="C576" s="4"/>
      <c r="D576" s="4"/>
      <c r="E576" s="4"/>
    </row>
    <row r="577" spans="1:5">
      <c r="A577" s="4"/>
      <c r="B577" s="5"/>
      <c r="C577" s="4"/>
      <c r="D577" s="4"/>
      <c r="E577" s="4"/>
    </row>
    <row r="578" spans="1:5">
      <c r="A578" s="4"/>
      <c r="B578" s="5"/>
      <c r="C578" s="4"/>
      <c r="D578" s="4"/>
      <c r="E578" s="4"/>
    </row>
    <row r="579" spans="1:5">
      <c r="A579" s="4"/>
      <c r="B579" s="5"/>
      <c r="C579" s="4"/>
      <c r="D579" s="4"/>
      <c r="E579" s="4"/>
    </row>
    <row r="580" spans="1:5">
      <c r="A580" s="4"/>
      <c r="B580" s="5"/>
      <c r="C580" s="4"/>
      <c r="D580" s="4"/>
      <c r="E580" s="4"/>
    </row>
    <row r="581" spans="1:5">
      <c r="A581" s="4"/>
      <c r="B581" s="5"/>
      <c r="C581" s="4"/>
      <c r="D581" s="4"/>
      <c r="E581" s="4"/>
    </row>
    <row r="582" spans="1:5">
      <c r="A582" s="4"/>
      <c r="B582" s="5"/>
      <c r="C582" s="4"/>
      <c r="D582" s="4"/>
      <c r="E582" s="4"/>
    </row>
    <row r="583" spans="1:5">
      <c r="A583" s="4"/>
      <c r="B583" s="5"/>
      <c r="C583" s="4"/>
      <c r="D583" s="4"/>
      <c r="E583" s="4"/>
    </row>
    <row r="584" spans="1:5">
      <c r="A584" s="4"/>
      <c r="B584" s="5"/>
      <c r="C584" s="4"/>
      <c r="D584" s="4"/>
      <c r="E584" s="4"/>
    </row>
    <row r="585" spans="1:5">
      <c r="A585" s="4"/>
      <c r="B585" s="5"/>
      <c r="C585" s="4"/>
      <c r="D585" s="4"/>
      <c r="E585" s="4"/>
    </row>
    <row r="586" spans="1:5">
      <c r="A586" s="4"/>
      <c r="B586" s="5"/>
      <c r="C586" s="4"/>
      <c r="D586" s="4"/>
      <c r="E586" s="4"/>
    </row>
    <row r="587" spans="1:5">
      <c r="A587" s="4"/>
      <c r="B587" s="5"/>
      <c r="C587" s="4"/>
      <c r="D587" s="4"/>
      <c r="E587" s="4"/>
    </row>
    <row r="588" spans="1:5">
      <c r="A588" s="4"/>
      <c r="B588" s="5"/>
      <c r="C588" s="4"/>
      <c r="D588" s="4"/>
      <c r="E588" s="4"/>
    </row>
    <row r="589" spans="1:5">
      <c r="A589" s="4"/>
      <c r="B589" s="5"/>
      <c r="C589" s="4"/>
      <c r="D589" s="4"/>
      <c r="E589" s="4"/>
    </row>
    <row r="590" spans="1:5">
      <c r="A590" s="4"/>
      <c r="B590" s="5"/>
      <c r="C590" s="4"/>
      <c r="D590" s="4"/>
      <c r="E590" s="4"/>
    </row>
    <row r="591" spans="1:5">
      <c r="A591" s="4"/>
      <c r="B591" s="5"/>
      <c r="C591" s="4"/>
      <c r="D591" s="4"/>
      <c r="E591" s="4"/>
    </row>
    <row r="592" spans="1:5">
      <c r="A592" s="4"/>
      <c r="B592" s="5"/>
      <c r="C592" s="4"/>
      <c r="D592" s="4"/>
      <c r="E592" s="4"/>
    </row>
    <row r="593" spans="1:5">
      <c r="A593" s="4"/>
      <c r="B593" s="5"/>
      <c r="C593" s="4"/>
      <c r="D593" s="4"/>
      <c r="E593" s="4"/>
    </row>
    <row r="594" spans="1:5">
      <c r="A594" s="4"/>
      <c r="B594" s="5"/>
      <c r="C594" s="4"/>
      <c r="D594" s="4"/>
      <c r="E594" s="4"/>
    </row>
    <row r="595" spans="1:5">
      <c r="A595" s="4"/>
      <c r="B595" s="5"/>
      <c r="C595" s="4"/>
      <c r="D595" s="4"/>
      <c r="E595" s="4"/>
    </row>
    <row r="596" spans="1:5">
      <c r="A596" s="4"/>
      <c r="B596" s="5"/>
      <c r="C596" s="4"/>
      <c r="D596" s="4"/>
      <c r="E596" s="4"/>
    </row>
    <row r="597" spans="1:5">
      <c r="A597" s="4"/>
      <c r="B597" s="5"/>
      <c r="C597" s="4"/>
      <c r="D597" s="4"/>
      <c r="E597" s="4"/>
    </row>
    <row r="598" spans="1:5">
      <c r="A598" s="4"/>
      <c r="B598" s="5"/>
      <c r="C598" s="4"/>
      <c r="D598" s="4"/>
      <c r="E598" s="4"/>
    </row>
    <row r="599" spans="1:5">
      <c r="A599" s="4"/>
      <c r="B599" s="5"/>
      <c r="C599" s="4"/>
      <c r="D599" s="4"/>
      <c r="E599" s="4"/>
    </row>
    <row r="600" spans="1:5">
      <c r="A600" s="4"/>
      <c r="B600" s="5"/>
      <c r="C600" s="4"/>
      <c r="D600" s="4"/>
      <c r="E600" s="4"/>
    </row>
    <row r="601" spans="1:5">
      <c r="A601" s="4"/>
      <c r="B601" s="5"/>
      <c r="C601" s="4"/>
      <c r="D601" s="4"/>
      <c r="E601" s="4"/>
    </row>
    <row r="602" spans="1:5">
      <c r="A602" s="4"/>
      <c r="B602" s="5"/>
      <c r="C602" s="4"/>
      <c r="D602" s="4"/>
      <c r="E602" s="4"/>
    </row>
    <row r="603" spans="1:5">
      <c r="A603" s="4"/>
      <c r="B603" s="5"/>
      <c r="C603" s="4"/>
      <c r="D603" s="4"/>
      <c r="E603" s="4"/>
    </row>
    <row r="604" spans="1:5">
      <c r="A604" s="4"/>
      <c r="B604" s="5"/>
      <c r="C604" s="4"/>
      <c r="D604" s="4"/>
      <c r="E604" s="4"/>
    </row>
    <row r="605" spans="1:5">
      <c r="A605" s="4"/>
      <c r="B605" s="5"/>
      <c r="C605" s="4"/>
      <c r="D605" s="4"/>
      <c r="E605" s="4"/>
    </row>
    <row r="606" spans="1:5">
      <c r="A606" s="4"/>
      <c r="B606" s="5"/>
      <c r="C606" s="4"/>
      <c r="D606" s="4"/>
      <c r="E606" s="4"/>
    </row>
    <row r="607" spans="1:5">
      <c r="A607" s="4"/>
      <c r="B607" s="5"/>
      <c r="C607" s="4"/>
      <c r="D607" s="4"/>
      <c r="E607" s="4"/>
    </row>
    <row r="608" spans="1:5">
      <c r="A608" s="4"/>
      <c r="B608" s="5"/>
      <c r="C608" s="4"/>
      <c r="D608" s="4"/>
      <c r="E608" s="4"/>
    </row>
    <row r="609" spans="1:5">
      <c r="A609" s="4"/>
      <c r="B609" s="5"/>
      <c r="C609" s="4"/>
      <c r="D609" s="4"/>
      <c r="E609" s="4"/>
    </row>
    <row r="610" spans="1:5">
      <c r="A610" s="4"/>
      <c r="B610" s="5"/>
      <c r="C610" s="4"/>
      <c r="D610" s="4"/>
      <c r="E610" s="4"/>
    </row>
    <row r="611" spans="1:5">
      <c r="A611" s="4"/>
      <c r="B611" s="5"/>
      <c r="C611" s="4"/>
      <c r="D611" s="4"/>
      <c r="E611" s="4"/>
    </row>
    <row r="612" spans="1:5">
      <c r="A612" s="4"/>
      <c r="B612" s="5"/>
      <c r="C612" s="4"/>
      <c r="D612" s="4"/>
      <c r="E612" s="4"/>
    </row>
    <row r="613" spans="1:5">
      <c r="A613" s="4"/>
      <c r="B613" s="5"/>
      <c r="C613" s="4"/>
      <c r="D613" s="4"/>
      <c r="E613" s="4"/>
    </row>
    <row r="614" spans="1:5">
      <c r="A614" s="4"/>
      <c r="B614" s="5"/>
      <c r="C614" s="4"/>
      <c r="D614" s="4"/>
      <c r="E614" s="4"/>
    </row>
    <row r="615" spans="1:5">
      <c r="A615" s="4"/>
      <c r="B615" s="5"/>
      <c r="C615" s="4"/>
      <c r="D615" s="4"/>
      <c r="E615" s="4"/>
    </row>
    <row r="616" spans="1:5">
      <c r="A616" s="4"/>
      <c r="B616" s="5"/>
      <c r="C616" s="4"/>
      <c r="D616" s="4"/>
      <c r="E616" s="4"/>
    </row>
    <row r="617" spans="1:5">
      <c r="A617" s="4"/>
      <c r="B617" s="5"/>
      <c r="C617" s="4"/>
      <c r="D617" s="4"/>
      <c r="E617" s="4"/>
    </row>
    <row r="618" spans="1:5">
      <c r="A618" s="4"/>
      <c r="B618" s="5"/>
      <c r="C618" s="4"/>
      <c r="D618" s="4"/>
      <c r="E618" s="4"/>
    </row>
    <row r="619" spans="1:5">
      <c r="A619" s="4"/>
      <c r="B619" s="5"/>
      <c r="C619" s="4"/>
      <c r="D619" s="4"/>
      <c r="E619" s="4"/>
    </row>
    <row r="620" spans="1:5">
      <c r="A620" s="4"/>
      <c r="B620" s="5"/>
      <c r="C620" s="4"/>
      <c r="D620" s="4"/>
      <c r="E620" s="4"/>
    </row>
    <row r="621" spans="1:5">
      <c r="A621" s="4"/>
      <c r="B621" s="5"/>
      <c r="C621" s="4"/>
      <c r="D621" s="4"/>
      <c r="E621" s="4"/>
    </row>
    <row r="622" spans="1:5">
      <c r="A622" s="4"/>
      <c r="B622" s="5"/>
      <c r="C622" s="4"/>
      <c r="D622" s="4"/>
      <c r="E622" s="4"/>
    </row>
    <row r="623" spans="1:5">
      <c r="A623" s="4"/>
      <c r="B623" s="5"/>
      <c r="C623" s="4"/>
      <c r="D623" s="4"/>
      <c r="E623" s="4"/>
    </row>
    <row r="624" spans="1:5">
      <c r="A624" s="4"/>
      <c r="B624" s="5"/>
      <c r="C624" s="4"/>
      <c r="D624" s="4"/>
      <c r="E624" s="4"/>
    </row>
    <row r="625" spans="1:5">
      <c r="A625" s="4"/>
      <c r="B625" s="5"/>
      <c r="C625" s="4"/>
      <c r="D625" s="4"/>
      <c r="E625" s="4"/>
    </row>
    <row r="626" spans="1:5">
      <c r="A626" s="4"/>
      <c r="B626" s="5"/>
      <c r="C626" s="4"/>
      <c r="D626" s="4"/>
      <c r="E626" s="4"/>
    </row>
    <row r="627" spans="1:5">
      <c r="A627" s="4"/>
      <c r="B627" s="5"/>
      <c r="C627" s="4"/>
      <c r="D627" s="4"/>
      <c r="E627" s="4"/>
    </row>
    <row r="628" spans="1:5">
      <c r="A628" s="4"/>
      <c r="B628" s="5"/>
      <c r="C628" s="4"/>
      <c r="D628" s="4"/>
      <c r="E628" s="4"/>
    </row>
    <row r="629" spans="1:5">
      <c r="A629" s="4"/>
      <c r="B629" s="5"/>
      <c r="C629" s="4"/>
      <c r="D629" s="4"/>
      <c r="E629" s="4"/>
    </row>
    <row r="630" spans="1:5">
      <c r="A630" s="4"/>
      <c r="B630" s="5"/>
      <c r="C630" s="4"/>
      <c r="D630" s="4"/>
      <c r="E630" s="4"/>
    </row>
    <row r="631" spans="1:5">
      <c r="A631" s="4"/>
      <c r="B631" s="5"/>
      <c r="C631" s="4"/>
      <c r="D631" s="4"/>
      <c r="E631" s="4"/>
    </row>
    <row r="632" spans="1:5">
      <c r="A632" s="4"/>
      <c r="B632" s="5"/>
      <c r="C632" s="4"/>
      <c r="D632" s="4"/>
      <c r="E632" s="4"/>
    </row>
    <row r="633" spans="1:5">
      <c r="A633" s="4"/>
      <c r="B633" s="5"/>
      <c r="C633" s="4"/>
      <c r="D633" s="4"/>
      <c r="E633" s="4"/>
    </row>
    <row r="634" spans="1:5">
      <c r="A634" s="4"/>
      <c r="B634" s="5"/>
      <c r="C634" s="4"/>
      <c r="D634" s="4"/>
      <c r="E634" s="4"/>
    </row>
    <row r="635" spans="1:5">
      <c r="A635" s="4"/>
      <c r="B635" s="5"/>
      <c r="C635" s="4"/>
      <c r="D635" s="4"/>
      <c r="E635" s="4"/>
    </row>
    <row r="636" spans="1:5">
      <c r="A636" s="4"/>
      <c r="B636" s="5"/>
      <c r="C636" s="4"/>
      <c r="D636" s="4"/>
      <c r="E636" s="4"/>
    </row>
    <row r="637" spans="1:5">
      <c r="A637" s="4"/>
      <c r="B637" s="5"/>
      <c r="C637" s="4"/>
      <c r="D637" s="4"/>
      <c r="E637" s="4"/>
    </row>
    <row r="638" spans="1:5">
      <c r="A638" s="4"/>
      <c r="B638" s="5"/>
      <c r="C638" s="4"/>
      <c r="D638" s="4"/>
      <c r="E638" s="4"/>
    </row>
    <row r="639" spans="1:5">
      <c r="A639" s="4"/>
      <c r="B639" s="5"/>
      <c r="C639" s="4"/>
      <c r="D639" s="4"/>
      <c r="E639" s="4"/>
    </row>
    <row r="640" spans="1:5">
      <c r="A640" s="4"/>
      <c r="B640" s="5"/>
      <c r="C640" s="4"/>
      <c r="D640" s="4"/>
      <c r="E640" s="4"/>
    </row>
    <row r="641" spans="1:5">
      <c r="A641" s="4"/>
      <c r="B641" s="5"/>
      <c r="C641" s="4"/>
      <c r="D641" s="4"/>
      <c r="E641" s="4"/>
    </row>
    <row r="642" spans="1:5">
      <c r="A642" s="4"/>
      <c r="B642" s="5"/>
      <c r="C642" s="4"/>
      <c r="D642" s="4"/>
      <c r="E642" s="4"/>
    </row>
    <row r="643" spans="1:5">
      <c r="A643" s="4"/>
      <c r="B643" s="5"/>
      <c r="C643" s="4"/>
      <c r="D643" s="4"/>
      <c r="E643" s="4"/>
    </row>
    <row r="644" spans="1:5">
      <c r="A644" s="4"/>
      <c r="B644" s="5"/>
      <c r="C644" s="4"/>
      <c r="D644" s="4"/>
      <c r="E644" s="4"/>
    </row>
    <row r="645" spans="1:5">
      <c r="A645" s="4"/>
      <c r="B645" s="5"/>
      <c r="C645" s="4"/>
      <c r="D645" s="4"/>
      <c r="E645" s="4"/>
    </row>
    <row r="646" spans="1:5">
      <c r="A646" s="4"/>
      <c r="B646" s="5"/>
      <c r="C646" s="4"/>
      <c r="D646" s="4"/>
      <c r="E646" s="4"/>
    </row>
    <row r="647" spans="1:5">
      <c r="A647" s="4"/>
      <c r="B647" s="5"/>
      <c r="C647" s="4"/>
      <c r="D647" s="4"/>
      <c r="E647" s="4"/>
    </row>
    <row r="648" spans="1:5">
      <c r="A648" s="4"/>
      <c r="B648" s="5"/>
      <c r="C648" s="4"/>
      <c r="D648" s="4"/>
      <c r="E648" s="4"/>
    </row>
    <row r="649" spans="1:5">
      <c r="A649" s="4"/>
      <c r="B649" s="5"/>
      <c r="C649" s="4"/>
      <c r="D649" s="4"/>
      <c r="E649" s="4"/>
    </row>
    <row r="650" spans="1:5">
      <c r="A650" s="4"/>
      <c r="B650" s="5"/>
      <c r="C650" s="4"/>
      <c r="D650" s="4"/>
      <c r="E650" s="4"/>
    </row>
    <row r="651" spans="1:5">
      <c r="A651" s="4"/>
      <c r="B651" s="5"/>
      <c r="C651" s="4"/>
      <c r="D651" s="4"/>
      <c r="E651" s="4"/>
    </row>
    <row r="652" spans="1:5">
      <c r="A652" s="4"/>
      <c r="B652" s="5"/>
      <c r="C652" s="4"/>
      <c r="D652" s="4"/>
      <c r="E652" s="4"/>
    </row>
    <row r="653" spans="1:5">
      <c r="A653" s="4"/>
      <c r="B653" s="5"/>
      <c r="C653" s="4"/>
      <c r="D653" s="4"/>
      <c r="E653" s="4"/>
    </row>
    <row r="654" spans="1:5">
      <c r="A654" s="4"/>
      <c r="B654" s="5"/>
      <c r="C654" s="4"/>
      <c r="D654" s="4"/>
      <c r="E654" s="4"/>
    </row>
    <row r="655" spans="1:5">
      <c r="A655" s="4"/>
      <c r="B655" s="5"/>
      <c r="C655" s="4"/>
      <c r="D655" s="4"/>
      <c r="E655" s="4"/>
    </row>
    <row r="656" spans="1:5">
      <c r="A656" s="4"/>
      <c r="B656" s="5"/>
      <c r="C656" s="4"/>
      <c r="D656" s="4"/>
      <c r="E656" s="4"/>
    </row>
    <row r="657" spans="1:5">
      <c r="A657" s="4"/>
      <c r="B657" s="5"/>
      <c r="C657" s="4"/>
      <c r="D657" s="4"/>
      <c r="E657" s="4"/>
    </row>
    <row r="658" spans="1:5">
      <c r="A658" s="4"/>
      <c r="B658" s="5"/>
      <c r="C658" s="4"/>
      <c r="D658" s="4"/>
      <c r="E658" s="4"/>
    </row>
    <row r="659" spans="1:5">
      <c r="A659" s="4"/>
      <c r="B659" s="5"/>
      <c r="C659" s="4"/>
      <c r="D659" s="4"/>
      <c r="E659" s="4"/>
    </row>
    <row r="660" spans="1:5">
      <c r="A660" s="4"/>
      <c r="B660" s="5"/>
      <c r="C660" s="4"/>
      <c r="D660" s="4"/>
      <c r="E660" s="4"/>
    </row>
    <row r="661" spans="1:5">
      <c r="A661" s="4"/>
      <c r="B661" s="5"/>
      <c r="C661" s="4"/>
      <c r="D661" s="4"/>
      <c r="E661" s="4"/>
    </row>
    <row r="662" spans="1:5">
      <c r="A662" s="4"/>
      <c r="B662" s="5"/>
      <c r="C662" s="4"/>
      <c r="D662" s="4"/>
      <c r="E662" s="4"/>
    </row>
    <row r="663" spans="1:5">
      <c r="A663" s="4"/>
      <c r="B663" s="5"/>
      <c r="C663" s="4"/>
      <c r="D663" s="4"/>
      <c r="E663" s="4"/>
    </row>
    <row r="664" spans="1:5">
      <c r="A664" s="4"/>
      <c r="B664" s="5"/>
      <c r="C664" s="4"/>
      <c r="D664" s="4"/>
      <c r="E664" s="4"/>
    </row>
    <row r="665" spans="1:5">
      <c r="A665" s="4"/>
      <c r="B665" s="5"/>
      <c r="C665" s="4"/>
      <c r="D665" s="4"/>
      <c r="E665" s="4"/>
    </row>
    <row r="666" spans="1:5">
      <c r="A666" s="4"/>
      <c r="B666" s="5"/>
      <c r="C666" s="4"/>
      <c r="D666" s="4"/>
      <c r="E666" s="4"/>
    </row>
    <row r="667" spans="1:5">
      <c r="A667" s="4"/>
      <c r="B667" s="5"/>
      <c r="C667" s="4"/>
      <c r="D667" s="4"/>
      <c r="E667" s="4"/>
    </row>
    <row r="668" spans="1:5">
      <c r="A668" s="4"/>
      <c r="B668" s="5"/>
      <c r="C668" s="4"/>
      <c r="D668" s="4"/>
      <c r="E668" s="4"/>
    </row>
    <row r="669" spans="1:5">
      <c r="A669" s="4"/>
      <c r="B669" s="5"/>
      <c r="C669" s="4"/>
      <c r="D669" s="4"/>
      <c r="E669" s="4"/>
    </row>
    <row r="670" spans="1:5">
      <c r="A670" s="4"/>
      <c r="B670" s="5"/>
      <c r="C670" s="4"/>
      <c r="D670" s="4"/>
      <c r="E670" s="4"/>
    </row>
    <row r="671" spans="1:5">
      <c r="A671" s="4"/>
      <c r="B671" s="5"/>
      <c r="C671" s="4"/>
      <c r="D671" s="4"/>
      <c r="E671" s="4"/>
    </row>
    <row r="672" spans="1:5">
      <c r="A672" s="4"/>
      <c r="B672" s="5"/>
      <c r="C672" s="4"/>
      <c r="D672" s="4"/>
      <c r="E672" s="4"/>
    </row>
    <row r="673" spans="1:5">
      <c r="A673" s="4"/>
      <c r="B673" s="5"/>
      <c r="C673" s="4"/>
      <c r="D673" s="4"/>
      <c r="E673" s="4"/>
    </row>
    <row r="674" spans="1:5">
      <c r="A674" s="4"/>
      <c r="B674" s="5"/>
      <c r="C674" s="4"/>
      <c r="D674" s="4"/>
      <c r="E674" s="4"/>
    </row>
    <row r="675" spans="1:5">
      <c r="A675" s="4"/>
      <c r="B675" s="5"/>
      <c r="C675" s="4"/>
      <c r="D675" s="4"/>
      <c r="E675" s="4"/>
    </row>
    <row r="676" spans="1:5">
      <c r="A676" s="4"/>
      <c r="B676" s="5"/>
      <c r="C676" s="4"/>
      <c r="D676" s="4"/>
      <c r="E676" s="4"/>
    </row>
    <row r="677" spans="1:5">
      <c r="A677" s="4"/>
      <c r="B677" s="5"/>
      <c r="C677" s="4"/>
      <c r="D677" s="4"/>
      <c r="E677" s="4"/>
    </row>
    <row r="678" spans="1:5">
      <c r="A678" s="4"/>
      <c r="B678" s="5"/>
      <c r="C678" s="4"/>
      <c r="D678" s="4"/>
      <c r="E678" s="4"/>
    </row>
    <row r="679" spans="1:5">
      <c r="A679" s="4"/>
      <c r="B679" s="5"/>
      <c r="C679" s="4"/>
      <c r="D679" s="4"/>
      <c r="E679" s="4"/>
    </row>
    <row r="680" spans="1:5">
      <c r="A680" s="4"/>
      <c r="B680" s="5"/>
      <c r="C680" s="4"/>
      <c r="D680" s="4"/>
      <c r="E680" s="4"/>
    </row>
    <row r="681" spans="1:5">
      <c r="A681" s="4"/>
      <c r="B681" s="5"/>
      <c r="C681" s="4"/>
      <c r="D681" s="4"/>
      <c r="E681" s="4"/>
    </row>
    <row r="682" spans="1:5">
      <c r="A682" s="4"/>
      <c r="B682" s="5"/>
      <c r="C682" s="4"/>
      <c r="D682" s="4"/>
      <c r="E682" s="4"/>
    </row>
    <row r="683" spans="1:5">
      <c r="A683" s="4"/>
      <c r="B683" s="5"/>
      <c r="C683" s="4"/>
      <c r="D683" s="4"/>
      <c r="E683" s="4"/>
    </row>
    <row r="684" spans="1:5">
      <c r="A684" s="4"/>
      <c r="B684" s="5"/>
      <c r="C684" s="4"/>
      <c r="D684" s="4"/>
      <c r="E684" s="4"/>
    </row>
    <row r="685" spans="1:5">
      <c r="A685" s="4"/>
      <c r="B685" s="5"/>
      <c r="C685" s="4"/>
      <c r="D685" s="4"/>
      <c r="E685" s="4"/>
    </row>
    <row r="686" spans="1:5">
      <c r="A686" s="4"/>
      <c r="B686" s="5"/>
      <c r="C686" s="4"/>
      <c r="D686" s="4"/>
      <c r="E686" s="4"/>
    </row>
    <row r="687" spans="1:5">
      <c r="A687" s="4"/>
      <c r="B687" s="5"/>
      <c r="C687" s="4"/>
      <c r="D687" s="4"/>
      <c r="E687" s="4"/>
    </row>
    <row r="688" spans="1:5">
      <c r="A688" s="4"/>
      <c r="B688" s="5"/>
      <c r="C688" s="4"/>
      <c r="D688" s="4"/>
      <c r="E688" s="4"/>
    </row>
    <row r="689" spans="1:5">
      <c r="A689" s="4"/>
      <c r="B689" s="5"/>
      <c r="C689" s="4"/>
      <c r="D689" s="4"/>
      <c r="E689" s="4"/>
    </row>
    <row r="690" spans="1:5">
      <c r="A690" s="4"/>
      <c r="B690" s="5"/>
      <c r="C690" s="4"/>
      <c r="D690" s="4"/>
      <c r="E690" s="4"/>
    </row>
    <row r="691" spans="1:5">
      <c r="A691" s="4"/>
      <c r="B691" s="5"/>
      <c r="C691" s="4"/>
      <c r="D691" s="4"/>
      <c r="E691" s="4"/>
    </row>
    <row r="692" spans="1:5">
      <c r="A692" s="4"/>
      <c r="B692" s="5"/>
      <c r="C692" s="4"/>
      <c r="D692" s="4"/>
      <c r="E692" s="4"/>
    </row>
    <row r="693" spans="1:5">
      <c r="A693" s="4"/>
      <c r="B693" s="5"/>
      <c r="C693" s="4"/>
      <c r="D693" s="4"/>
      <c r="E693" s="4"/>
    </row>
    <row r="694" spans="1:5">
      <c r="A694" s="4"/>
      <c r="B694" s="5"/>
      <c r="C694" s="4"/>
      <c r="D694" s="4"/>
      <c r="E694" s="4"/>
    </row>
    <row r="695" spans="1:5">
      <c r="A695" s="4"/>
      <c r="B695" s="5"/>
      <c r="C695" s="4"/>
      <c r="D695" s="4"/>
      <c r="E695" s="4"/>
    </row>
    <row r="696" spans="1:5">
      <c r="A696" s="4"/>
      <c r="B696" s="5"/>
      <c r="C696" s="4"/>
      <c r="D696" s="4"/>
      <c r="E696" s="4"/>
    </row>
    <row r="697" spans="1:5">
      <c r="A697" s="4"/>
      <c r="B697" s="5"/>
      <c r="C697" s="4"/>
      <c r="D697" s="4"/>
      <c r="E697" s="4"/>
    </row>
    <row r="698" spans="1:5">
      <c r="A698" s="4"/>
      <c r="B698" s="5"/>
      <c r="C698" s="4"/>
      <c r="D698" s="4"/>
      <c r="E698" s="4"/>
    </row>
    <row r="699" spans="1:5">
      <c r="A699" s="4"/>
      <c r="B699" s="5"/>
      <c r="C699" s="4"/>
      <c r="D699" s="4"/>
      <c r="E699" s="4"/>
    </row>
    <row r="700" spans="1:5">
      <c r="A700" s="4"/>
      <c r="B700" s="5"/>
      <c r="C700" s="4"/>
      <c r="D700" s="4"/>
      <c r="E700" s="4"/>
    </row>
    <row r="701" spans="1:5">
      <c r="A701" s="4"/>
      <c r="B701" s="5"/>
      <c r="C701" s="4"/>
      <c r="D701" s="4"/>
      <c r="E701" s="4"/>
    </row>
    <row r="702" spans="1:5">
      <c r="A702" s="4"/>
      <c r="B702" s="5"/>
      <c r="C702" s="4"/>
      <c r="D702" s="4"/>
      <c r="E702" s="4"/>
    </row>
    <row r="703" spans="1:5">
      <c r="A703" s="4"/>
      <c r="B703" s="5"/>
      <c r="C703" s="4"/>
      <c r="D703" s="4"/>
      <c r="E703" s="4"/>
    </row>
    <row r="704" spans="1:5">
      <c r="A704" s="4"/>
      <c r="B704" s="5"/>
      <c r="C704" s="4"/>
      <c r="D704" s="4"/>
      <c r="E704" s="4"/>
    </row>
    <row r="705" spans="1:5">
      <c r="A705" s="4"/>
      <c r="B705" s="5"/>
      <c r="C705" s="4"/>
      <c r="D705" s="4"/>
      <c r="E705" s="4"/>
    </row>
    <row r="706" spans="1:5">
      <c r="A706" s="4"/>
      <c r="B706" s="5"/>
      <c r="C706" s="4"/>
      <c r="D706" s="4"/>
      <c r="E706" s="4"/>
    </row>
    <row r="707" spans="1:5">
      <c r="A707" s="4"/>
      <c r="B707" s="5"/>
      <c r="C707" s="4"/>
      <c r="D707" s="4"/>
      <c r="E707" s="4"/>
    </row>
    <row r="708" spans="1:5">
      <c r="A708" s="4"/>
      <c r="B708" s="5"/>
      <c r="C708" s="4"/>
      <c r="D708" s="4"/>
      <c r="E708" s="4"/>
    </row>
    <row r="709" spans="1:5">
      <c r="A709" s="4"/>
      <c r="B709" s="5"/>
      <c r="C709" s="4"/>
      <c r="D709" s="4"/>
      <c r="E709" s="4"/>
    </row>
    <row r="710" spans="1:5">
      <c r="A710" s="4"/>
      <c r="B710" s="5"/>
      <c r="C710" s="4"/>
      <c r="D710" s="4"/>
      <c r="E710" s="4"/>
    </row>
    <row r="711" spans="1:5">
      <c r="A711" s="4"/>
      <c r="B711" s="5"/>
      <c r="C711" s="4"/>
      <c r="D711" s="4"/>
      <c r="E711" s="4"/>
    </row>
    <row r="712" spans="1:5">
      <c r="A712" s="4"/>
      <c r="B712" s="5"/>
      <c r="C712" s="4"/>
      <c r="D712" s="4"/>
      <c r="E712" s="4"/>
    </row>
    <row r="713" spans="1:5">
      <c r="A713" s="4"/>
      <c r="B713" s="5"/>
      <c r="C713" s="4"/>
      <c r="D713" s="4"/>
      <c r="E713" s="4"/>
    </row>
    <row r="714" spans="1:5">
      <c r="A714" s="4"/>
      <c r="B714" s="5"/>
      <c r="C714" s="4"/>
      <c r="D714" s="4"/>
      <c r="E714" s="4"/>
    </row>
  </sheetData>
  <autoFilter ref="A8:B33"/>
  <phoneticPr fontId="3" type="noConversion"/>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dimension ref="A2:B288"/>
  <sheetViews>
    <sheetView topLeftCell="A227" workbookViewId="0">
      <selection activeCell="N31" sqref="N31"/>
    </sheetView>
  </sheetViews>
  <sheetFormatPr defaultRowHeight="12.75"/>
  <cols>
    <col min="1" max="1" width="25.42578125" customWidth="1"/>
    <col min="2" max="2" width="63.28515625" customWidth="1"/>
  </cols>
  <sheetData>
    <row r="2" spans="1:2" ht="21">
      <c r="A2" s="230" t="s">
        <v>163</v>
      </c>
      <c r="B2" s="231" t="s">
        <v>569</v>
      </c>
    </row>
    <row r="3" spans="1:2" ht="21">
      <c r="A3" s="230" t="s">
        <v>571</v>
      </c>
      <c r="B3" s="231" t="s">
        <v>570</v>
      </c>
    </row>
    <row r="4" spans="1:2" ht="56.25">
      <c r="A4" s="232" t="s">
        <v>1038</v>
      </c>
      <c r="B4" s="233" t="s">
        <v>1039</v>
      </c>
    </row>
    <row r="5" spans="1:2" ht="67.5">
      <c r="A5" s="232" t="s">
        <v>951</v>
      </c>
      <c r="B5" s="233" t="s">
        <v>530</v>
      </c>
    </row>
    <row r="6" spans="1:2" ht="67.5">
      <c r="A6" s="232" t="s">
        <v>959</v>
      </c>
      <c r="B6" s="233" t="s">
        <v>533</v>
      </c>
    </row>
    <row r="7" spans="1:2" ht="67.5">
      <c r="A7" s="232" t="s">
        <v>963</v>
      </c>
      <c r="B7" s="233" t="s">
        <v>534</v>
      </c>
    </row>
    <row r="8" spans="1:2" ht="67.5">
      <c r="A8" s="232" t="s">
        <v>976</v>
      </c>
      <c r="B8" s="233" t="s">
        <v>537</v>
      </c>
    </row>
    <row r="9" spans="1:2" ht="78.75">
      <c r="A9" s="232" t="s">
        <v>952</v>
      </c>
      <c r="B9" s="233" t="s">
        <v>737</v>
      </c>
    </row>
    <row r="10" spans="1:2" ht="90">
      <c r="A10" s="232" t="s">
        <v>960</v>
      </c>
      <c r="B10" s="233" t="s">
        <v>535</v>
      </c>
    </row>
    <row r="11" spans="1:2" ht="90">
      <c r="A11" s="232" t="s">
        <v>964</v>
      </c>
      <c r="B11" s="233" t="s">
        <v>741</v>
      </c>
    </row>
    <row r="12" spans="1:2" ht="90">
      <c r="A12" s="232" t="s">
        <v>977</v>
      </c>
      <c r="B12" s="233" t="s">
        <v>538</v>
      </c>
    </row>
    <row r="13" spans="1:2" ht="78.75">
      <c r="A13" s="232" t="s">
        <v>1040</v>
      </c>
      <c r="B13" s="233" t="s">
        <v>1041</v>
      </c>
    </row>
    <row r="14" spans="1:2" ht="78.75">
      <c r="A14" s="232" t="s">
        <v>966</v>
      </c>
      <c r="B14" s="233" t="s">
        <v>659</v>
      </c>
    </row>
    <row r="15" spans="1:2" ht="78.75">
      <c r="A15" s="232" t="s">
        <v>1042</v>
      </c>
      <c r="B15" s="233" t="s">
        <v>1043</v>
      </c>
    </row>
    <row r="16" spans="1:2" ht="67.5">
      <c r="A16" s="232" t="s">
        <v>965</v>
      </c>
      <c r="B16" s="233" t="s">
        <v>742</v>
      </c>
    </row>
    <row r="17" spans="1:2" ht="67.5">
      <c r="A17" s="232" t="s">
        <v>953</v>
      </c>
      <c r="B17" s="233" t="s">
        <v>738</v>
      </c>
    </row>
    <row r="18" spans="1:2" ht="67.5">
      <c r="A18" s="232" t="s">
        <v>961</v>
      </c>
      <c r="B18" s="233" t="s">
        <v>743</v>
      </c>
    </row>
    <row r="19" spans="1:2" ht="67.5">
      <c r="A19" s="232" t="s">
        <v>968</v>
      </c>
      <c r="B19" s="233" t="s">
        <v>744</v>
      </c>
    </row>
    <row r="20" spans="1:2" ht="67.5">
      <c r="A20" s="232" t="s">
        <v>979</v>
      </c>
      <c r="B20" s="233" t="s">
        <v>978</v>
      </c>
    </row>
    <row r="21" spans="1:2" ht="67.5">
      <c r="A21" s="232" t="s">
        <v>954</v>
      </c>
      <c r="B21" s="233" t="s">
        <v>739</v>
      </c>
    </row>
    <row r="22" spans="1:2" ht="78.75">
      <c r="A22" s="232" t="s">
        <v>962</v>
      </c>
      <c r="B22" s="233" t="s">
        <v>745</v>
      </c>
    </row>
    <row r="23" spans="1:2" ht="67.5">
      <c r="A23" s="232" t="s">
        <v>969</v>
      </c>
      <c r="B23" s="233" t="s">
        <v>746</v>
      </c>
    </row>
    <row r="24" spans="1:2" ht="56.25">
      <c r="A24" s="232" t="s">
        <v>955</v>
      </c>
      <c r="B24" s="233" t="s">
        <v>740</v>
      </c>
    </row>
    <row r="25" spans="1:2" ht="67.5">
      <c r="A25" s="232" t="s">
        <v>967</v>
      </c>
      <c r="B25" s="233" t="s">
        <v>747</v>
      </c>
    </row>
    <row r="26" spans="1:2" ht="45">
      <c r="A26" s="232" t="s">
        <v>1044</v>
      </c>
      <c r="B26" s="233" t="s">
        <v>1045</v>
      </c>
    </row>
    <row r="27" spans="1:2" ht="56.25">
      <c r="A27" s="232" t="s">
        <v>1046</v>
      </c>
      <c r="B27" s="233" t="s">
        <v>1047</v>
      </c>
    </row>
    <row r="28" spans="1:2" ht="56.25">
      <c r="A28" s="232" t="s">
        <v>1048</v>
      </c>
      <c r="B28" s="233" t="s">
        <v>1049</v>
      </c>
    </row>
    <row r="29" spans="1:2" ht="90">
      <c r="A29" s="232" t="s">
        <v>994</v>
      </c>
      <c r="B29" s="233" t="s">
        <v>663</v>
      </c>
    </row>
    <row r="30" spans="1:2" ht="67.5">
      <c r="A30" s="232" t="s">
        <v>996</v>
      </c>
      <c r="B30" s="233" t="s">
        <v>544</v>
      </c>
    </row>
    <row r="31" spans="1:2" ht="67.5">
      <c r="A31" s="232" t="s">
        <v>1050</v>
      </c>
      <c r="B31" s="233" t="s">
        <v>1051</v>
      </c>
    </row>
    <row r="32" spans="1:2" ht="56.25">
      <c r="A32" s="232" t="s">
        <v>1052</v>
      </c>
      <c r="B32" s="233" t="s">
        <v>1053</v>
      </c>
    </row>
    <row r="33" spans="1:2" ht="90">
      <c r="A33" s="232" t="s">
        <v>956</v>
      </c>
      <c r="B33" s="233" t="s">
        <v>532</v>
      </c>
    </row>
    <row r="34" spans="1:2" ht="67.5">
      <c r="A34" s="232" t="s">
        <v>995</v>
      </c>
      <c r="B34" s="233" t="s">
        <v>542</v>
      </c>
    </row>
    <row r="35" spans="1:2" ht="67.5">
      <c r="A35" s="232" t="s">
        <v>1054</v>
      </c>
      <c r="B35" s="233" t="s">
        <v>1055</v>
      </c>
    </row>
    <row r="36" spans="1:2" ht="45">
      <c r="A36" s="232" t="s">
        <v>1056</v>
      </c>
      <c r="B36" s="233" t="s">
        <v>1057</v>
      </c>
    </row>
    <row r="37" spans="1:2" ht="78.75">
      <c r="A37" s="232" t="s">
        <v>948</v>
      </c>
      <c r="B37" s="233" t="s">
        <v>529</v>
      </c>
    </row>
    <row r="38" spans="1:2" ht="56.25">
      <c r="A38" s="232" t="s">
        <v>1058</v>
      </c>
      <c r="B38" s="233" t="s">
        <v>1059</v>
      </c>
    </row>
    <row r="39" spans="1:2" ht="45">
      <c r="A39" s="232" t="s">
        <v>1060</v>
      </c>
      <c r="B39" s="234" t="s">
        <v>1061</v>
      </c>
    </row>
    <row r="40" spans="1:2" ht="33.75">
      <c r="A40" s="232" t="s">
        <v>970</v>
      </c>
      <c r="B40" s="234" t="s">
        <v>531</v>
      </c>
    </row>
    <row r="41" spans="1:2" ht="33.75">
      <c r="A41" s="232" t="s">
        <v>985</v>
      </c>
      <c r="B41" s="234" t="s">
        <v>512</v>
      </c>
    </row>
    <row r="42" spans="1:2" ht="67.5">
      <c r="A42" s="232" t="s">
        <v>1062</v>
      </c>
      <c r="B42" s="233" t="s">
        <v>1063</v>
      </c>
    </row>
    <row r="43" spans="1:2" ht="56.25">
      <c r="A43" s="232" t="s">
        <v>1064</v>
      </c>
      <c r="B43" s="233" t="s">
        <v>775</v>
      </c>
    </row>
    <row r="44" spans="1:2" ht="56.25">
      <c r="A44" s="232" t="s">
        <v>1065</v>
      </c>
      <c r="B44" s="233" t="s">
        <v>1066</v>
      </c>
    </row>
    <row r="45" spans="1:2" ht="56.25">
      <c r="A45" s="232" t="s">
        <v>1067</v>
      </c>
      <c r="B45" s="233" t="s">
        <v>1068</v>
      </c>
    </row>
    <row r="46" spans="1:2" ht="67.5">
      <c r="A46" s="232" t="s">
        <v>1069</v>
      </c>
      <c r="B46" s="233" t="s">
        <v>1070</v>
      </c>
    </row>
    <row r="47" spans="1:2" ht="56.25">
      <c r="A47" s="232" t="s">
        <v>905</v>
      </c>
      <c r="B47" s="233" t="s">
        <v>635</v>
      </c>
    </row>
    <row r="48" spans="1:2" ht="33.75">
      <c r="A48" s="232" t="s">
        <v>972</v>
      </c>
      <c r="B48" s="234" t="s">
        <v>749</v>
      </c>
    </row>
    <row r="49" spans="1:2" ht="56.25">
      <c r="A49" s="232" t="s">
        <v>980</v>
      </c>
      <c r="B49" s="233" t="s">
        <v>539</v>
      </c>
    </row>
    <row r="50" spans="1:2" ht="56.25">
      <c r="A50" s="232" t="s">
        <v>981</v>
      </c>
      <c r="B50" s="233" t="s">
        <v>536</v>
      </c>
    </row>
    <row r="51" spans="1:2" ht="56.25">
      <c r="A51" s="232" t="s">
        <v>1071</v>
      </c>
      <c r="B51" s="233" t="s">
        <v>1072</v>
      </c>
    </row>
    <row r="52" spans="1:2" ht="21">
      <c r="A52" s="230" t="s">
        <v>573</v>
      </c>
      <c r="B52" s="231" t="s">
        <v>572</v>
      </c>
    </row>
    <row r="53" spans="1:2" ht="56.25">
      <c r="A53" s="232" t="s">
        <v>986</v>
      </c>
      <c r="B53" s="233" t="s">
        <v>541</v>
      </c>
    </row>
    <row r="54" spans="1:2" ht="21">
      <c r="A54" s="230" t="s">
        <v>575</v>
      </c>
      <c r="B54" s="231" t="s">
        <v>784</v>
      </c>
    </row>
    <row r="55" spans="1:2" ht="45">
      <c r="A55" s="232" t="s">
        <v>987</v>
      </c>
      <c r="B55" s="234" t="s">
        <v>778</v>
      </c>
    </row>
    <row r="56" spans="1:2" ht="67.5">
      <c r="A56" s="232" t="s">
        <v>988</v>
      </c>
      <c r="B56" s="233" t="s">
        <v>792</v>
      </c>
    </row>
    <row r="57" spans="1:2" ht="45">
      <c r="A57" s="232" t="s">
        <v>984</v>
      </c>
      <c r="B57" s="234" t="s">
        <v>776</v>
      </c>
    </row>
    <row r="58" spans="1:2" ht="45">
      <c r="A58" s="232" t="s">
        <v>1015</v>
      </c>
      <c r="B58" s="233" t="s">
        <v>777</v>
      </c>
    </row>
    <row r="59" spans="1:2" ht="21">
      <c r="A59" s="230" t="s">
        <v>271</v>
      </c>
      <c r="B59" s="231" t="s">
        <v>752</v>
      </c>
    </row>
    <row r="60" spans="1:2">
      <c r="A60" s="230" t="s">
        <v>1017</v>
      </c>
      <c r="B60" s="231" t="s">
        <v>754</v>
      </c>
    </row>
    <row r="61" spans="1:2" ht="45">
      <c r="A61" s="232" t="s">
        <v>907</v>
      </c>
      <c r="B61" s="234" t="s">
        <v>729</v>
      </c>
    </row>
    <row r="62" spans="1:2" ht="42">
      <c r="A62" s="230" t="s">
        <v>1018</v>
      </c>
      <c r="B62" s="231" t="s">
        <v>755</v>
      </c>
    </row>
    <row r="63" spans="1:2" ht="78.75">
      <c r="A63" s="232" t="s">
        <v>910</v>
      </c>
      <c r="B63" s="233" t="s">
        <v>730</v>
      </c>
    </row>
    <row r="64" spans="1:2">
      <c r="A64" s="230" t="s">
        <v>1073</v>
      </c>
      <c r="B64" s="231" t="s">
        <v>1074</v>
      </c>
    </row>
    <row r="65" spans="1:2" ht="101.25">
      <c r="A65" s="232" t="s">
        <v>1075</v>
      </c>
      <c r="B65" s="233" t="s">
        <v>1076</v>
      </c>
    </row>
    <row r="66" spans="1:2" ht="45">
      <c r="A66" s="232" t="s">
        <v>1077</v>
      </c>
      <c r="B66" s="234" t="s">
        <v>1078</v>
      </c>
    </row>
    <row r="67" spans="1:2" ht="112.5">
      <c r="A67" s="232" t="s">
        <v>1079</v>
      </c>
      <c r="B67" s="233" t="s">
        <v>1080</v>
      </c>
    </row>
    <row r="68" spans="1:2" ht="31.5">
      <c r="A68" s="230" t="s">
        <v>283</v>
      </c>
      <c r="B68" s="231" t="s">
        <v>579</v>
      </c>
    </row>
    <row r="69" spans="1:2" ht="21">
      <c r="A69" s="230" t="s">
        <v>1032</v>
      </c>
      <c r="B69" s="231" t="s">
        <v>1031</v>
      </c>
    </row>
    <row r="70" spans="1:2" ht="123.75">
      <c r="A70" s="232" t="s">
        <v>1081</v>
      </c>
      <c r="B70" s="233" t="s">
        <v>1082</v>
      </c>
    </row>
    <row r="71" spans="1:2" ht="123.75">
      <c r="A71" s="232" t="s">
        <v>1013</v>
      </c>
      <c r="B71" s="233" t="s">
        <v>634</v>
      </c>
    </row>
    <row r="72" spans="1:2" ht="21">
      <c r="A72" s="230" t="s">
        <v>580</v>
      </c>
      <c r="B72" s="231" t="s">
        <v>756</v>
      </c>
    </row>
    <row r="73" spans="1:2" ht="78.75">
      <c r="A73" s="232" t="s">
        <v>888</v>
      </c>
      <c r="B73" s="233" t="s">
        <v>727</v>
      </c>
    </row>
    <row r="74" spans="1:2" ht="90">
      <c r="A74" s="232" t="s">
        <v>887</v>
      </c>
      <c r="B74" s="233" t="s">
        <v>631</v>
      </c>
    </row>
    <row r="75" spans="1:2" ht="31.5">
      <c r="A75" s="230" t="s">
        <v>672</v>
      </c>
      <c r="B75" s="231" t="s">
        <v>757</v>
      </c>
    </row>
    <row r="76" spans="1:2" ht="56.25">
      <c r="A76" s="232" t="s">
        <v>946</v>
      </c>
      <c r="B76" s="233" t="s">
        <v>658</v>
      </c>
    </row>
    <row r="77" spans="1:2" ht="21">
      <c r="A77" s="230" t="s">
        <v>582</v>
      </c>
      <c r="B77" s="231" t="s">
        <v>581</v>
      </c>
    </row>
    <row r="78" spans="1:2" ht="45">
      <c r="A78" s="232" t="s">
        <v>974</v>
      </c>
      <c r="B78" s="233" t="s">
        <v>516</v>
      </c>
    </row>
    <row r="79" spans="1:2" ht="31.5">
      <c r="A79" s="230" t="s">
        <v>1019</v>
      </c>
      <c r="B79" s="231" t="s">
        <v>758</v>
      </c>
    </row>
    <row r="80" spans="1:2" ht="56.25">
      <c r="A80" s="232" t="s">
        <v>1083</v>
      </c>
      <c r="B80" s="233" t="s">
        <v>1084</v>
      </c>
    </row>
    <row r="81" spans="1:2" ht="56.25">
      <c r="A81" s="232" t="s">
        <v>902</v>
      </c>
      <c r="B81" s="233" t="s">
        <v>505</v>
      </c>
    </row>
    <row r="82" spans="1:2" ht="67.5">
      <c r="A82" s="232" t="s">
        <v>1085</v>
      </c>
      <c r="B82" s="233" t="s">
        <v>1086</v>
      </c>
    </row>
    <row r="83" spans="1:2" ht="21">
      <c r="A83" s="230" t="s">
        <v>1034</v>
      </c>
      <c r="B83" s="231" t="s">
        <v>1033</v>
      </c>
    </row>
    <row r="84" spans="1:2" ht="56.25">
      <c r="A84" s="232" t="s">
        <v>1087</v>
      </c>
      <c r="B84" s="233" t="s">
        <v>1037</v>
      </c>
    </row>
    <row r="85" spans="1:2" ht="45">
      <c r="A85" s="232" t="s">
        <v>1088</v>
      </c>
      <c r="B85" s="234" t="s">
        <v>1089</v>
      </c>
    </row>
    <row r="86" spans="1:2" ht="56.25">
      <c r="A86" s="232" t="s">
        <v>1090</v>
      </c>
      <c r="B86" s="233" t="s">
        <v>1091</v>
      </c>
    </row>
    <row r="87" spans="1:2" ht="31.5">
      <c r="A87" s="230" t="s">
        <v>285</v>
      </c>
      <c r="B87" s="231" t="s">
        <v>583</v>
      </c>
    </row>
    <row r="88" spans="1:2" ht="42">
      <c r="A88" s="230" t="s">
        <v>585</v>
      </c>
      <c r="B88" s="231" t="s">
        <v>584</v>
      </c>
    </row>
    <row r="89" spans="1:2" ht="78.75">
      <c r="A89" s="232" t="s">
        <v>865</v>
      </c>
      <c r="B89" s="233" t="s">
        <v>459</v>
      </c>
    </row>
    <row r="90" spans="1:2" ht="90">
      <c r="A90" s="232" t="s">
        <v>866</v>
      </c>
      <c r="B90" s="233" t="s">
        <v>797</v>
      </c>
    </row>
    <row r="91" spans="1:2" ht="67.5">
      <c r="A91" s="232" t="s">
        <v>876</v>
      </c>
      <c r="B91" s="233" t="s">
        <v>469</v>
      </c>
    </row>
    <row r="92" spans="1:2" ht="21">
      <c r="A92" s="230" t="s">
        <v>587</v>
      </c>
      <c r="B92" s="231" t="s">
        <v>586</v>
      </c>
    </row>
    <row r="93" spans="1:2" ht="56.25">
      <c r="A93" s="232" t="s">
        <v>870</v>
      </c>
      <c r="B93" s="233" t="s">
        <v>467</v>
      </c>
    </row>
    <row r="94" spans="1:2" ht="56.25">
      <c r="A94" s="232" t="s">
        <v>871</v>
      </c>
      <c r="B94" s="233" t="s">
        <v>468</v>
      </c>
    </row>
    <row r="95" spans="1:2" ht="56.25">
      <c r="A95" s="232" t="s">
        <v>854</v>
      </c>
      <c r="B95" s="233" t="s">
        <v>451</v>
      </c>
    </row>
    <row r="96" spans="1:2" ht="52.5">
      <c r="A96" s="230" t="s">
        <v>1092</v>
      </c>
      <c r="B96" s="235" t="s">
        <v>1093</v>
      </c>
    </row>
    <row r="97" spans="1:2" ht="45">
      <c r="A97" s="232" t="s">
        <v>1092</v>
      </c>
      <c r="B97" s="233" t="s">
        <v>1093</v>
      </c>
    </row>
    <row r="98" spans="1:2" ht="63">
      <c r="A98" s="230" t="s">
        <v>1094</v>
      </c>
      <c r="B98" s="235" t="s">
        <v>1095</v>
      </c>
    </row>
    <row r="99" spans="1:2" ht="56.25">
      <c r="A99" s="232" t="s">
        <v>1094</v>
      </c>
      <c r="B99" s="233" t="s">
        <v>1095</v>
      </c>
    </row>
    <row r="100" spans="1:2">
      <c r="A100" s="230" t="s">
        <v>275</v>
      </c>
      <c r="B100" s="231" t="s">
        <v>588</v>
      </c>
    </row>
    <row r="101" spans="1:2">
      <c r="A101" s="230" t="s">
        <v>590</v>
      </c>
      <c r="B101" s="231" t="s">
        <v>589</v>
      </c>
    </row>
    <row r="102" spans="1:2" ht="63">
      <c r="A102" s="230" t="s">
        <v>917</v>
      </c>
      <c r="B102" s="235" t="s">
        <v>517</v>
      </c>
    </row>
    <row r="103" spans="1:2" ht="56.25">
      <c r="A103" s="232" t="s">
        <v>917</v>
      </c>
      <c r="B103" s="233" t="s">
        <v>517</v>
      </c>
    </row>
    <row r="104" spans="1:2" ht="67.5">
      <c r="A104" s="232" t="s">
        <v>918</v>
      </c>
      <c r="B104" s="233" t="s">
        <v>518</v>
      </c>
    </row>
    <row r="105" spans="1:2" ht="56.25">
      <c r="A105" s="232" t="s">
        <v>920</v>
      </c>
      <c r="B105" s="233" t="s">
        <v>733</v>
      </c>
    </row>
    <row r="106" spans="1:2" ht="45">
      <c r="A106" s="232" t="s">
        <v>1096</v>
      </c>
      <c r="B106" s="234" t="s">
        <v>1097</v>
      </c>
    </row>
    <row r="107" spans="1:2" ht="33.75">
      <c r="A107" s="232" t="s">
        <v>1098</v>
      </c>
      <c r="B107" s="234" t="s">
        <v>1099</v>
      </c>
    </row>
    <row r="108" spans="1:2" ht="33.75">
      <c r="A108" s="232" t="s">
        <v>926</v>
      </c>
      <c r="B108" s="234" t="s">
        <v>520</v>
      </c>
    </row>
    <row r="109" spans="1:2" ht="56.25">
      <c r="A109" s="232" t="s">
        <v>1100</v>
      </c>
      <c r="B109" s="233" t="s">
        <v>1101</v>
      </c>
    </row>
    <row r="110" spans="1:2" ht="33.75">
      <c r="A110" s="232" t="s">
        <v>928</v>
      </c>
      <c r="B110" s="234" t="s">
        <v>786</v>
      </c>
    </row>
    <row r="111" spans="1:2" ht="33.75">
      <c r="A111" s="232" t="s">
        <v>922</v>
      </c>
      <c r="B111" s="234" t="s">
        <v>519</v>
      </c>
    </row>
    <row r="112" spans="1:2" ht="67.5">
      <c r="A112" s="232" t="s">
        <v>923</v>
      </c>
      <c r="B112" s="233" t="s">
        <v>798</v>
      </c>
    </row>
    <row r="113" spans="1:2">
      <c r="A113" s="230" t="s">
        <v>591</v>
      </c>
      <c r="B113" s="231" t="s">
        <v>759</v>
      </c>
    </row>
    <row r="114" spans="1:2" ht="56.25">
      <c r="A114" s="232" t="s">
        <v>929</v>
      </c>
      <c r="B114" s="233" t="s">
        <v>645</v>
      </c>
    </row>
    <row r="115" spans="1:2" ht="78.75">
      <c r="A115" s="232" t="s">
        <v>930</v>
      </c>
      <c r="B115" s="233" t="s">
        <v>646</v>
      </c>
    </row>
    <row r="116" spans="1:2" ht="56.25">
      <c r="A116" s="232" t="s">
        <v>933</v>
      </c>
      <c r="B116" s="233" t="s">
        <v>735</v>
      </c>
    </row>
    <row r="117" spans="1:2" ht="33.75">
      <c r="A117" s="232" t="s">
        <v>911</v>
      </c>
      <c r="B117" s="234" t="s">
        <v>637</v>
      </c>
    </row>
    <row r="118" spans="1:2" ht="45">
      <c r="A118" s="232" t="s">
        <v>934</v>
      </c>
      <c r="B118" s="234" t="s">
        <v>649</v>
      </c>
    </row>
    <row r="119" spans="1:2" ht="33.75">
      <c r="A119" s="232" t="s">
        <v>1102</v>
      </c>
      <c r="B119" s="234" t="s">
        <v>1103</v>
      </c>
    </row>
    <row r="120" spans="1:2" ht="78.75">
      <c r="A120" s="232" t="s">
        <v>935</v>
      </c>
      <c r="B120" s="233" t="s">
        <v>650</v>
      </c>
    </row>
    <row r="121" spans="1:2" ht="21">
      <c r="A121" s="230" t="s">
        <v>592</v>
      </c>
      <c r="B121" s="231" t="s">
        <v>760</v>
      </c>
    </row>
    <row r="122" spans="1:2" ht="67.5">
      <c r="A122" s="232" t="s">
        <v>912</v>
      </c>
      <c r="B122" s="233" t="s">
        <v>638</v>
      </c>
    </row>
    <row r="123" spans="1:2" ht="78.75">
      <c r="A123" s="232" t="s">
        <v>913</v>
      </c>
      <c r="B123" s="233" t="s">
        <v>639</v>
      </c>
    </row>
    <row r="124" spans="1:2" ht="67.5">
      <c r="A124" s="232" t="s">
        <v>914</v>
      </c>
      <c r="B124" s="233" t="s">
        <v>731</v>
      </c>
    </row>
    <row r="125" spans="1:2" ht="56.25">
      <c r="A125" s="232" t="s">
        <v>915</v>
      </c>
      <c r="B125" s="233" t="s">
        <v>640</v>
      </c>
    </row>
    <row r="126" spans="1:2" ht="56.25">
      <c r="A126" s="232" t="s">
        <v>916</v>
      </c>
      <c r="B126" s="233" t="s">
        <v>732</v>
      </c>
    </row>
    <row r="127" spans="1:2" ht="56.25">
      <c r="A127" s="232" t="s">
        <v>942</v>
      </c>
      <c r="B127" s="233" t="s">
        <v>655</v>
      </c>
    </row>
    <row r="128" spans="1:2" ht="45">
      <c r="A128" s="232" t="s">
        <v>1104</v>
      </c>
      <c r="B128" s="234" t="s">
        <v>1105</v>
      </c>
    </row>
    <row r="129" spans="1:2" ht="56.25">
      <c r="A129" s="232" t="s">
        <v>1106</v>
      </c>
      <c r="B129" s="233" t="s">
        <v>1107</v>
      </c>
    </row>
    <row r="130" spans="1:2" ht="45">
      <c r="A130" s="232" t="s">
        <v>1108</v>
      </c>
      <c r="B130" s="234" t="s">
        <v>1109</v>
      </c>
    </row>
    <row r="131" spans="1:2" ht="33.75">
      <c r="A131" s="232" t="s">
        <v>1110</v>
      </c>
      <c r="B131" s="234" t="s">
        <v>1111</v>
      </c>
    </row>
    <row r="132" spans="1:2" ht="67.5">
      <c r="A132" s="232" t="s">
        <v>1112</v>
      </c>
      <c r="B132" s="233" t="s">
        <v>653</v>
      </c>
    </row>
    <row r="133" spans="1:2" ht="45">
      <c r="A133" s="232" t="s">
        <v>940</v>
      </c>
      <c r="B133" s="234" t="s">
        <v>641</v>
      </c>
    </row>
    <row r="134" spans="1:2" ht="56.25">
      <c r="A134" s="232" t="s">
        <v>941</v>
      </c>
      <c r="B134" s="233" t="s">
        <v>654</v>
      </c>
    </row>
    <row r="135" spans="1:2">
      <c r="A135" s="230" t="s">
        <v>276</v>
      </c>
      <c r="B135" s="231" t="s">
        <v>593</v>
      </c>
    </row>
    <row r="136" spans="1:2" ht="21">
      <c r="A136" s="230" t="s">
        <v>595</v>
      </c>
      <c r="B136" s="231" t="s">
        <v>594</v>
      </c>
    </row>
    <row r="137" spans="1:2" ht="45">
      <c r="A137" s="232" t="s">
        <v>1008</v>
      </c>
      <c r="B137" s="234" t="s">
        <v>556</v>
      </c>
    </row>
    <row r="138" spans="1:2" ht="21">
      <c r="A138" s="230" t="s">
        <v>599</v>
      </c>
      <c r="B138" s="231" t="s">
        <v>598</v>
      </c>
    </row>
    <row r="139" spans="1:2" ht="45">
      <c r="A139" s="232" t="s">
        <v>1113</v>
      </c>
      <c r="B139" s="234" t="s">
        <v>1114</v>
      </c>
    </row>
    <row r="140" spans="1:2" ht="33.75">
      <c r="A140" s="232" t="s">
        <v>1115</v>
      </c>
      <c r="B140" s="234" t="s">
        <v>1116</v>
      </c>
    </row>
    <row r="141" spans="1:2" ht="21">
      <c r="A141" s="230" t="s">
        <v>600</v>
      </c>
      <c r="B141" s="231" t="s">
        <v>574</v>
      </c>
    </row>
    <row r="142" spans="1:2" ht="56.25">
      <c r="A142" s="232" t="s">
        <v>894</v>
      </c>
      <c r="B142" s="233" t="s">
        <v>489</v>
      </c>
    </row>
    <row r="143" spans="1:2" ht="78.75">
      <c r="A143" s="232" t="s">
        <v>895</v>
      </c>
      <c r="B143" s="233" t="s">
        <v>490</v>
      </c>
    </row>
    <row r="144" spans="1:2" ht="56.25">
      <c r="A144" s="232" t="s">
        <v>1117</v>
      </c>
      <c r="B144" s="233" t="s">
        <v>1118</v>
      </c>
    </row>
    <row r="145" spans="1:2" ht="45">
      <c r="A145" s="232" t="s">
        <v>897</v>
      </c>
      <c r="B145" s="234" t="s">
        <v>500</v>
      </c>
    </row>
    <row r="146" spans="1:2" ht="45">
      <c r="A146" s="232" t="s">
        <v>898</v>
      </c>
      <c r="B146" s="234" t="s">
        <v>501</v>
      </c>
    </row>
    <row r="147" spans="1:2" ht="31.5">
      <c r="A147" s="230" t="s">
        <v>39</v>
      </c>
      <c r="B147" s="231" t="s">
        <v>606</v>
      </c>
    </row>
    <row r="148" spans="1:2" ht="21">
      <c r="A148" s="230" t="s">
        <v>608</v>
      </c>
      <c r="B148" s="231" t="s">
        <v>607</v>
      </c>
    </row>
    <row r="149" spans="1:2" ht="67.5">
      <c r="A149" s="232" t="s">
        <v>1119</v>
      </c>
      <c r="B149" s="233" t="s">
        <v>1120</v>
      </c>
    </row>
    <row r="150" spans="1:2" ht="21">
      <c r="A150" s="230" t="s">
        <v>34</v>
      </c>
      <c r="B150" s="231" t="s">
        <v>610</v>
      </c>
    </row>
    <row r="151" spans="1:2">
      <c r="A151" s="230" t="s">
        <v>612</v>
      </c>
      <c r="B151" s="231" t="s">
        <v>611</v>
      </c>
    </row>
    <row r="152" spans="1:2" ht="56.25">
      <c r="A152" s="232" t="s">
        <v>1121</v>
      </c>
      <c r="B152" s="233" t="s">
        <v>1122</v>
      </c>
    </row>
    <row r="153" spans="1:2" ht="67.5">
      <c r="A153" s="232" t="s">
        <v>1123</v>
      </c>
      <c r="B153" s="233" t="s">
        <v>1124</v>
      </c>
    </row>
    <row r="154" spans="1:2" ht="33.75">
      <c r="A154" s="232" t="s">
        <v>880</v>
      </c>
      <c r="B154" s="234" t="s">
        <v>477</v>
      </c>
    </row>
    <row r="155" spans="1:2" ht="21">
      <c r="A155" s="230" t="s">
        <v>616</v>
      </c>
      <c r="B155" s="231" t="s">
        <v>615</v>
      </c>
    </row>
    <row r="156" spans="1:2" ht="33.75">
      <c r="A156" s="232" t="s">
        <v>975</v>
      </c>
      <c r="B156" s="234" t="s">
        <v>527</v>
      </c>
    </row>
    <row r="157" spans="1:2" ht="21">
      <c r="A157" s="230" t="s">
        <v>237</v>
      </c>
      <c r="B157" s="231" t="s">
        <v>761</v>
      </c>
    </row>
    <row r="158" spans="1:2" ht="21">
      <c r="A158" s="230" t="s">
        <v>1125</v>
      </c>
      <c r="B158" s="231" t="s">
        <v>1126</v>
      </c>
    </row>
    <row r="159" spans="1:2" ht="56.25">
      <c r="A159" s="232" t="s">
        <v>1127</v>
      </c>
      <c r="B159" s="233" t="s">
        <v>1128</v>
      </c>
    </row>
    <row r="160" spans="1:2" ht="21">
      <c r="A160" s="230" t="s">
        <v>1129</v>
      </c>
      <c r="B160" s="231" t="s">
        <v>1130</v>
      </c>
    </row>
    <row r="161" spans="1:2" ht="90">
      <c r="A161" s="232" t="s">
        <v>1131</v>
      </c>
      <c r="B161" s="233" t="s">
        <v>1132</v>
      </c>
    </row>
    <row r="162" spans="1:2" ht="45">
      <c r="A162" s="232" t="s">
        <v>1133</v>
      </c>
      <c r="B162" s="234" t="s">
        <v>1134</v>
      </c>
    </row>
    <row r="163" spans="1:2" ht="101.25">
      <c r="A163" s="232" t="s">
        <v>1135</v>
      </c>
      <c r="B163" s="233" t="s">
        <v>1136</v>
      </c>
    </row>
    <row r="164" spans="1:2" ht="21">
      <c r="A164" s="230" t="s">
        <v>617</v>
      </c>
      <c r="B164" s="231" t="s">
        <v>762</v>
      </c>
    </row>
    <row r="165" spans="1:2" ht="45">
      <c r="A165" s="232" t="s">
        <v>945</v>
      </c>
      <c r="B165" s="234" t="s">
        <v>657</v>
      </c>
    </row>
    <row r="166" spans="1:2">
      <c r="A166" s="230" t="s">
        <v>35</v>
      </c>
      <c r="B166" s="231" t="s">
        <v>618</v>
      </c>
    </row>
    <row r="167" spans="1:2" ht="31.5">
      <c r="A167" s="230" t="s">
        <v>460</v>
      </c>
      <c r="B167" s="231" t="s">
        <v>763</v>
      </c>
    </row>
    <row r="168" spans="1:2" ht="90">
      <c r="A168" s="232" t="s">
        <v>1137</v>
      </c>
      <c r="B168" s="233" t="s">
        <v>1138</v>
      </c>
    </row>
    <row r="169" spans="1:2" ht="67.5">
      <c r="A169" s="232" t="s">
        <v>1139</v>
      </c>
      <c r="B169" s="233" t="s">
        <v>1140</v>
      </c>
    </row>
    <row r="170" spans="1:2" ht="67.5">
      <c r="A170" s="232" t="s">
        <v>1005</v>
      </c>
      <c r="B170" s="233" t="s">
        <v>667</v>
      </c>
    </row>
    <row r="171" spans="1:2" ht="67.5">
      <c r="A171" s="232" t="s">
        <v>1003</v>
      </c>
      <c r="B171" s="233" t="s">
        <v>666</v>
      </c>
    </row>
    <row r="172" spans="1:2" ht="56.25">
      <c r="A172" s="232" t="s">
        <v>1141</v>
      </c>
      <c r="B172" s="233" t="s">
        <v>1142</v>
      </c>
    </row>
    <row r="173" spans="1:2" ht="56.25">
      <c r="A173" s="232" t="s">
        <v>1012</v>
      </c>
      <c r="B173" s="233" t="s">
        <v>670</v>
      </c>
    </row>
    <row r="174" spans="1:2">
      <c r="A174" s="230" t="s">
        <v>509</v>
      </c>
      <c r="B174" s="231" t="s">
        <v>619</v>
      </c>
    </row>
    <row r="175" spans="1:2" ht="45">
      <c r="A175" s="232" t="s">
        <v>997</v>
      </c>
      <c r="B175" s="234" t="s">
        <v>545</v>
      </c>
    </row>
    <row r="176" spans="1:2" ht="56.25">
      <c r="A176" s="232" t="s">
        <v>998</v>
      </c>
      <c r="B176" s="233" t="s">
        <v>664</v>
      </c>
    </row>
    <row r="177" spans="1:2" ht="56.25">
      <c r="A177" s="232" t="s">
        <v>999</v>
      </c>
      <c r="B177" s="233" t="s">
        <v>750</v>
      </c>
    </row>
    <row r="178" spans="1:2" ht="45">
      <c r="A178" s="232" t="s">
        <v>1143</v>
      </c>
      <c r="B178" s="233" t="s">
        <v>1144</v>
      </c>
    </row>
    <row r="179" spans="1:2" ht="33.75">
      <c r="A179" s="232" t="s">
        <v>1000</v>
      </c>
      <c r="B179" s="234" t="s">
        <v>751</v>
      </c>
    </row>
    <row r="180" spans="1:2" ht="45">
      <c r="A180" s="232" t="s">
        <v>1001</v>
      </c>
      <c r="B180" s="234" t="s">
        <v>665</v>
      </c>
    </row>
    <row r="181" spans="1:2" ht="21">
      <c r="A181" s="230" t="s">
        <v>244</v>
      </c>
      <c r="B181" s="231" t="s">
        <v>620</v>
      </c>
    </row>
    <row r="182" spans="1:2">
      <c r="A182" s="230" t="s">
        <v>440</v>
      </c>
      <c r="B182" s="231" t="s">
        <v>621</v>
      </c>
    </row>
    <row r="183" spans="1:2" ht="67.5">
      <c r="A183" s="232" t="s">
        <v>877</v>
      </c>
      <c r="B183" s="233" t="s">
        <v>471</v>
      </c>
    </row>
    <row r="184" spans="1:2" ht="56.25">
      <c r="A184" s="232" t="s">
        <v>1145</v>
      </c>
      <c r="B184" s="233" t="s">
        <v>1146</v>
      </c>
    </row>
    <row r="185" spans="1:2">
      <c r="A185" s="230" t="s">
        <v>442</v>
      </c>
      <c r="B185" s="231" t="s">
        <v>622</v>
      </c>
    </row>
    <row r="186" spans="1:2" ht="33.75">
      <c r="A186" s="232" t="s">
        <v>1147</v>
      </c>
      <c r="B186" s="234" t="s">
        <v>1148</v>
      </c>
    </row>
    <row r="187" spans="1:2" ht="45">
      <c r="A187" s="232" t="s">
        <v>886</v>
      </c>
      <c r="B187" s="233" t="s">
        <v>481</v>
      </c>
    </row>
    <row r="188" spans="1:2" ht="21">
      <c r="A188" s="230" t="s">
        <v>623</v>
      </c>
      <c r="B188" s="231" t="s">
        <v>574</v>
      </c>
    </row>
    <row r="189" spans="1:2" ht="56.25">
      <c r="A189" s="232" t="s">
        <v>878</v>
      </c>
      <c r="B189" s="233" t="s">
        <v>473</v>
      </c>
    </row>
    <row r="190" spans="1:2" ht="21">
      <c r="A190" s="230" t="s">
        <v>1020</v>
      </c>
      <c r="B190" s="231" t="s">
        <v>764</v>
      </c>
    </row>
    <row r="191" spans="1:2" ht="31.5">
      <c r="A191" s="230" t="s">
        <v>217</v>
      </c>
      <c r="B191" s="231" t="s">
        <v>439</v>
      </c>
    </row>
    <row r="192" spans="1:2" ht="22.5">
      <c r="A192" s="232" t="s">
        <v>853</v>
      </c>
      <c r="B192" s="234" t="s">
        <v>439</v>
      </c>
    </row>
    <row r="193" spans="1:2" ht="21">
      <c r="A193" s="230" t="s">
        <v>218</v>
      </c>
      <c r="B193" s="231" t="s">
        <v>765</v>
      </c>
    </row>
    <row r="194" spans="1:2" ht="22.5">
      <c r="A194" s="232" t="s">
        <v>847</v>
      </c>
      <c r="B194" s="234" t="s">
        <v>444</v>
      </c>
    </row>
    <row r="195" spans="1:2" ht="45">
      <c r="A195" s="232" t="s">
        <v>857</v>
      </c>
      <c r="B195" s="234" t="s">
        <v>725</v>
      </c>
    </row>
    <row r="196" spans="1:2" ht="33.75">
      <c r="A196" s="232" t="s">
        <v>848</v>
      </c>
      <c r="B196" s="234" t="s">
        <v>723</v>
      </c>
    </row>
    <row r="197" spans="1:2" ht="33.75">
      <c r="A197" s="232" t="s">
        <v>858</v>
      </c>
      <c r="B197" s="234" t="s">
        <v>726</v>
      </c>
    </row>
    <row r="198" spans="1:2" ht="45">
      <c r="A198" s="232" t="s">
        <v>862</v>
      </c>
      <c r="B198" s="234" t="s">
        <v>671</v>
      </c>
    </row>
    <row r="199" spans="1:2" ht="45">
      <c r="A199" s="232" t="s">
        <v>855</v>
      </c>
      <c r="B199" s="234" t="s">
        <v>452</v>
      </c>
    </row>
    <row r="200" spans="1:2" ht="22.5">
      <c r="A200" s="232" t="s">
        <v>863</v>
      </c>
      <c r="B200" s="234" t="s">
        <v>455</v>
      </c>
    </row>
    <row r="201" spans="1:2" ht="33.75">
      <c r="A201" s="232" t="s">
        <v>856</v>
      </c>
      <c r="B201" s="234" t="s">
        <v>453</v>
      </c>
    </row>
    <row r="202" spans="1:2" ht="123.75">
      <c r="A202" s="232" t="s">
        <v>859</v>
      </c>
      <c r="B202" s="233" t="s">
        <v>627</v>
      </c>
    </row>
    <row r="203" spans="1:2" ht="22.5">
      <c r="A203" s="232" t="s">
        <v>1149</v>
      </c>
      <c r="B203" s="234" t="s">
        <v>1150</v>
      </c>
    </row>
    <row r="204" spans="1:2" ht="31.5">
      <c r="A204" s="230" t="s">
        <v>1022</v>
      </c>
      <c r="B204" s="231" t="s">
        <v>449</v>
      </c>
    </row>
    <row r="205" spans="1:2" ht="45">
      <c r="A205" s="232" t="s">
        <v>852</v>
      </c>
      <c r="B205" s="234" t="s">
        <v>724</v>
      </c>
    </row>
    <row r="206" spans="1:2" ht="42">
      <c r="A206" s="230" t="s">
        <v>1151</v>
      </c>
      <c r="B206" s="231" t="s">
        <v>1152</v>
      </c>
    </row>
    <row r="207" spans="1:2" ht="33.75">
      <c r="A207" s="232" t="s">
        <v>1153</v>
      </c>
      <c r="B207" s="234" t="s">
        <v>1152</v>
      </c>
    </row>
    <row r="208" spans="1:2" ht="45">
      <c r="A208" s="232" t="s">
        <v>1154</v>
      </c>
      <c r="B208" s="234" t="s">
        <v>1155</v>
      </c>
    </row>
    <row r="209" spans="1:2">
      <c r="A209" s="230" t="s">
        <v>1023</v>
      </c>
      <c r="B209" s="231" t="s">
        <v>766</v>
      </c>
    </row>
    <row r="210" spans="1:2" ht="21">
      <c r="A210" s="230" t="s">
        <v>1024</v>
      </c>
      <c r="B210" s="231" t="s">
        <v>547</v>
      </c>
    </row>
    <row r="211" spans="1:2" ht="22.5">
      <c r="A211" s="232" t="s">
        <v>1002</v>
      </c>
      <c r="B211" s="234" t="s">
        <v>547</v>
      </c>
    </row>
    <row r="212" spans="1:2" ht="21">
      <c r="A212" s="230" t="s">
        <v>1025</v>
      </c>
      <c r="B212" s="231" t="s">
        <v>628</v>
      </c>
    </row>
    <row r="213" spans="1:2" ht="22.5">
      <c r="A213" s="232" t="s">
        <v>861</v>
      </c>
      <c r="B213" s="234" t="s">
        <v>628</v>
      </c>
    </row>
    <row r="214" spans="1:2" ht="42">
      <c r="A214" s="230" t="s">
        <v>1026</v>
      </c>
      <c r="B214" s="231" t="s">
        <v>564</v>
      </c>
    </row>
    <row r="215" spans="1:2" ht="33.75">
      <c r="A215" s="232" t="s">
        <v>860</v>
      </c>
      <c r="B215" s="234" t="s">
        <v>564</v>
      </c>
    </row>
    <row r="216" spans="1:2" ht="21">
      <c r="A216" s="230" t="s">
        <v>1027</v>
      </c>
      <c r="B216" s="231" t="s">
        <v>508</v>
      </c>
    </row>
    <row r="217" spans="1:2" ht="22.5">
      <c r="A217" s="232" t="s">
        <v>903</v>
      </c>
      <c r="B217" s="234" t="s">
        <v>508</v>
      </c>
    </row>
    <row r="218" spans="1:2" ht="33.75">
      <c r="A218" s="232" t="s">
        <v>904</v>
      </c>
      <c r="B218" s="234" t="s">
        <v>728</v>
      </c>
    </row>
    <row r="219" spans="1:2" ht="21">
      <c r="A219" s="230" t="s">
        <v>1029</v>
      </c>
      <c r="B219" s="231" t="s">
        <v>551</v>
      </c>
    </row>
    <row r="220" spans="1:2" ht="22.5">
      <c r="A220" s="232" t="s">
        <v>1004</v>
      </c>
      <c r="B220" s="234" t="s">
        <v>551</v>
      </c>
    </row>
    <row r="221" spans="1:2" ht="45">
      <c r="A221" s="236" t="s">
        <v>1156</v>
      </c>
      <c r="B221" s="237" t="s">
        <v>1157</v>
      </c>
    </row>
    <row r="222" spans="1:2" ht="63.75">
      <c r="A222" s="238" t="s">
        <v>1007</v>
      </c>
      <c r="B222" s="239" t="s">
        <v>1006</v>
      </c>
    </row>
    <row r="223" spans="1:2" ht="102">
      <c r="A223" s="238" t="s">
        <v>869</v>
      </c>
      <c r="B223" s="240" t="s">
        <v>868</v>
      </c>
    </row>
    <row r="224" spans="1:2" ht="114.75">
      <c r="A224" s="238" t="s">
        <v>873</v>
      </c>
      <c r="B224" s="240" t="s">
        <v>872</v>
      </c>
    </row>
    <row r="225" spans="1:2" ht="127.5">
      <c r="A225" s="238" t="s">
        <v>875</v>
      </c>
      <c r="B225" s="240" t="s">
        <v>874</v>
      </c>
    </row>
    <row r="226" spans="1:2" ht="76.5">
      <c r="A226" s="238" t="s">
        <v>883</v>
      </c>
      <c r="B226" s="240" t="s">
        <v>882</v>
      </c>
    </row>
    <row r="227" spans="1:2" ht="38.25">
      <c r="A227" s="238" t="s">
        <v>849</v>
      </c>
      <c r="B227" s="240" t="s">
        <v>447</v>
      </c>
    </row>
    <row r="228" spans="1:2" ht="38.25">
      <c r="A228" s="238" t="s">
        <v>850</v>
      </c>
      <c r="B228" s="240" t="s">
        <v>447</v>
      </c>
    </row>
    <row r="229" spans="1:2" ht="38.25">
      <c r="A229" s="238" t="s">
        <v>851</v>
      </c>
      <c r="B229" s="240" t="s">
        <v>449</v>
      </c>
    </row>
    <row r="230" spans="1:2" ht="38.25">
      <c r="A230" s="238" t="s">
        <v>864</v>
      </c>
      <c r="B230" s="240" t="s">
        <v>629</v>
      </c>
    </row>
    <row r="231" spans="1:2" ht="38.25">
      <c r="A231" s="238" t="s">
        <v>943</v>
      </c>
      <c r="B231" s="240" t="s">
        <v>656</v>
      </c>
    </row>
    <row r="232" spans="1:2" ht="102">
      <c r="A232" s="238" t="s">
        <v>867</v>
      </c>
      <c r="B232" s="240" t="s">
        <v>464</v>
      </c>
    </row>
    <row r="233" spans="1:2" ht="51">
      <c r="A233" s="238" t="s">
        <v>879</v>
      </c>
      <c r="B233" s="240" t="s">
        <v>475</v>
      </c>
    </row>
    <row r="234" spans="1:2" ht="76.5">
      <c r="A234" s="238" t="s">
        <v>881</v>
      </c>
      <c r="B234" s="240" t="s">
        <v>479</v>
      </c>
    </row>
    <row r="235" spans="1:2" ht="60">
      <c r="A235" s="241" t="s">
        <v>921</v>
      </c>
      <c r="B235" s="242" t="s">
        <v>643</v>
      </c>
    </row>
    <row r="236" spans="1:2" ht="45">
      <c r="A236" s="241" t="s">
        <v>927</v>
      </c>
      <c r="B236" s="242" t="s">
        <v>521</v>
      </c>
    </row>
    <row r="237" spans="1:2" ht="90">
      <c r="A237" s="241" t="s">
        <v>924</v>
      </c>
      <c r="B237" s="243" t="s">
        <v>644</v>
      </c>
    </row>
    <row r="238" spans="1:2" ht="90">
      <c r="A238" s="241" t="s">
        <v>925</v>
      </c>
      <c r="B238" s="243" t="s">
        <v>734</v>
      </c>
    </row>
    <row r="239" spans="1:2" ht="105">
      <c r="A239" s="241" t="s">
        <v>931</v>
      </c>
      <c r="B239" s="243" t="s">
        <v>647</v>
      </c>
    </row>
    <row r="240" spans="1:2" ht="90">
      <c r="A240" s="241" t="s">
        <v>932</v>
      </c>
      <c r="B240" s="243" t="s">
        <v>648</v>
      </c>
    </row>
    <row r="241" spans="1:2" ht="105">
      <c r="A241" s="241" t="s">
        <v>936</v>
      </c>
      <c r="B241" s="243" t="s">
        <v>651</v>
      </c>
    </row>
    <row r="242" spans="1:2" ht="90">
      <c r="A242" s="241" t="s">
        <v>937</v>
      </c>
      <c r="B242" s="243" t="s">
        <v>652</v>
      </c>
    </row>
    <row r="243" spans="1:2" ht="90">
      <c r="A243" s="241" t="s">
        <v>938</v>
      </c>
      <c r="B243" s="243" t="s">
        <v>736</v>
      </c>
    </row>
    <row r="244" spans="1:2" ht="105">
      <c r="A244" s="241" t="s">
        <v>939</v>
      </c>
      <c r="B244" s="243" t="s">
        <v>653</v>
      </c>
    </row>
    <row r="245" spans="1:2" ht="45">
      <c r="A245" s="241" t="s">
        <v>1009</v>
      </c>
      <c r="B245" s="242" t="s">
        <v>492</v>
      </c>
    </row>
    <row r="246" spans="1:2" ht="105">
      <c r="A246" s="241" t="s">
        <v>896</v>
      </c>
      <c r="B246" s="243" t="s">
        <v>632</v>
      </c>
    </row>
    <row r="247" spans="1:2" ht="75">
      <c r="A247" s="241" t="s">
        <v>908</v>
      </c>
      <c r="B247" s="243" t="s">
        <v>636</v>
      </c>
    </row>
    <row r="248" spans="1:2" ht="75">
      <c r="A248" s="241" t="s">
        <v>947</v>
      </c>
      <c r="B248" s="243" t="s">
        <v>526</v>
      </c>
    </row>
    <row r="249" spans="1:2" ht="75">
      <c r="A249" s="241" t="s">
        <v>899</v>
      </c>
      <c r="B249" s="243" t="s">
        <v>633</v>
      </c>
    </row>
    <row r="250" spans="1:2" ht="60">
      <c r="A250" s="241" t="s">
        <v>900</v>
      </c>
      <c r="B250" s="242" t="s">
        <v>502</v>
      </c>
    </row>
    <row r="251" spans="1:2" ht="90">
      <c r="A251" s="241" t="s">
        <v>901</v>
      </c>
      <c r="B251" s="243" t="s">
        <v>503</v>
      </c>
    </row>
    <row r="252" spans="1:2" ht="90">
      <c r="A252" s="241" t="s">
        <v>1010</v>
      </c>
      <c r="B252" s="243" t="s">
        <v>668</v>
      </c>
    </row>
    <row r="253" spans="1:2" ht="90">
      <c r="A253" s="241" t="s">
        <v>1011</v>
      </c>
      <c r="B253" s="243" t="s">
        <v>669</v>
      </c>
    </row>
    <row r="254" spans="1:2" ht="76.5">
      <c r="A254" s="238" t="s">
        <v>884</v>
      </c>
      <c r="B254" s="240" t="s">
        <v>630</v>
      </c>
    </row>
    <row r="255" spans="1:2" ht="63.75">
      <c r="A255" s="238" t="s">
        <v>886</v>
      </c>
      <c r="B255" s="240" t="s">
        <v>481</v>
      </c>
    </row>
    <row r="256" spans="1:2" ht="76.5">
      <c r="A256" s="238" t="s">
        <v>885</v>
      </c>
      <c r="B256" s="240" t="s">
        <v>480</v>
      </c>
    </row>
    <row r="257" spans="1:2" ht="38.25">
      <c r="A257" s="238" t="s">
        <v>944</v>
      </c>
      <c r="B257" s="240" t="s">
        <v>523</v>
      </c>
    </row>
    <row r="258" spans="1:2" ht="38.25">
      <c r="A258" s="238" t="s">
        <v>890</v>
      </c>
      <c r="B258" s="240" t="s">
        <v>889</v>
      </c>
    </row>
    <row r="259" spans="1:2" ht="153">
      <c r="A259" s="238" t="s">
        <v>950</v>
      </c>
      <c r="B259" s="240" t="s">
        <v>949</v>
      </c>
    </row>
    <row r="260" spans="1:2" ht="89.25">
      <c r="A260" s="238" t="s">
        <v>906</v>
      </c>
      <c r="B260" s="240" t="s">
        <v>775</v>
      </c>
    </row>
    <row r="261" spans="1:2" ht="153">
      <c r="A261" s="238" t="s">
        <v>958</v>
      </c>
      <c r="B261" s="240" t="s">
        <v>957</v>
      </c>
    </row>
    <row r="262" spans="1:2" ht="51">
      <c r="A262" s="238" t="s">
        <v>973</v>
      </c>
      <c r="B262" s="240" t="s">
        <v>662</v>
      </c>
    </row>
    <row r="263" spans="1:2" ht="51">
      <c r="A263" s="238" t="s">
        <v>971</v>
      </c>
      <c r="B263" s="240" t="s">
        <v>748</v>
      </c>
    </row>
    <row r="264" spans="1:2" ht="63.75">
      <c r="A264" s="238" t="s">
        <v>983</v>
      </c>
      <c r="B264" s="240" t="s">
        <v>982</v>
      </c>
    </row>
    <row r="265" spans="1:2" ht="63.75">
      <c r="A265" s="238" t="s">
        <v>891</v>
      </c>
      <c r="B265" s="240" t="s">
        <v>486</v>
      </c>
    </row>
    <row r="266" spans="1:2" ht="38.25">
      <c r="A266" s="238" t="s">
        <v>892</v>
      </c>
      <c r="B266" s="240" t="s">
        <v>487</v>
      </c>
    </row>
    <row r="267" spans="1:2" ht="51">
      <c r="A267" s="238" t="s">
        <v>893</v>
      </c>
      <c r="B267" s="240" t="s">
        <v>488</v>
      </c>
    </row>
    <row r="268" spans="1:2" ht="63.75">
      <c r="A268" s="238" t="s">
        <v>993</v>
      </c>
      <c r="B268" s="240" t="s">
        <v>779</v>
      </c>
    </row>
    <row r="269" spans="1:2" ht="76.5">
      <c r="A269" s="238" t="s">
        <v>989</v>
      </c>
      <c r="B269" s="240" t="s">
        <v>780</v>
      </c>
    </row>
    <row r="270" spans="1:2" ht="63.75">
      <c r="A270" s="238" t="s">
        <v>990</v>
      </c>
      <c r="B270" s="240" t="s">
        <v>781</v>
      </c>
    </row>
    <row r="271" spans="1:2" ht="63.75">
      <c r="A271" s="238" t="s">
        <v>991</v>
      </c>
      <c r="B271" s="240" t="s">
        <v>782</v>
      </c>
    </row>
    <row r="272" spans="1:2" ht="76.5">
      <c r="A272" s="238" t="s">
        <v>992</v>
      </c>
      <c r="B272" s="240" t="s">
        <v>783</v>
      </c>
    </row>
    <row r="273" spans="1:2" ht="63.75">
      <c r="A273" s="238" t="s">
        <v>919</v>
      </c>
      <c r="B273" s="240" t="s">
        <v>642</v>
      </c>
    </row>
    <row r="274" spans="1:2" ht="45">
      <c r="A274" s="241" t="s">
        <v>576</v>
      </c>
      <c r="B274" s="242" t="s">
        <v>753</v>
      </c>
    </row>
    <row r="275" spans="1:2" ht="30">
      <c r="A275" s="241" t="s">
        <v>578</v>
      </c>
      <c r="B275" s="242" t="s">
        <v>577</v>
      </c>
    </row>
    <row r="276" spans="1:2" ht="30">
      <c r="A276" s="241" t="s">
        <v>597</v>
      </c>
      <c r="B276" s="242" t="s">
        <v>596</v>
      </c>
    </row>
    <row r="277" spans="1:2" ht="30">
      <c r="A277" s="241" t="s">
        <v>30</v>
      </c>
      <c r="B277" s="242" t="s">
        <v>601</v>
      </c>
    </row>
    <row r="278" spans="1:2" ht="30">
      <c r="A278" s="241" t="s">
        <v>603</v>
      </c>
      <c r="B278" s="242" t="s">
        <v>602</v>
      </c>
    </row>
    <row r="279" spans="1:2" ht="30">
      <c r="A279" s="241" t="s">
        <v>605</v>
      </c>
      <c r="B279" s="242" t="s">
        <v>604</v>
      </c>
    </row>
    <row r="280" spans="1:2" ht="30">
      <c r="A280" s="241" t="s">
        <v>609</v>
      </c>
      <c r="B280" s="242" t="s">
        <v>574</v>
      </c>
    </row>
    <row r="281" spans="1:2" ht="30">
      <c r="A281" s="241" t="s">
        <v>614</v>
      </c>
      <c r="B281" s="242" t="s">
        <v>613</v>
      </c>
    </row>
    <row r="282" spans="1:2" ht="45">
      <c r="A282" s="241" t="s">
        <v>1021</v>
      </c>
      <c r="B282" s="242" t="s">
        <v>447</v>
      </c>
    </row>
    <row r="283" spans="1:2" ht="45">
      <c r="A283" s="241" t="s">
        <v>1028</v>
      </c>
      <c r="B283" s="242" t="s">
        <v>629</v>
      </c>
    </row>
    <row r="284" spans="1:2" ht="60">
      <c r="A284" s="244" t="s">
        <v>1035</v>
      </c>
      <c r="B284" s="245" t="s">
        <v>1036</v>
      </c>
    </row>
    <row r="285" spans="1:2" ht="75">
      <c r="A285" s="244" t="s">
        <v>1014</v>
      </c>
      <c r="B285" s="246" t="s">
        <v>1158</v>
      </c>
    </row>
    <row r="286" spans="1:2" ht="90">
      <c r="A286" s="244" t="s">
        <v>909</v>
      </c>
      <c r="B286" s="246" t="s">
        <v>1160</v>
      </c>
    </row>
    <row r="287" spans="1:2" ht="120">
      <c r="A287" s="244" t="s">
        <v>1159</v>
      </c>
      <c r="B287" s="246" t="s">
        <v>1161</v>
      </c>
    </row>
    <row r="288" spans="1:2">
      <c r="A288" s="244"/>
    </row>
  </sheetData>
  <autoFilter ref="A1:B21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Лист2">
    <tabColor rgb="FF92D050"/>
  </sheetPr>
  <dimension ref="A1:E24"/>
  <sheetViews>
    <sheetView workbookViewId="0">
      <selection activeCell="C8" sqref="C8"/>
    </sheetView>
  </sheetViews>
  <sheetFormatPr defaultRowHeight="12.75"/>
  <cols>
    <col min="1" max="1" width="28.5703125" style="55" customWidth="1"/>
    <col min="2" max="2" width="54.28515625" style="55" customWidth="1"/>
    <col min="3" max="3" width="17.7109375" style="55" customWidth="1"/>
    <col min="4" max="4" width="18" style="55" bestFit="1" customWidth="1"/>
    <col min="5" max="5" width="13.85546875" style="55" customWidth="1"/>
    <col min="6" max="16384" width="9.140625" style="55"/>
  </cols>
  <sheetData>
    <row r="1" spans="1:5" ht="44.25" customHeight="1">
      <c r="A1" s="508" t="str">
        <f>"Приложение №"&amp;Н1деф&amp;" к решению
Богучанского районного Совета депутатов
от "&amp;Р1дата&amp;" года №"&amp;Р1номер</f>
        <v>Приложение № к решению
Богучанского районного Совета депутатов
от     " " 2018 года №</v>
      </c>
      <c r="B1" s="508"/>
      <c r="C1" s="508"/>
      <c r="D1" s="508"/>
      <c r="E1" s="508"/>
    </row>
    <row r="2" spans="1:5" ht="57" customHeight="1">
      <c r="A2" s="509" t="str">
        <f>"Источники финансирования дефицита районного бюджета по кодам групп, подгрупп, статей, видов источников финансирования дефицитов бюджетов, "&amp;"относящихся к источникам финансирования дефицитов бюджетов  за  2017 год "</f>
        <v xml:space="preserve">Источники финансирования дефицита районного бюджета по кодам групп, подгрупп, статей, видов источников финансирования дефицитов бюджетов, относящихся к источникам финансирования дефицитов бюджетов  за  2017 год </v>
      </c>
      <c r="B2" s="509"/>
      <c r="C2" s="509"/>
      <c r="D2" s="509"/>
      <c r="E2" s="509"/>
    </row>
    <row r="3" spans="1:5" ht="15.75">
      <c r="B3" s="123"/>
      <c r="C3" s="123"/>
      <c r="E3" s="344" t="s">
        <v>94</v>
      </c>
    </row>
    <row r="4" spans="1:5" ht="28.5">
      <c r="A4" s="82" t="s">
        <v>145</v>
      </c>
      <c r="B4" s="82" t="s">
        <v>146</v>
      </c>
      <c r="C4" s="83" t="s">
        <v>2558</v>
      </c>
      <c r="D4" s="83" t="s">
        <v>2457</v>
      </c>
      <c r="E4" s="83" t="s">
        <v>2194</v>
      </c>
    </row>
    <row r="5" spans="1:5" ht="30">
      <c r="A5" s="48" t="s">
        <v>2741</v>
      </c>
      <c r="B5" s="84" t="s">
        <v>148</v>
      </c>
      <c r="C5" s="32">
        <f>SUM(C6+C11)</f>
        <v>3807369.5899996758</v>
      </c>
      <c r="D5" s="32">
        <f>SUM(D6+D11)</f>
        <v>-37197459.529999733</v>
      </c>
      <c r="E5" s="32">
        <f>D5/C5*100</f>
        <v>-976.98578114668669</v>
      </c>
    </row>
    <row r="6" spans="1:5" ht="30">
      <c r="A6" s="486" t="s">
        <v>2742</v>
      </c>
      <c r="B6" s="84" t="s">
        <v>149</v>
      </c>
      <c r="C6" s="32">
        <f>C7-C9</f>
        <v>-33400000</v>
      </c>
      <c r="D6" s="32">
        <f>D7-D9</f>
        <v>-48000000</v>
      </c>
      <c r="E6" s="32">
        <f>D6/C6*100</f>
        <v>143.7125748502994</v>
      </c>
    </row>
    <row r="7" spans="1:5" ht="42.75">
      <c r="A7" s="48" t="s">
        <v>2743</v>
      </c>
      <c r="B7" s="19" t="s">
        <v>151</v>
      </c>
      <c r="C7" s="85">
        <f>C8</f>
        <v>89600000</v>
      </c>
      <c r="D7" s="85">
        <f>D8</f>
        <v>22000000</v>
      </c>
      <c r="E7" s="85">
        <f>D7/C7*100</f>
        <v>24.553571428571427</v>
      </c>
    </row>
    <row r="8" spans="1:5" ht="57">
      <c r="A8" s="48" t="s">
        <v>1512</v>
      </c>
      <c r="B8" s="19" t="s">
        <v>209</v>
      </c>
      <c r="C8" s="85">
        <f>123000000+14600000-70000000+22000000</f>
        <v>89600000</v>
      </c>
      <c r="D8" s="85">
        <v>22000000</v>
      </c>
      <c r="E8" s="85">
        <f t="shared" ref="E8:E19" si="0">D8/C8*100</f>
        <v>24.553571428571427</v>
      </c>
    </row>
    <row r="9" spans="1:5" ht="42.75">
      <c r="A9" s="48" t="s">
        <v>2744</v>
      </c>
      <c r="B9" s="19" t="s">
        <v>211</v>
      </c>
      <c r="C9" s="85">
        <f>C10</f>
        <v>123000000</v>
      </c>
      <c r="D9" s="85">
        <f>D10</f>
        <v>70000000</v>
      </c>
      <c r="E9" s="85">
        <f t="shared" si="0"/>
        <v>56.910569105691053</v>
      </c>
    </row>
    <row r="10" spans="1:5" ht="57">
      <c r="A10" s="48" t="s">
        <v>1513</v>
      </c>
      <c r="B10" s="19" t="s">
        <v>44</v>
      </c>
      <c r="C10" s="85">
        <v>123000000</v>
      </c>
      <c r="D10" s="85">
        <v>70000000</v>
      </c>
      <c r="E10" s="85">
        <f t="shared" si="0"/>
        <v>56.910569105691053</v>
      </c>
    </row>
    <row r="11" spans="1:5" ht="28.5">
      <c r="A11" s="48" t="s">
        <v>2745</v>
      </c>
      <c r="B11" s="19" t="s">
        <v>182</v>
      </c>
      <c r="C11" s="85">
        <f>-C12+C16</f>
        <v>37207369.589999676</v>
      </c>
      <c r="D11" s="85">
        <f>-D12+D16</f>
        <v>10802540.470000267</v>
      </c>
      <c r="E11" s="85">
        <f t="shared" si="0"/>
        <v>29.03333557044488</v>
      </c>
    </row>
    <row r="12" spans="1:5" ht="14.25">
      <c r="A12" s="48" t="s">
        <v>2746</v>
      </c>
      <c r="B12" s="19" t="s">
        <v>121</v>
      </c>
      <c r="C12" s="85">
        <f>C13</f>
        <v>2205714650.5300002</v>
      </c>
      <c r="D12" s="85">
        <f t="shared" ref="D12:D14" si="1">D13</f>
        <v>2087497528.6999998</v>
      </c>
      <c r="E12" s="85">
        <f t="shared" si="0"/>
        <v>94.640416347527335</v>
      </c>
    </row>
    <row r="13" spans="1:5" ht="14.25">
      <c r="A13" s="48" t="s">
        <v>2747</v>
      </c>
      <c r="B13" s="19" t="s">
        <v>122</v>
      </c>
      <c r="C13" s="86">
        <f>C14</f>
        <v>2205714650.5300002</v>
      </c>
      <c r="D13" s="86">
        <f t="shared" si="1"/>
        <v>2087497528.6999998</v>
      </c>
      <c r="E13" s="85">
        <f t="shared" si="0"/>
        <v>94.640416347527335</v>
      </c>
    </row>
    <row r="14" spans="1:5" ht="28.5">
      <c r="A14" s="48" t="s">
        <v>2748</v>
      </c>
      <c r="B14" s="19" t="s">
        <v>235</v>
      </c>
      <c r="C14" s="85">
        <f>C15</f>
        <v>2205714650.5300002</v>
      </c>
      <c r="D14" s="85">
        <f t="shared" si="1"/>
        <v>2087497528.6999998</v>
      </c>
      <c r="E14" s="85">
        <f t="shared" si="0"/>
        <v>94.640416347527335</v>
      </c>
    </row>
    <row r="15" spans="1:5" ht="28.5">
      <c r="A15" s="48" t="s">
        <v>84</v>
      </c>
      <c r="B15" s="19" t="s">
        <v>189</v>
      </c>
      <c r="C15" s="85">
        <f>'Дох исп'!D8+C7</f>
        <v>2205714650.5300002</v>
      </c>
      <c r="D15" s="85">
        <f>'Дох исп'!E8+D7</f>
        <v>2087497528.6999998</v>
      </c>
      <c r="E15" s="85">
        <f t="shared" si="0"/>
        <v>94.640416347527335</v>
      </c>
    </row>
    <row r="16" spans="1:5" ht="14.25">
      <c r="A16" s="48" t="s">
        <v>2749</v>
      </c>
      <c r="B16" s="19" t="s">
        <v>123</v>
      </c>
      <c r="C16" s="85">
        <f>C17</f>
        <v>2242922020.1199999</v>
      </c>
      <c r="D16" s="85">
        <f t="shared" ref="D16:D18" si="2">D17</f>
        <v>2098300069.1700001</v>
      </c>
      <c r="E16" s="85">
        <f t="shared" si="0"/>
        <v>93.552074051051392</v>
      </c>
    </row>
    <row r="17" spans="1:5" ht="14.25">
      <c r="A17" s="19" t="s">
        <v>2750</v>
      </c>
      <c r="B17" s="19" t="s">
        <v>124</v>
      </c>
      <c r="C17" s="87">
        <f>C18</f>
        <v>2242922020.1199999</v>
      </c>
      <c r="D17" s="87">
        <f t="shared" si="2"/>
        <v>2098300069.1700001</v>
      </c>
      <c r="E17" s="85">
        <f t="shared" si="0"/>
        <v>93.552074051051392</v>
      </c>
    </row>
    <row r="18" spans="1:5" ht="28.5">
      <c r="A18" s="19" t="s">
        <v>2751</v>
      </c>
      <c r="B18" s="19" t="s">
        <v>193</v>
      </c>
      <c r="C18" s="87">
        <f>C19</f>
        <v>2242922020.1199999</v>
      </c>
      <c r="D18" s="87">
        <f t="shared" si="2"/>
        <v>2098300069.1700001</v>
      </c>
      <c r="E18" s="85">
        <f t="shared" si="0"/>
        <v>93.552074051051392</v>
      </c>
    </row>
    <row r="19" spans="1:5" ht="28.5">
      <c r="A19" s="48" t="s">
        <v>86</v>
      </c>
      <c r="B19" s="19" t="s">
        <v>195</v>
      </c>
      <c r="C19" s="85">
        <f>Вед17!F6+C9</f>
        <v>2242922020.1199999</v>
      </c>
      <c r="D19" s="85">
        <f>Вед17!G6+D9</f>
        <v>2098300069.1700001</v>
      </c>
      <c r="E19" s="85">
        <f t="shared" si="0"/>
        <v>93.552074051051392</v>
      </c>
    </row>
    <row r="20" spans="1:5" ht="47.25" hidden="1">
      <c r="A20" s="88" t="s">
        <v>255</v>
      </c>
      <c r="B20" s="89" t="s">
        <v>256</v>
      </c>
      <c r="C20" s="90">
        <v>0</v>
      </c>
    </row>
    <row r="21" spans="1:5" ht="30" hidden="1">
      <c r="A21" s="88" t="s">
        <v>257</v>
      </c>
      <c r="B21" s="88" t="s">
        <v>225</v>
      </c>
      <c r="C21" s="91"/>
    </row>
    <row r="22" spans="1:5" ht="75" hidden="1">
      <c r="A22" s="92" t="s">
        <v>226</v>
      </c>
      <c r="B22" s="88" t="s">
        <v>227</v>
      </c>
      <c r="C22" s="93"/>
    </row>
    <row r="23" spans="1:5" ht="30" hidden="1">
      <c r="A23" s="94" t="s">
        <v>228</v>
      </c>
      <c r="B23" s="95" t="s">
        <v>229</v>
      </c>
      <c r="C23" s="96"/>
    </row>
    <row r="24" spans="1:5" ht="60" hidden="1">
      <c r="A24" s="94" t="s">
        <v>230</v>
      </c>
      <c r="B24" s="95" t="s">
        <v>114</v>
      </c>
      <c r="C24" s="96"/>
    </row>
  </sheetData>
  <mergeCells count="2">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333"/>
  <sheetViews>
    <sheetView zoomScaleNormal="100" zoomScaleSheetLayoutView="75" workbookViewId="0">
      <selection activeCell="D248" sqref="D248"/>
    </sheetView>
  </sheetViews>
  <sheetFormatPr defaultRowHeight="15"/>
  <cols>
    <col min="1" max="1" width="5.28515625" style="135" bestFit="1" customWidth="1"/>
    <col min="2" max="2" width="9.5703125" style="135" customWidth="1"/>
    <col min="3" max="3" width="28" style="135" customWidth="1"/>
    <col min="4" max="4" width="103.42578125" style="136" customWidth="1"/>
    <col min="5" max="16384" width="9.140625" style="131"/>
  </cols>
  <sheetData>
    <row r="1" spans="1:9" ht="45.75" customHeight="1">
      <c r="A1" s="520"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520"/>
      <c r="C1" s="520"/>
      <c r="D1" s="520"/>
      <c r="E1" s="130"/>
    </row>
    <row r="2" spans="1:9" ht="51.75" customHeight="1">
      <c r="A2" s="520" t="str">
        <f>"Приложение №"&amp;Н1адох&amp;" к решению
Богучанского районного Совета депутатов
от "&amp;Р1дата&amp;" года №"&amp;Р1номер</f>
        <v>Приложение № к решению
Богучанского районного Совета депутатов
от     " " 2018 года №</v>
      </c>
      <c r="B2" s="520"/>
      <c r="C2" s="520"/>
      <c r="D2" s="520"/>
      <c r="E2" s="130"/>
      <c r="F2" s="130"/>
      <c r="G2" s="130"/>
      <c r="H2" s="130"/>
      <c r="I2" s="130"/>
    </row>
    <row r="3" spans="1:9" ht="49.5" customHeight="1">
      <c r="A3" s="521"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2017 год и плановый период 2018-2019 годов</v>
      </c>
      <c r="B3" s="521"/>
      <c r="C3" s="521"/>
      <c r="D3" s="521"/>
      <c r="E3" s="132"/>
      <c r="F3" s="132"/>
      <c r="G3" s="132"/>
      <c r="H3" s="132"/>
      <c r="I3" s="132"/>
    </row>
    <row r="4" spans="1:9" ht="51">
      <c r="A4" s="134" t="s">
        <v>361</v>
      </c>
      <c r="B4" s="134" t="s">
        <v>362</v>
      </c>
      <c r="C4" s="134" t="s">
        <v>363</v>
      </c>
      <c r="D4" s="134" t="s">
        <v>364</v>
      </c>
    </row>
    <row r="5" spans="1:9" ht="15.75" customHeight="1">
      <c r="A5" s="522" t="s">
        <v>365</v>
      </c>
      <c r="B5" s="522"/>
      <c r="C5" s="522"/>
      <c r="D5" s="522"/>
    </row>
    <row r="6" spans="1:9" ht="15.75">
      <c r="A6" s="282"/>
      <c r="B6" s="516" t="s">
        <v>774</v>
      </c>
      <c r="C6" s="517"/>
      <c r="D6" s="518"/>
    </row>
    <row r="7" spans="1:9">
      <c r="A7" s="134">
        <v>1</v>
      </c>
      <c r="B7" s="161" t="s">
        <v>217</v>
      </c>
      <c r="C7" s="165" t="s">
        <v>387</v>
      </c>
      <c r="D7" s="163" t="s">
        <v>388</v>
      </c>
    </row>
    <row r="8" spans="1:9">
      <c r="A8" s="134">
        <v>2</v>
      </c>
      <c r="B8" s="161" t="s">
        <v>217</v>
      </c>
      <c r="C8" s="162" t="s">
        <v>389</v>
      </c>
      <c r="D8" s="163" t="s">
        <v>390</v>
      </c>
    </row>
    <row r="9" spans="1:9" ht="15.75">
      <c r="A9" s="282"/>
      <c r="B9" s="516" t="s">
        <v>436</v>
      </c>
      <c r="C9" s="517"/>
      <c r="D9" s="518"/>
    </row>
    <row r="10" spans="1:9">
      <c r="A10" s="134">
        <v>3</v>
      </c>
      <c r="B10" s="162">
        <v>802</v>
      </c>
      <c r="C10" s="165" t="s">
        <v>387</v>
      </c>
      <c r="D10" s="163" t="s">
        <v>388</v>
      </c>
    </row>
    <row r="11" spans="1:9" ht="45">
      <c r="A11" s="134">
        <v>4</v>
      </c>
      <c r="B11" s="162">
        <v>802</v>
      </c>
      <c r="C11" s="162" t="s">
        <v>428</v>
      </c>
      <c r="D11" s="163" t="s">
        <v>429</v>
      </c>
    </row>
    <row r="12" spans="1:9" ht="15.75">
      <c r="A12" s="134"/>
      <c r="B12" s="510" t="s">
        <v>391</v>
      </c>
      <c r="C12" s="511"/>
      <c r="D12" s="512"/>
    </row>
    <row r="13" spans="1:9">
      <c r="A13" s="134">
        <v>5</v>
      </c>
      <c r="B13" s="165">
        <v>806</v>
      </c>
      <c r="C13" s="165" t="s">
        <v>392</v>
      </c>
      <c r="D13" s="163" t="s">
        <v>393</v>
      </c>
    </row>
    <row r="14" spans="1:9" ht="30">
      <c r="A14" s="134">
        <v>6</v>
      </c>
      <c r="B14" s="165">
        <v>806</v>
      </c>
      <c r="C14" s="165" t="s">
        <v>394</v>
      </c>
      <c r="D14" s="163" t="s">
        <v>1514</v>
      </c>
    </row>
    <row r="15" spans="1:9" ht="30">
      <c r="A15" s="134">
        <v>7</v>
      </c>
      <c r="B15" s="165">
        <v>806</v>
      </c>
      <c r="C15" s="165" t="s">
        <v>395</v>
      </c>
      <c r="D15" s="163" t="s">
        <v>1515</v>
      </c>
    </row>
    <row r="16" spans="1:9" ht="45">
      <c r="A16" s="134">
        <v>8</v>
      </c>
      <c r="B16" s="161" t="s">
        <v>5</v>
      </c>
      <c r="C16" s="162" t="s">
        <v>411</v>
      </c>
      <c r="D16" s="166" t="s">
        <v>245</v>
      </c>
    </row>
    <row r="17" spans="1:4" ht="30">
      <c r="A17" s="134">
        <v>9</v>
      </c>
      <c r="B17" s="161" t="s">
        <v>5</v>
      </c>
      <c r="C17" s="162" t="s">
        <v>398</v>
      </c>
      <c r="D17" s="166" t="s">
        <v>845</v>
      </c>
    </row>
    <row r="18" spans="1:4" ht="30">
      <c r="A18" s="134">
        <v>10</v>
      </c>
      <c r="B18" s="161" t="s">
        <v>5</v>
      </c>
      <c r="C18" s="161" t="s">
        <v>418</v>
      </c>
      <c r="D18" s="167" t="s">
        <v>419</v>
      </c>
    </row>
    <row r="19" spans="1:4" ht="45">
      <c r="A19" s="134">
        <v>11</v>
      </c>
      <c r="B19" s="161" t="s">
        <v>5</v>
      </c>
      <c r="C19" s="162" t="s">
        <v>424</v>
      </c>
      <c r="D19" s="168" t="s">
        <v>425</v>
      </c>
    </row>
    <row r="20" spans="1:4" ht="30">
      <c r="A20" s="134">
        <v>12</v>
      </c>
      <c r="B20" s="161" t="s">
        <v>5</v>
      </c>
      <c r="C20" s="162" t="s">
        <v>402</v>
      </c>
      <c r="D20" s="166" t="s">
        <v>403</v>
      </c>
    </row>
    <row r="21" spans="1:4" ht="30">
      <c r="A21" s="134">
        <v>13</v>
      </c>
      <c r="B21" s="161" t="s">
        <v>5</v>
      </c>
      <c r="C21" s="162" t="s">
        <v>404</v>
      </c>
      <c r="D21" s="166" t="s">
        <v>403</v>
      </c>
    </row>
    <row r="22" spans="1:4">
      <c r="A22" s="134">
        <v>14</v>
      </c>
      <c r="B22" s="161" t="s">
        <v>5</v>
      </c>
      <c r="C22" s="165" t="s">
        <v>387</v>
      </c>
      <c r="D22" s="163" t="s">
        <v>388</v>
      </c>
    </row>
    <row r="23" spans="1:4">
      <c r="A23" s="134">
        <v>15</v>
      </c>
      <c r="B23" s="161" t="s">
        <v>5</v>
      </c>
      <c r="C23" s="162" t="s">
        <v>389</v>
      </c>
      <c r="D23" s="166" t="s">
        <v>390</v>
      </c>
    </row>
    <row r="24" spans="1:4">
      <c r="A24" s="134">
        <v>16</v>
      </c>
      <c r="B24" s="161" t="s">
        <v>5</v>
      </c>
      <c r="C24" s="162" t="s">
        <v>405</v>
      </c>
      <c r="D24" s="166" t="s">
        <v>1516</v>
      </c>
    </row>
    <row r="25" spans="1:4" ht="38.25" customHeight="1">
      <c r="A25" s="134">
        <v>17</v>
      </c>
      <c r="B25" s="161" t="s">
        <v>5</v>
      </c>
      <c r="C25" s="162" t="s">
        <v>1800</v>
      </c>
      <c r="D25" s="166" t="s">
        <v>1798</v>
      </c>
    </row>
    <row r="26" spans="1:4" ht="60">
      <c r="A26" s="134">
        <v>18</v>
      </c>
      <c r="B26" s="161" t="s">
        <v>5</v>
      </c>
      <c r="C26" s="165" t="s">
        <v>702</v>
      </c>
      <c r="D26" s="163" t="s">
        <v>703</v>
      </c>
    </row>
    <row r="27" spans="1:4" ht="45">
      <c r="A27" s="134">
        <v>19</v>
      </c>
      <c r="B27" s="161" t="s">
        <v>5</v>
      </c>
      <c r="C27" s="165" t="s">
        <v>704</v>
      </c>
      <c r="D27" s="163" t="s">
        <v>407</v>
      </c>
    </row>
    <row r="28" spans="1:4" ht="45">
      <c r="A28" s="134">
        <v>20</v>
      </c>
      <c r="B28" s="161" t="s">
        <v>5</v>
      </c>
      <c r="C28" s="165" t="s">
        <v>705</v>
      </c>
      <c r="D28" s="163" t="s">
        <v>408</v>
      </c>
    </row>
    <row r="29" spans="1:4" ht="30">
      <c r="A29" s="134">
        <v>21</v>
      </c>
      <c r="B29" s="161" t="s">
        <v>5</v>
      </c>
      <c r="C29" s="165" t="s">
        <v>706</v>
      </c>
      <c r="D29" s="163" t="s">
        <v>409</v>
      </c>
    </row>
    <row r="30" spans="1:4" ht="30">
      <c r="A30" s="134">
        <v>22</v>
      </c>
      <c r="B30" s="161" t="s">
        <v>5</v>
      </c>
      <c r="C30" s="165" t="s">
        <v>565</v>
      </c>
      <c r="D30" s="163" t="s">
        <v>707</v>
      </c>
    </row>
    <row r="31" spans="1:4" ht="45">
      <c r="A31" s="134">
        <v>23</v>
      </c>
      <c r="B31" s="161" t="s">
        <v>5</v>
      </c>
      <c r="C31" s="165" t="s">
        <v>567</v>
      </c>
      <c r="D31" s="163" t="s">
        <v>1517</v>
      </c>
    </row>
    <row r="32" spans="1:4" ht="39" customHeight="1">
      <c r="A32" s="134">
        <v>24</v>
      </c>
      <c r="B32" s="161" t="s">
        <v>5</v>
      </c>
      <c r="C32" s="165" t="s">
        <v>1318</v>
      </c>
      <c r="D32" s="163" t="s">
        <v>1323</v>
      </c>
    </row>
    <row r="33" spans="1:4" ht="30">
      <c r="A33" s="134">
        <v>25</v>
      </c>
      <c r="B33" s="161" t="s">
        <v>5</v>
      </c>
      <c r="C33" s="165" t="s">
        <v>1319</v>
      </c>
      <c r="D33" s="163" t="s">
        <v>1535</v>
      </c>
    </row>
    <row r="34" spans="1:4" ht="45">
      <c r="A34" s="134">
        <v>26</v>
      </c>
      <c r="B34" s="161" t="s">
        <v>5</v>
      </c>
      <c r="C34" s="165" t="s">
        <v>1320</v>
      </c>
      <c r="D34" s="163" t="s">
        <v>1536</v>
      </c>
    </row>
    <row r="35" spans="1:4" ht="45">
      <c r="A35" s="134">
        <v>27</v>
      </c>
      <c r="B35" s="161" t="s">
        <v>5</v>
      </c>
      <c r="C35" s="165" t="s">
        <v>1322</v>
      </c>
      <c r="D35" s="163" t="s">
        <v>1537</v>
      </c>
    </row>
    <row r="36" spans="1:4" ht="45">
      <c r="A36" s="134">
        <v>28</v>
      </c>
      <c r="B36" s="161" t="s">
        <v>5</v>
      </c>
      <c r="C36" s="165" t="s">
        <v>1321</v>
      </c>
      <c r="D36" s="163" t="s">
        <v>1538</v>
      </c>
    </row>
    <row r="37" spans="1:4" ht="15.75">
      <c r="A37" s="134"/>
      <c r="B37" s="519" t="s">
        <v>1315</v>
      </c>
      <c r="C37" s="519"/>
      <c r="D37" s="519"/>
    </row>
    <row r="38" spans="1:4">
      <c r="A38" s="134">
        <v>29</v>
      </c>
      <c r="B38" s="161" t="s">
        <v>472</v>
      </c>
      <c r="C38" s="165" t="s">
        <v>387</v>
      </c>
      <c r="D38" s="163" t="s">
        <v>388</v>
      </c>
    </row>
    <row r="39" spans="1:4">
      <c r="A39" s="134">
        <v>30</v>
      </c>
      <c r="B39" s="161" t="s">
        <v>472</v>
      </c>
      <c r="C39" s="162" t="s">
        <v>389</v>
      </c>
      <c r="D39" s="163" t="s">
        <v>390</v>
      </c>
    </row>
    <row r="40" spans="1:4" ht="15.75">
      <c r="A40" s="134"/>
      <c r="B40" s="516" t="s">
        <v>435</v>
      </c>
      <c r="C40" s="517"/>
      <c r="D40" s="518"/>
    </row>
    <row r="41" spans="1:4">
      <c r="A41" s="134">
        <v>31</v>
      </c>
      <c r="B41" s="161" t="s">
        <v>246</v>
      </c>
      <c r="C41" s="165" t="s">
        <v>387</v>
      </c>
      <c r="D41" s="163" t="s">
        <v>388</v>
      </c>
    </row>
    <row r="42" spans="1:4">
      <c r="A42" s="134">
        <v>32</v>
      </c>
      <c r="B42" s="161" t="s">
        <v>246</v>
      </c>
      <c r="C42" s="162" t="s">
        <v>389</v>
      </c>
      <c r="D42" s="163" t="s">
        <v>390</v>
      </c>
    </row>
    <row r="43" spans="1:4" ht="15.75">
      <c r="A43" s="134"/>
      <c r="B43" s="513" t="s">
        <v>719</v>
      </c>
      <c r="C43" s="514"/>
      <c r="D43" s="515"/>
    </row>
    <row r="44" spans="1:4">
      <c r="A44" s="134">
        <v>33</v>
      </c>
      <c r="B44" s="161" t="s">
        <v>177</v>
      </c>
      <c r="C44" s="165" t="s">
        <v>387</v>
      </c>
      <c r="D44" s="163" t="s">
        <v>388</v>
      </c>
    </row>
    <row r="45" spans="1:4">
      <c r="A45" s="134">
        <v>34</v>
      </c>
      <c r="B45" s="161" t="s">
        <v>177</v>
      </c>
      <c r="C45" s="162" t="s">
        <v>389</v>
      </c>
      <c r="D45" s="163" t="s">
        <v>390</v>
      </c>
    </row>
    <row r="46" spans="1:4">
      <c r="A46" s="134">
        <v>35</v>
      </c>
      <c r="B46" s="161" t="s">
        <v>177</v>
      </c>
      <c r="C46" s="162" t="s">
        <v>405</v>
      </c>
      <c r="D46" s="163" t="s">
        <v>1516</v>
      </c>
    </row>
    <row r="47" spans="1:4" ht="30">
      <c r="A47" s="134">
        <v>36</v>
      </c>
      <c r="B47" s="161" t="s">
        <v>177</v>
      </c>
      <c r="C47" s="165" t="s">
        <v>1342</v>
      </c>
      <c r="D47" s="163" t="s">
        <v>1539</v>
      </c>
    </row>
    <row r="48" spans="1:4" ht="30">
      <c r="A48" s="134">
        <v>37</v>
      </c>
      <c r="B48" s="161" t="s">
        <v>177</v>
      </c>
      <c r="C48" s="165" t="s">
        <v>1343</v>
      </c>
      <c r="D48" s="163" t="s">
        <v>1540</v>
      </c>
    </row>
    <row r="49" spans="1:4" ht="45">
      <c r="A49" s="134">
        <v>38</v>
      </c>
      <c r="B49" s="161" t="s">
        <v>177</v>
      </c>
      <c r="C49" s="165" t="s">
        <v>1344</v>
      </c>
      <c r="D49" s="163" t="s">
        <v>1541</v>
      </c>
    </row>
    <row r="50" spans="1:4" ht="45">
      <c r="A50" s="134">
        <v>39</v>
      </c>
      <c r="B50" s="161" t="s">
        <v>177</v>
      </c>
      <c r="C50" s="165" t="s">
        <v>1345</v>
      </c>
      <c r="D50" s="163" t="s">
        <v>1542</v>
      </c>
    </row>
    <row r="51" spans="1:4" ht="30">
      <c r="A51" s="134">
        <v>40</v>
      </c>
      <c r="B51" s="161" t="s">
        <v>177</v>
      </c>
      <c r="C51" s="165" t="s">
        <v>1346</v>
      </c>
      <c r="D51" s="163" t="s">
        <v>1543</v>
      </c>
    </row>
    <row r="52" spans="1:4" ht="45">
      <c r="A52" s="134">
        <v>41</v>
      </c>
      <c r="B52" s="161" t="s">
        <v>177</v>
      </c>
      <c r="C52" s="165" t="s">
        <v>1923</v>
      </c>
      <c r="D52" s="163" t="s">
        <v>1924</v>
      </c>
    </row>
    <row r="53" spans="1:4" ht="30">
      <c r="A53" s="134">
        <v>42</v>
      </c>
      <c r="B53" s="161" t="s">
        <v>177</v>
      </c>
      <c r="C53" s="165" t="s">
        <v>1347</v>
      </c>
      <c r="D53" s="163" t="s">
        <v>1544</v>
      </c>
    </row>
    <row r="54" spans="1:4" ht="30">
      <c r="A54" s="134">
        <v>43</v>
      </c>
      <c r="B54" s="161" t="s">
        <v>177</v>
      </c>
      <c r="C54" s="165" t="s">
        <v>1348</v>
      </c>
      <c r="D54" s="163" t="s">
        <v>1545</v>
      </c>
    </row>
    <row r="55" spans="1:4" ht="30">
      <c r="A55" s="134">
        <v>44</v>
      </c>
      <c r="B55" s="161" t="s">
        <v>177</v>
      </c>
      <c r="C55" s="165" t="s">
        <v>1349</v>
      </c>
      <c r="D55" s="163" t="s">
        <v>1546</v>
      </c>
    </row>
    <row r="56" spans="1:4" ht="45">
      <c r="A56" s="134">
        <v>45</v>
      </c>
      <c r="B56" s="161" t="s">
        <v>177</v>
      </c>
      <c r="C56" s="165" t="s">
        <v>1350</v>
      </c>
      <c r="D56" s="163" t="s">
        <v>1547</v>
      </c>
    </row>
    <row r="57" spans="1:4" ht="30">
      <c r="A57" s="134">
        <v>46</v>
      </c>
      <c r="B57" s="161" t="s">
        <v>177</v>
      </c>
      <c r="C57" s="165" t="s">
        <v>1351</v>
      </c>
      <c r="D57" s="163" t="s">
        <v>1548</v>
      </c>
    </row>
    <row r="58" spans="1:4" ht="30">
      <c r="A58" s="134">
        <v>47</v>
      </c>
      <c r="B58" s="161" t="s">
        <v>177</v>
      </c>
      <c r="C58" s="165" t="s">
        <v>1352</v>
      </c>
      <c r="D58" s="163" t="s">
        <v>1549</v>
      </c>
    </row>
    <row r="59" spans="1:4" ht="30">
      <c r="A59" s="134">
        <v>48</v>
      </c>
      <c r="B59" s="161" t="s">
        <v>177</v>
      </c>
      <c r="C59" s="165" t="s">
        <v>1353</v>
      </c>
      <c r="D59" s="163" t="s">
        <v>1550</v>
      </c>
    </row>
    <row r="60" spans="1:4" ht="30">
      <c r="A60" s="134">
        <v>49</v>
      </c>
      <c r="B60" s="161" t="s">
        <v>177</v>
      </c>
      <c r="C60" s="165" t="s">
        <v>1354</v>
      </c>
      <c r="D60" s="163" t="s">
        <v>1551</v>
      </c>
    </row>
    <row r="61" spans="1:4" ht="30">
      <c r="A61" s="134">
        <v>50</v>
      </c>
      <c r="B61" s="161" t="s">
        <v>177</v>
      </c>
      <c r="C61" s="165" t="s">
        <v>1355</v>
      </c>
      <c r="D61" s="163" t="s">
        <v>1552</v>
      </c>
    </row>
    <row r="62" spans="1:4" ht="30">
      <c r="A62" s="134">
        <v>51</v>
      </c>
      <c r="B62" s="161" t="s">
        <v>177</v>
      </c>
      <c r="C62" s="165" t="s">
        <v>1356</v>
      </c>
      <c r="D62" s="163" t="s">
        <v>1553</v>
      </c>
    </row>
    <row r="63" spans="1:4" ht="45">
      <c r="A63" s="134">
        <v>52</v>
      </c>
      <c r="B63" s="161" t="s">
        <v>177</v>
      </c>
      <c r="C63" s="165" t="s">
        <v>1357</v>
      </c>
      <c r="D63" s="163" t="s">
        <v>1518</v>
      </c>
    </row>
    <row r="64" spans="1:4" ht="30">
      <c r="A64" s="134">
        <v>53</v>
      </c>
      <c r="B64" s="161" t="s">
        <v>177</v>
      </c>
      <c r="C64" s="165" t="s">
        <v>1358</v>
      </c>
      <c r="D64" s="163" t="s">
        <v>1554</v>
      </c>
    </row>
    <row r="65" spans="1:4" ht="30">
      <c r="A65" s="134">
        <v>54</v>
      </c>
      <c r="B65" s="161" t="s">
        <v>177</v>
      </c>
      <c r="C65" s="165" t="s">
        <v>1359</v>
      </c>
      <c r="D65" s="163" t="s">
        <v>1555</v>
      </c>
    </row>
    <row r="66" spans="1:4" ht="30">
      <c r="A66" s="134">
        <v>55</v>
      </c>
      <c r="B66" s="161" t="s">
        <v>177</v>
      </c>
      <c r="C66" s="165" t="s">
        <v>1360</v>
      </c>
      <c r="D66" s="163" t="s">
        <v>1556</v>
      </c>
    </row>
    <row r="67" spans="1:4" ht="30">
      <c r="A67" s="134">
        <v>56</v>
      </c>
      <c r="B67" s="161" t="s">
        <v>177</v>
      </c>
      <c r="C67" s="165" t="s">
        <v>1361</v>
      </c>
      <c r="D67" s="163" t="s">
        <v>1557</v>
      </c>
    </row>
    <row r="68" spans="1:4" ht="30">
      <c r="A68" s="134">
        <v>57</v>
      </c>
      <c r="B68" s="161" t="s">
        <v>177</v>
      </c>
      <c r="C68" s="165" t="s">
        <v>1362</v>
      </c>
      <c r="D68" s="163" t="s">
        <v>1558</v>
      </c>
    </row>
    <row r="69" spans="1:4" ht="15.75">
      <c r="A69" s="134"/>
      <c r="B69" s="510" t="s">
        <v>410</v>
      </c>
      <c r="C69" s="511"/>
      <c r="D69" s="512"/>
    </row>
    <row r="70" spans="1:4" ht="45">
      <c r="A70" s="134">
        <v>58</v>
      </c>
      <c r="B70" s="165">
        <v>856</v>
      </c>
      <c r="C70" s="165" t="s">
        <v>411</v>
      </c>
      <c r="D70" s="163" t="s">
        <v>245</v>
      </c>
    </row>
    <row r="71" spans="1:4" ht="45">
      <c r="A71" s="134">
        <v>59</v>
      </c>
      <c r="B71" s="165">
        <v>856</v>
      </c>
      <c r="C71" s="165" t="s">
        <v>375</v>
      </c>
      <c r="D71" s="163" t="s">
        <v>1519</v>
      </c>
    </row>
    <row r="72" spans="1:4" ht="45">
      <c r="A72" s="134">
        <v>60</v>
      </c>
      <c r="B72" s="165">
        <v>856</v>
      </c>
      <c r="C72" s="165" t="s">
        <v>376</v>
      </c>
      <c r="D72" s="163" t="s">
        <v>1520</v>
      </c>
    </row>
    <row r="73" spans="1:4" ht="30">
      <c r="A73" s="134">
        <v>61</v>
      </c>
      <c r="B73" s="161" t="s">
        <v>278</v>
      </c>
      <c r="C73" s="161" t="s">
        <v>398</v>
      </c>
      <c r="D73" s="167" t="s">
        <v>292</v>
      </c>
    </row>
    <row r="74" spans="1:4" ht="45">
      <c r="A74" s="134">
        <v>62</v>
      </c>
      <c r="B74" s="161" t="s">
        <v>278</v>
      </c>
      <c r="C74" s="161" t="s">
        <v>399</v>
      </c>
      <c r="D74" s="167" t="s">
        <v>1501</v>
      </c>
    </row>
    <row r="75" spans="1:4" ht="45">
      <c r="A75" s="134">
        <v>63</v>
      </c>
      <c r="B75" s="161" t="s">
        <v>278</v>
      </c>
      <c r="C75" s="161" t="s">
        <v>413</v>
      </c>
      <c r="D75" s="167" t="s">
        <v>1502</v>
      </c>
    </row>
    <row r="76" spans="1:4">
      <c r="A76" s="134">
        <v>64</v>
      </c>
      <c r="B76" s="161" t="s">
        <v>278</v>
      </c>
      <c r="C76" s="165" t="s">
        <v>387</v>
      </c>
      <c r="D76" s="163" t="s">
        <v>388</v>
      </c>
    </row>
    <row r="77" spans="1:4">
      <c r="A77" s="134">
        <v>65</v>
      </c>
      <c r="B77" s="161" t="s">
        <v>278</v>
      </c>
      <c r="C77" s="162" t="s">
        <v>389</v>
      </c>
      <c r="D77" s="163" t="s">
        <v>390</v>
      </c>
    </row>
    <row r="78" spans="1:4">
      <c r="A78" s="134">
        <v>66</v>
      </c>
      <c r="B78" s="161" t="s">
        <v>278</v>
      </c>
      <c r="C78" s="162" t="s">
        <v>405</v>
      </c>
      <c r="D78" s="163" t="s">
        <v>1521</v>
      </c>
    </row>
    <row r="79" spans="1:4" ht="60">
      <c r="A79" s="134">
        <v>67</v>
      </c>
      <c r="B79" s="161" t="s">
        <v>278</v>
      </c>
      <c r="C79" s="165" t="s">
        <v>708</v>
      </c>
      <c r="D79" s="163" t="s">
        <v>709</v>
      </c>
    </row>
    <row r="80" spans="1:4" ht="60">
      <c r="A80" s="134">
        <v>68</v>
      </c>
      <c r="B80" s="161" t="s">
        <v>278</v>
      </c>
      <c r="C80" s="165" t="s">
        <v>702</v>
      </c>
      <c r="D80" s="163" t="s">
        <v>703</v>
      </c>
    </row>
    <row r="81" spans="1:4" ht="45">
      <c r="A81" s="134">
        <v>69</v>
      </c>
      <c r="B81" s="161" t="s">
        <v>278</v>
      </c>
      <c r="C81" s="165" t="s">
        <v>710</v>
      </c>
      <c r="D81" s="163" t="s">
        <v>414</v>
      </c>
    </row>
    <row r="82" spans="1:4" ht="45">
      <c r="A82" s="134">
        <v>70</v>
      </c>
      <c r="B82" s="161" t="s">
        <v>278</v>
      </c>
      <c r="C82" s="165" t="s">
        <v>704</v>
      </c>
      <c r="D82" s="163" t="s">
        <v>407</v>
      </c>
    </row>
    <row r="83" spans="1:4" ht="45">
      <c r="A83" s="134">
        <v>71</v>
      </c>
      <c r="B83" s="161" t="s">
        <v>278</v>
      </c>
      <c r="C83" s="165" t="s">
        <v>705</v>
      </c>
      <c r="D83" s="163" t="s">
        <v>408</v>
      </c>
    </row>
    <row r="84" spans="1:4" ht="30">
      <c r="A84" s="134">
        <v>72</v>
      </c>
      <c r="B84" s="161" t="s">
        <v>278</v>
      </c>
      <c r="C84" s="165" t="s">
        <v>706</v>
      </c>
      <c r="D84" s="163" t="s">
        <v>409</v>
      </c>
    </row>
    <row r="85" spans="1:4" ht="30">
      <c r="A85" s="134">
        <v>73</v>
      </c>
      <c r="B85" s="161" t="s">
        <v>278</v>
      </c>
      <c r="C85" s="165" t="s">
        <v>565</v>
      </c>
      <c r="D85" s="163" t="s">
        <v>566</v>
      </c>
    </row>
    <row r="86" spans="1:4" ht="47.25" customHeight="1">
      <c r="A86" s="134">
        <v>74</v>
      </c>
      <c r="B86" s="161" t="s">
        <v>278</v>
      </c>
      <c r="C86" s="165" t="s">
        <v>568</v>
      </c>
      <c r="D86" s="163" t="s">
        <v>1559</v>
      </c>
    </row>
    <row r="87" spans="1:4" s="133" customFormat="1" ht="15.75" customHeight="1">
      <c r="A87" s="134"/>
      <c r="B87" s="510" t="s">
        <v>366</v>
      </c>
      <c r="C87" s="511"/>
      <c r="D87" s="512"/>
    </row>
    <row r="88" spans="1:4" ht="60">
      <c r="A88" s="134">
        <v>75</v>
      </c>
      <c r="B88" s="161" t="s">
        <v>88</v>
      </c>
      <c r="C88" s="162" t="s">
        <v>367</v>
      </c>
      <c r="D88" s="163" t="s">
        <v>178</v>
      </c>
    </row>
    <row r="89" spans="1:4" ht="60">
      <c r="A89" s="134">
        <v>76</v>
      </c>
      <c r="B89" s="161" t="s">
        <v>88</v>
      </c>
      <c r="C89" s="162" t="s">
        <v>368</v>
      </c>
      <c r="D89" s="163" t="s">
        <v>1925</v>
      </c>
    </row>
    <row r="90" spans="1:4" ht="60">
      <c r="A90" s="134">
        <v>77</v>
      </c>
      <c r="B90" s="161" t="s">
        <v>88</v>
      </c>
      <c r="C90" s="162" t="s">
        <v>369</v>
      </c>
      <c r="D90" s="163" t="s">
        <v>1927</v>
      </c>
    </row>
    <row r="91" spans="1:4" ht="60">
      <c r="A91" s="134">
        <v>78</v>
      </c>
      <c r="B91" s="161" t="s">
        <v>88</v>
      </c>
      <c r="C91" s="162" t="s">
        <v>370</v>
      </c>
      <c r="D91" s="163" t="s">
        <v>1926</v>
      </c>
    </row>
    <row r="92" spans="1:4" s="133" customFormat="1" ht="60">
      <c r="A92" s="134">
        <v>79</v>
      </c>
      <c r="B92" s="161" t="s">
        <v>88</v>
      </c>
      <c r="C92" s="162" t="s">
        <v>689</v>
      </c>
      <c r="D92" s="163" t="s">
        <v>262</v>
      </c>
    </row>
    <row r="93" spans="1:4" ht="60">
      <c r="A93" s="134">
        <v>80</v>
      </c>
      <c r="B93" s="161" t="s">
        <v>88</v>
      </c>
      <c r="C93" s="162" t="s">
        <v>690</v>
      </c>
      <c r="D93" s="164" t="s">
        <v>1522</v>
      </c>
    </row>
    <row r="94" spans="1:4" ht="60">
      <c r="A94" s="134">
        <v>81</v>
      </c>
      <c r="B94" s="161" t="s">
        <v>88</v>
      </c>
      <c r="C94" s="162" t="s">
        <v>691</v>
      </c>
      <c r="D94" s="163" t="s">
        <v>1523</v>
      </c>
    </row>
    <row r="95" spans="1:4" ht="60">
      <c r="A95" s="134">
        <v>82</v>
      </c>
      <c r="B95" s="161" t="s">
        <v>88</v>
      </c>
      <c r="C95" s="162" t="s">
        <v>371</v>
      </c>
      <c r="D95" s="163" t="s">
        <v>1463</v>
      </c>
    </row>
    <row r="96" spans="1:4" ht="60">
      <c r="A96" s="134">
        <v>83</v>
      </c>
      <c r="B96" s="161" t="s">
        <v>88</v>
      </c>
      <c r="C96" s="162" t="s">
        <v>372</v>
      </c>
      <c r="D96" s="163" t="s">
        <v>1505</v>
      </c>
    </row>
    <row r="97" spans="1:4" ht="60">
      <c r="A97" s="134">
        <v>84</v>
      </c>
      <c r="B97" s="161" t="s">
        <v>88</v>
      </c>
      <c r="C97" s="162" t="s">
        <v>373</v>
      </c>
      <c r="D97" s="163" t="s">
        <v>1504</v>
      </c>
    </row>
    <row r="98" spans="1:4" ht="60">
      <c r="A98" s="134">
        <v>85</v>
      </c>
      <c r="B98" s="161" t="s">
        <v>88</v>
      </c>
      <c r="C98" s="162" t="s">
        <v>374</v>
      </c>
      <c r="D98" s="163" t="s">
        <v>1503</v>
      </c>
    </row>
    <row r="99" spans="1:4" ht="45">
      <c r="A99" s="134">
        <v>86</v>
      </c>
      <c r="B99" s="161" t="s">
        <v>88</v>
      </c>
      <c r="C99" s="162" t="s">
        <v>411</v>
      </c>
      <c r="D99" s="163" t="s">
        <v>245</v>
      </c>
    </row>
    <row r="100" spans="1:4" ht="45">
      <c r="A100" s="134">
        <v>87</v>
      </c>
      <c r="B100" s="165">
        <v>863</v>
      </c>
      <c r="C100" s="162" t="s">
        <v>375</v>
      </c>
      <c r="D100" s="163" t="s">
        <v>1506</v>
      </c>
    </row>
    <row r="101" spans="1:4" ht="45">
      <c r="A101" s="134">
        <v>88</v>
      </c>
      <c r="B101" s="165">
        <v>863</v>
      </c>
      <c r="C101" s="162" t="s">
        <v>376</v>
      </c>
      <c r="D101" s="163" t="s">
        <v>1507</v>
      </c>
    </row>
    <row r="102" spans="1:4" ht="45">
      <c r="A102" s="134">
        <v>89</v>
      </c>
      <c r="B102" s="165">
        <v>863</v>
      </c>
      <c r="C102" s="162" t="s">
        <v>377</v>
      </c>
      <c r="D102" s="163" t="s">
        <v>1508</v>
      </c>
    </row>
    <row r="103" spans="1:4" ht="62.25" customHeight="1">
      <c r="A103" s="134">
        <v>90</v>
      </c>
      <c r="B103" s="165">
        <v>863</v>
      </c>
      <c r="C103" s="162" t="s">
        <v>378</v>
      </c>
      <c r="D103" s="163" t="s">
        <v>1509</v>
      </c>
    </row>
    <row r="104" spans="1:4" s="133" customFormat="1" ht="45">
      <c r="A104" s="134">
        <v>91</v>
      </c>
      <c r="B104" s="165">
        <v>863</v>
      </c>
      <c r="C104" s="162" t="s">
        <v>379</v>
      </c>
      <c r="D104" s="163" t="s">
        <v>152</v>
      </c>
    </row>
    <row r="105" spans="1:4" ht="45">
      <c r="A105" s="134">
        <v>92</v>
      </c>
      <c r="B105" s="165">
        <v>863</v>
      </c>
      <c r="C105" s="162" t="s">
        <v>380</v>
      </c>
      <c r="D105" s="163" t="s">
        <v>1524</v>
      </c>
    </row>
    <row r="106" spans="1:4" ht="45">
      <c r="A106" s="134">
        <v>93</v>
      </c>
      <c r="B106" s="165">
        <v>863</v>
      </c>
      <c r="C106" s="162" t="s">
        <v>692</v>
      </c>
      <c r="D106" s="163" t="s">
        <v>1525</v>
      </c>
    </row>
    <row r="107" spans="1:4" s="133" customFormat="1" ht="45">
      <c r="A107" s="134">
        <v>94</v>
      </c>
      <c r="B107" s="165">
        <v>863</v>
      </c>
      <c r="C107" s="162" t="s">
        <v>693</v>
      </c>
      <c r="D107" s="166" t="s">
        <v>694</v>
      </c>
    </row>
    <row r="108" spans="1:4">
      <c r="A108" s="134">
        <v>95</v>
      </c>
      <c r="B108" s="165">
        <v>863</v>
      </c>
      <c r="C108" s="165" t="s">
        <v>695</v>
      </c>
      <c r="D108" s="163" t="s">
        <v>696</v>
      </c>
    </row>
    <row r="109" spans="1:4" s="133" customFormat="1" ht="60">
      <c r="A109" s="134">
        <v>96</v>
      </c>
      <c r="B109" s="165">
        <v>863</v>
      </c>
      <c r="C109" s="162" t="s">
        <v>382</v>
      </c>
      <c r="D109" s="163" t="s">
        <v>1476</v>
      </c>
    </row>
    <row r="110" spans="1:4" s="133" customFormat="1" ht="65.25" customHeight="1">
      <c r="A110" s="134">
        <v>97</v>
      </c>
      <c r="B110" s="165">
        <v>863</v>
      </c>
      <c r="C110" s="162" t="s">
        <v>383</v>
      </c>
      <c r="D110" s="163" t="s">
        <v>1526</v>
      </c>
    </row>
    <row r="111" spans="1:4" ht="60">
      <c r="A111" s="134">
        <v>98</v>
      </c>
      <c r="B111" s="165">
        <v>863</v>
      </c>
      <c r="C111" s="162" t="s">
        <v>384</v>
      </c>
      <c r="D111" s="163" t="s">
        <v>1527</v>
      </c>
    </row>
    <row r="112" spans="1:4" s="133" customFormat="1" ht="45">
      <c r="A112" s="134">
        <v>99</v>
      </c>
      <c r="B112" s="165">
        <v>863</v>
      </c>
      <c r="C112" s="162" t="s">
        <v>385</v>
      </c>
      <c r="D112" s="163" t="s">
        <v>1928</v>
      </c>
    </row>
    <row r="113" spans="1:4" s="133" customFormat="1" ht="45">
      <c r="A113" s="134">
        <v>100</v>
      </c>
      <c r="B113" s="165">
        <v>863</v>
      </c>
      <c r="C113" s="162" t="s">
        <v>386</v>
      </c>
      <c r="D113" s="163" t="s">
        <v>1929</v>
      </c>
    </row>
    <row r="114" spans="1:4" s="133" customFormat="1" ht="30">
      <c r="A114" s="134">
        <v>101</v>
      </c>
      <c r="B114" s="165">
        <v>863</v>
      </c>
      <c r="C114" s="162" t="s">
        <v>697</v>
      </c>
      <c r="D114" s="163" t="s">
        <v>155</v>
      </c>
    </row>
    <row r="115" spans="1:4" s="133" customFormat="1" ht="30">
      <c r="A115" s="134">
        <v>102</v>
      </c>
      <c r="B115" s="165">
        <v>863</v>
      </c>
      <c r="C115" s="162" t="s">
        <v>698</v>
      </c>
      <c r="D115" s="163" t="s">
        <v>1528</v>
      </c>
    </row>
    <row r="116" spans="1:4" ht="30">
      <c r="A116" s="134">
        <v>103</v>
      </c>
      <c r="B116" s="165">
        <v>863</v>
      </c>
      <c r="C116" s="162" t="s">
        <v>699</v>
      </c>
      <c r="D116" s="163" t="s">
        <v>1529</v>
      </c>
    </row>
    <row r="117" spans="1:4" ht="45">
      <c r="A117" s="134">
        <v>104</v>
      </c>
      <c r="B117" s="165">
        <v>863</v>
      </c>
      <c r="C117" s="162" t="s">
        <v>700</v>
      </c>
      <c r="D117" s="163" t="s">
        <v>1530</v>
      </c>
    </row>
    <row r="118" spans="1:4" ht="57.75" customHeight="1">
      <c r="A118" s="134">
        <v>105</v>
      </c>
      <c r="B118" s="165">
        <v>863</v>
      </c>
      <c r="C118" s="162" t="s">
        <v>701</v>
      </c>
      <c r="D118" s="163" t="s">
        <v>1531</v>
      </c>
    </row>
    <row r="119" spans="1:4">
      <c r="A119" s="134">
        <v>106</v>
      </c>
      <c r="B119" s="165">
        <v>863</v>
      </c>
      <c r="C119" s="165" t="s">
        <v>387</v>
      </c>
      <c r="D119" s="163" t="s">
        <v>388</v>
      </c>
    </row>
    <row r="120" spans="1:4">
      <c r="A120" s="134">
        <v>107</v>
      </c>
      <c r="B120" s="165">
        <v>863</v>
      </c>
      <c r="C120" s="165" t="s">
        <v>389</v>
      </c>
      <c r="D120" s="163" t="s">
        <v>390</v>
      </c>
    </row>
    <row r="121" spans="1:4" ht="54.75" customHeight="1">
      <c r="A121" s="134">
        <v>108</v>
      </c>
      <c r="B121" s="165">
        <v>863</v>
      </c>
      <c r="C121" s="165" t="s">
        <v>1363</v>
      </c>
      <c r="D121" s="163" t="s">
        <v>1560</v>
      </c>
    </row>
    <row r="122" spans="1:4" ht="15.75">
      <c r="A122" s="134"/>
      <c r="B122" s="510" t="s">
        <v>1364</v>
      </c>
      <c r="C122" s="511"/>
      <c r="D122" s="512"/>
    </row>
    <row r="123" spans="1:4" ht="30">
      <c r="A123" s="134">
        <v>109</v>
      </c>
      <c r="B123" s="161" t="s">
        <v>252</v>
      </c>
      <c r="C123" s="161" t="s">
        <v>398</v>
      </c>
      <c r="D123" s="167" t="s">
        <v>412</v>
      </c>
    </row>
    <row r="124" spans="1:4" ht="45">
      <c r="A124" s="134">
        <v>110</v>
      </c>
      <c r="B124" s="161" t="s">
        <v>252</v>
      </c>
      <c r="C124" s="161" t="s">
        <v>399</v>
      </c>
      <c r="D124" s="167" t="s">
        <v>400</v>
      </c>
    </row>
    <row r="125" spans="1:4" ht="45">
      <c r="A125" s="134">
        <v>111</v>
      </c>
      <c r="B125" s="161" t="s">
        <v>252</v>
      </c>
      <c r="C125" s="161" t="s">
        <v>413</v>
      </c>
      <c r="D125" s="167" t="s">
        <v>415</v>
      </c>
    </row>
    <row r="126" spans="1:4" ht="45">
      <c r="A126" s="134">
        <v>112</v>
      </c>
      <c r="B126" s="161" t="s">
        <v>252</v>
      </c>
      <c r="C126" s="161" t="s">
        <v>416</v>
      </c>
      <c r="D126" s="167" t="s">
        <v>417</v>
      </c>
    </row>
    <row r="127" spans="1:4" ht="30">
      <c r="A127" s="134">
        <v>113</v>
      </c>
      <c r="B127" s="161" t="s">
        <v>252</v>
      </c>
      <c r="C127" s="161" t="s">
        <v>1499</v>
      </c>
      <c r="D127" s="167" t="s">
        <v>1500</v>
      </c>
    </row>
    <row r="128" spans="1:4" ht="30">
      <c r="A128" s="134">
        <v>114</v>
      </c>
      <c r="B128" s="161" t="s">
        <v>252</v>
      </c>
      <c r="C128" s="161" t="s">
        <v>418</v>
      </c>
      <c r="D128" s="167" t="s">
        <v>419</v>
      </c>
    </row>
    <row r="129" spans="1:4" ht="45">
      <c r="A129" s="134">
        <v>115</v>
      </c>
      <c r="B129" s="161" t="s">
        <v>252</v>
      </c>
      <c r="C129" s="162" t="s">
        <v>712</v>
      </c>
      <c r="D129" s="95" t="s">
        <v>687</v>
      </c>
    </row>
    <row r="130" spans="1:4">
      <c r="A130" s="134">
        <v>116</v>
      </c>
      <c r="B130" s="161" t="s">
        <v>252</v>
      </c>
      <c r="C130" s="165" t="s">
        <v>387</v>
      </c>
      <c r="D130" s="163" t="s">
        <v>388</v>
      </c>
    </row>
    <row r="131" spans="1:4">
      <c r="A131" s="134">
        <v>117</v>
      </c>
      <c r="B131" s="161" t="s">
        <v>252</v>
      </c>
      <c r="C131" s="162" t="s">
        <v>389</v>
      </c>
      <c r="D131" s="163" t="s">
        <v>390</v>
      </c>
    </row>
    <row r="132" spans="1:4">
      <c r="A132" s="134">
        <v>118</v>
      </c>
      <c r="B132" s="161" t="s">
        <v>252</v>
      </c>
      <c r="C132" s="162" t="s">
        <v>405</v>
      </c>
      <c r="D132" s="163" t="s">
        <v>1532</v>
      </c>
    </row>
    <row r="133" spans="1:4" ht="45">
      <c r="A133" s="134">
        <v>119</v>
      </c>
      <c r="B133" s="161" t="s">
        <v>252</v>
      </c>
      <c r="C133" s="162" t="s">
        <v>1365</v>
      </c>
      <c r="D133" s="163" t="s">
        <v>1561</v>
      </c>
    </row>
    <row r="134" spans="1:4" ht="30">
      <c r="A134" s="134">
        <v>120</v>
      </c>
      <c r="B134" s="161" t="s">
        <v>252</v>
      </c>
      <c r="C134" s="162" t="s">
        <v>1366</v>
      </c>
      <c r="D134" s="163" t="s">
        <v>1562</v>
      </c>
    </row>
    <row r="135" spans="1:4" ht="45">
      <c r="A135" s="134">
        <v>121</v>
      </c>
      <c r="B135" s="161" t="s">
        <v>252</v>
      </c>
      <c r="C135" s="162" t="s">
        <v>1367</v>
      </c>
      <c r="D135" s="163" t="s">
        <v>1533</v>
      </c>
    </row>
    <row r="136" spans="1:4" ht="45">
      <c r="A136" s="134">
        <v>122</v>
      </c>
      <c r="B136" s="161" t="s">
        <v>252</v>
      </c>
      <c r="C136" s="162" t="s">
        <v>1368</v>
      </c>
      <c r="D136" s="163" t="s">
        <v>1534</v>
      </c>
    </row>
    <row r="137" spans="1:4" ht="60">
      <c r="A137" s="134">
        <v>123</v>
      </c>
      <c r="B137" s="161" t="s">
        <v>252</v>
      </c>
      <c r="C137" s="165" t="s">
        <v>702</v>
      </c>
      <c r="D137" s="163" t="s">
        <v>703</v>
      </c>
    </row>
    <row r="138" spans="1:4" ht="45">
      <c r="A138" s="134">
        <v>124</v>
      </c>
      <c r="B138" s="161" t="s">
        <v>252</v>
      </c>
      <c r="C138" s="165" t="s">
        <v>704</v>
      </c>
      <c r="D138" s="163" t="s">
        <v>407</v>
      </c>
    </row>
    <row r="139" spans="1:4" ht="45">
      <c r="A139" s="134">
        <v>125</v>
      </c>
      <c r="B139" s="161" t="s">
        <v>252</v>
      </c>
      <c r="C139" s="165" t="s">
        <v>705</v>
      </c>
      <c r="D139" s="163" t="s">
        <v>408</v>
      </c>
    </row>
    <row r="140" spans="1:4" ht="30">
      <c r="A140" s="134">
        <v>126</v>
      </c>
      <c r="B140" s="177" t="s">
        <v>252</v>
      </c>
      <c r="C140" s="165" t="s">
        <v>1969</v>
      </c>
      <c r="D140" s="163" t="s">
        <v>1968</v>
      </c>
    </row>
    <row r="141" spans="1:4" ht="45">
      <c r="A141" s="134">
        <v>127</v>
      </c>
      <c r="B141" s="177" t="s">
        <v>252</v>
      </c>
      <c r="C141" s="165" t="s">
        <v>793</v>
      </c>
      <c r="D141" s="163" t="s">
        <v>1563</v>
      </c>
    </row>
    <row r="142" spans="1:4" ht="15.75">
      <c r="A142" s="134"/>
      <c r="B142" s="513" t="s">
        <v>1163</v>
      </c>
      <c r="C142" s="514"/>
      <c r="D142" s="515"/>
    </row>
    <row r="143" spans="1:4" ht="30">
      <c r="A143" s="134">
        <v>128</v>
      </c>
      <c r="B143" s="162">
        <v>880</v>
      </c>
      <c r="C143" s="161" t="s">
        <v>398</v>
      </c>
      <c r="D143" s="167" t="s">
        <v>1510</v>
      </c>
    </row>
    <row r="144" spans="1:4">
      <c r="A144" s="134">
        <v>129</v>
      </c>
      <c r="B144" s="162">
        <v>880</v>
      </c>
      <c r="C144" s="165" t="s">
        <v>387</v>
      </c>
      <c r="D144" s="163" t="s">
        <v>388</v>
      </c>
    </row>
    <row r="145" spans="1:4">
      <c r="A145" s="134">
        <v>130</v>
      </c>
      <c r="B145" s="162">
        <v>880</v>
      </c>
      <c r="C145" s="162" t="s">
        <v>389</v>
      </c>
      <c r="D145" s="163" t="s">
        <v>390</v>
      </c>
    </row>
    <row r="146" spans="1:4" ht="55.5" customHeight="1">
      <c r="A146" s="134">
        <v>131</v>
      </c>
      <c r="B146" s="283">
        <v>880</v>
      </c>
      <c r="C146" s="283" t="s">
        <v>1320</v>
      </c>
      <c r="D146" s="163" t="s">
        <v>1564</v>
      </c>
    </row>
    <row r="147" spans="1:4" ht="15.75">
      <c r="A147" s="134"/>
      <c r="B147" s="510" t="s">
        <v>711</v>
      </c>
      <c r="C147" s="511"/>
      <c r="D147" s="512"/>
    </row>
    <row r="148" spans="1:4">
      <c r="A148" s="134">
        <v>132</v>
      </c>
      <c r="B148" s="161" t="s">
        <v>253</v>
      </c>
      <c r="C148" s="165" t="s">
        <v>420</v>
      </c>
      <c r="D148" s="163" t="s">
        <v>421</v>
      </c>
    </row>
    <row r="149" spans="1:4" ht="30">
      <c r="A149" s="134">
        <v>133</v>
      </c>
      <c r="B149" s="161" t="s">
        <v>253</v>
      </c>
      <c r="C149" s="162" t="s">
        <v>396</v>
      </c>
      <c r="D149" s="163" t="s">
        <v>397</v>
      </c>
    </row>
    <row r="150" spans="1:4" ht="30">
      <c r="A150" s="134">
        <v>134</v>
      </c>
      <c r="B150" s="161" t="s">
        <v>253</v>
      </c>
      <c r="C150" s="162" t="s">
        <v>422</v>
      </c>
      <c r="D150" s="163" t="s">
        <v>423</v>
      </c>
    </row>
    <row r="151" spans="1:4" ht="45">
      <c r="A151" s="134">
        <v>135</v>
      </c>
      <c r="B151" s="161" t="s">
        <v>253</v>
      </c>
      <c r="C151" s="162" t="s">
        <v>712</v>
      </c>
      <c r="D151" s="95" t="s">
        <v>687</v>
      </c>
    </row>
    <row r="152" spans="1:4" ht="45">
      <c r="A152" s="134">
        <v>136</v>
      </c>
      <c r="B152" s="161" t="s">
        <v>253</v>
      </c>
      <c r="C152" s="162" t="s">
        <v>424</v>
      </c>
      <c r="D152" s="168" t="s">
        <v>425</v>
      </c>
    </row>
    <row r="153" spans="1:4" ht="30">
      <c r="A153" s="134">
        <v>137</v>
      </c>
      <c r="B153" s="161" t="s">
        <v>253</v>
      </c>
      <c r="C153" s="162" t="s">
        <v>426</v>
      </c>
      <c r="D153" s="168" t="s">
        <v>427</v>
      </c>
    </row>
    <row r="154" spans="1:4" ht="45">
      <c r="A154" s="134">
        <v>138</v>
      </c>
      <c r="B154" s="161" t="s">
        <v>253</v>
      </c>
      <c r="C154" s="162" t="s">
        <v>428</v>
      </c>
      <c r="D154" s="163" t="s">
        <v>429</v>
      </c>
    </row>
    <row r="155" spans="1:4" ht="30">
      <c r="A155" s="134">
        <v>139</v>
      </c>
      <c r="B155" s="161" t="s">
        <v>253</v>
      </c>
      <c r="C155" s="162" t="s">
        <v>1324</v>
      </c>
      <c r="D155" s="163" t="s">
        <v>1325</v>
      </c>
    </row>
    <row r="156" spans="1:4">
      <c r="A156" s="134">
        <v>140</v>
      </c>
      <c r="B156" s="161" t="s">
        <v>253</v>
      </c>
      <c r="C156" s="165" t="s">
        <v>387</v>
      </c>
      <c r="D156" s="163" t="s">
        <v>388</v>
      </c>
    </row>
    <row r="157" spans="1:4">
      <c r="A157" s="134">
        <v>141</v>
      </c>
      <c r="B157" s="161" t="s">
        <v>253</v>
      </c>
      <c r="C157" s="165" t="s">
        <v>389</v>
      </c>
      <c r="D157" s="163" t="s">
        <v>430</v>
      </c>
    </row>
    <row r="158" spans="1:4">
      <c r="A158" s="134">
        <v>142</v>
      </c>
      <c r="B158" s="161" t="s">
        <v>253</v>
      </c>
      <c r="C158" s="165" t="s">
        <v>405</v>
      </c>
      <c r="D158" s="163" t="s">
        <v>1565</v>
      </c>
    </row>
    <row r="159" spans="1:4" ht="45">
      <c r="A159" s="134">
        <v>143</v>
      </c>
      <c r="B159" s="161" t="s">
        <v>253</v>
      </c>
      <c r="C159" s="162" t="s">
        <v>1567</v>
      </c>
      <c r="D159" s="163" t="s">
        <v>1566</v>
      </c>
    </row>
    <row r="160" spans="1:4" ht="60">
      <c r="A160" s="134">
        <v>144</v>
      </c>
      <c r="B160" s="161" t="s">
        <v>253</v>
      </c>
      <c r="C160" s="162" t="s">
        <v>1568</v>
      </c>
      <c r="D160" s="163" t="s">
        <v>1570</v>
      </c>
    </row>
    <row r="161" spans="1:4" ht="65.25" customHeight="1">
      <c r="A161" s="134">
        <v>145</v>
      </c>
      <c r="B161" s="161" t="s">
        <v>253</v>
      </c>
      <c r="C161" s="162" t="s">
        <v>1569</v>
      </c>
      <c r="D161" s="163" t="s">
        <v>1571</v>
      </c>
    </row>
    <row r="162" spans="1:4" ht="45">
      <c r="A162" s="134">
        <v>146</v>
      </c>
      <c r="B162" s="161" t="s">
        <v>253</v>
      </c>
      <c r="C162" s="162" t="s">
        <v>1572</v>
      </c>
      <c r="D162" s="163" t="s">
        <v>1573</v>
      </c>
    </row>
    <row r="163" spans="1:4" ht="90">
      <c r="A163" s="134">
        <v>147</v>
      </c>
      <c r="B163" s="161" t="s">
        <v>253</v>
      </c>
      <c r="C163" s="162" t="s">
        <v>1574</v>
      </c>
      <c r="D163" s="163" t="s">
        <v>1640</v>
      </c>
    </row>
    <row r="164" spans="1:4" ht="52.5" customHeight="1">
      <c r="A164" s="134">
        <v>148</v>
      </c>
      <c r="B164" s="161" t="s">
        <v>253</v>
      </c>
      <c r="C164" s="162" t="s">
        <v>1575</v>
      </c>
      <c r="D164" s="163" t="s">
        <v>1576</v>
      </c>
    </row>
    <row r="165" spans="1:4" ht="57" customHeight="1">
      <c r="A165" s="134">
        <v>149</v>
      </c>
      <c r="B165" s="161" t="s">
        <v>253</v>
      </c>
      <c r="C165" s="162" t="s">
        <v>1577</v>
      </c>
      <c r="D165" s="163" t="s">
        <v>1578</v>
      </c>
    </row>
    <row r="166" spans="1:4" ht="52.5" customHeight="1">
      <c r="A166" s="134">
        <v>150</v>
      </c>
      <c r="B166" s="161" t="s">
        <v>253</v>
      </c>
      <c r="C166" s="162" t="s">
        <v>1579</v>
      </c>
      <c r="D166" s="163" t="s">
        <v>1580</v>
      </c>
    </row>
    <row r="167" spans="1:4" ht="48" customHeight="1">
      <c r="A167" s="134">
        <v>151</v>
      </c>
      <c r="B167" s="161" t="s">
        <v>253</v>
      </c>
      <c r="C167" s="162" t="s">
        <v>1581</v>
      </c>
      <c r="D167" s="163" t="s">
        <v>1582</v>
      </c>
    </row>
    <row r="168" spans="1:4" ht="60">
      <c r="A168" s="134">
        <v>152</v>
      </c>
      <c r="B168" s="161" t="s">
        <v>253</v>
      </c>
      <c r="C168" s="162" t="s">
        <v>1583</v>
      </c>
      <c r="D168" s="163" t="s">
        <v>1584</v>
      </c>
    </row>
    <row r="169" spans="1:4">
      <c r="A169" s="134">
        <v>153</v>
      </c>
      <c r="B169" s="161" t="s">
        <v>253</v>
      </c>
      <c r="C169" s="162" t="s">
        <v>1369</v>
      </c>
      <c r="D169" s="164" t="s">
        <v>431</v>
      </c>
    </row>
    <row r="170" spans="1:4" ht="30">
      <c r="A170" s="134">
        <v>154</v>
      </c>
      <c r="B170" s="161" t="s">
        <v>253</v>
      </c>
      <c r="C170" s="162" t="s">
        <v>1370</v>
      </c>
      <c r="D170" s="164" t="s">
        <v>432</v>
      </c>
    </row>
    <row r="171" spans="1:4" ht="47.25" customHeight="1">
      <c r="A171" s="134">
        <v>155</v>
      </c>
      <c r="B171" s="161" t="s">
        <v>253</v>
      </c>
      <c r="C171" s="162" t="s">
        <v>1371</v>
      </c>
      <c r="D171" s="164" t="s">
        <v>1372</v>
      </c>
    </row>
    <row r="172" spans="1:4" ht="91.5" customHeight="1">
      <c r="A172" s="134">
        <v>156</v>
      </c>
      <c r="B172" s="161" t="s">
        <v>253</v>
      </c>
      <c r="C172" s="162" t="s">
        <v>1373</v>
      </c>
      <c r="D172" s="164" t="s">
        <v>1641</v>
      </c>
    </row>
    <row r="173" spans="1:4" ht="29.25" customHeight="1">
      <c r="A173" s="134">
        <v>157</v>
      </c>
      <c r="B173" s="161" t="s">
        <v>253</v>
      </c>
      <c r="C173" s="162" t="s">
        <v>1374</v>
      </c>
      <c r="D173" s="164" t="s">
        <v>799</v>
      </c>
    </row>
    <row r="174" spans="1:4" ht="120" customHeight="1">
      <c r="A174" s="134">
        <v>158</v>
      </c>
      <c r="B174" s="161" t="s">
        <v>253</v>
      </c>
      <c r="C174" s="162" t="s">
        <v>1375</v>
      </c>
      <c r="D174" s="164" t="s">
        <v>1642</v>
      </c>
    </row>
    <row r="175" spans="1:4" ht="123" customHeight="1">
      <c r="A175" s="134">
        <v>159</v>
      </c>
      <c r="B175" s="161" t="s">
        <v>1287</v>
      </c>
      <c r="C175" s="162" t="s">
        <v>1376</v>
      </c>
      <c r="D175" s="164" t="s">
        <v>1643</v>
      </c>
    </row>
    <row r="176" spans="1:4" ht="48" customHeight="1">
      <c r="A176" s="134">
        <v>160</v>
      </c>
      <c r="B176" s="161" t="s">
        <v>253</v>
      </c>
      <c r="C176" s="162" t="s">
        <v>1845</v>
      </c>
      <c r="D176" s="164" t="s">
        <v>1377</v>
      </c>
    </row>
    <row r="177" spans="1:4" ht="45">
      <c r="A177" s="134">
        <v>161</v>
      </c>
      <c r="B177" s="161" t="s">
        <v>253</v>
      </c>
      <c r="C177" s="162" t="s">
        <v>1378</v>
      </c>
      <c r="D177" s="164" t="s">
        <v>1377</v>
      </c>
    </row>
    <row r="178" spans="1:4" ht="45">
      <c r="A178" s="134">
        <v>162</v>
      </c>
      <c r="B178" s="161" t="s">
        <v>253</v>
      </c>
      <c r="C178" s="162" t="s">
        <v>1379</v>
      </c>
      <c r="D178" s="211" t="s">
        <v>1377</v>
      </c>
    </row>
    <row r="179" spans="1:4" ht="60">
      <c r="A179" s="134">
        <v>163</v>
      </c>
      <c r="B179" s="161" t="s">
        <v>253</v>
      </c>
      <c r="C179" s="162" t="s">
        <v>1703</v>
      </c>
      <c r="D179" s="211" t="s">
        <v>1696</v>
      </c>
    </row>
    <row r="180" spans="1:4" ht="60">
      <c r="A180" s="134">
        <v>164</v>
      </c>
      <c r="B180" s="161" t="s">
        <v>253</v>
      </c>
      <c r="C180" s="162" t="s">
        <v>1834</v>
      </c>
      <c r="D180" s="211" t="s">
        <v>1829</v>
      </c>
    </row>
    <row r="181" spans="1:4" ht="60">
      <c r="A181" s="134">
        <v>165</v>
      </c>
      <c r="B181" s="161" t="s">
        <v>253</v>
      </c>
      <c r="C181" s="162" t="s">
        <v>1839</v>
      </c>
      <c r="D181" s="211" t="s">
        <v>1841</v>
      </c>
    </row>
    <row r="182" spans="1:4" ht="75">
      <c r="A182" s="134">
        <v>166</v>
      </c>
      <c r="B182" s="161" t="s">
        <v>253</v>
      </c>
      <c r="C182" s="162" t="s">
        <v>1840</v>
      </c>
      <c r="D182" s="211" t="s">
        <v>1842</v>
      </c>
    </row>
    <row r="183" spans="1:4" ht="64.5" customHeight="1">
      <c r="A183" s="134">
        <v>167</v>
      </c>
      <c r="B183" s="161" t="s">
        <v>253</v>
      </c>
      <c r="C183" s="162" t="s">
        <v>1879</v>
      </c>
      <c r="D183" s="211" t="s">
        <v>1880</v>
      </c>
    </row>
    <row r="184" spans="1:4" ht="60">
      <c r="A184" s="134">
        <v>168</v>
      </c>
      <c r="B184" s="161" t="s">
        <v>253</v>
      </c>
      <c r="C184" s="162" t="s">
        <v>1380</v>
      </c>
      <c r="D184" s="164" t="s">
        <v>1644</v>
      </c>
    </row>
    <row r="185" spans="1:4" ht="60" customHeight="1">
      <c r="A185" s="134">
        <v>169</v>
      </c>
      <c r="B185" s="161" t="s">
        <v>253</v>
      </c>
      <c r="C185" s="162" t="s">
        <v>1787</v>
      </c>
      <c r="D185" s="164" t="s">
        <v>1718</v>
      </c>
    </row>
    <row r="186" spans="1:4" ht="97.5" customHeight="1">
      <c r="A186" s="134">
        <v>170</v>
      </c>
      <c r="B186" s="161" t="s">
        <v>253</v>
      </c>
      <c r="C186" s="162" t="s">
        <v>1920</v>
      </c>
      <c r="D186" s="164" t="s">
        <v>1921</v>
      </c>
    </row>
    <row r="187" spans="1:4" ht="60" customHeight="1">
      <c r="A187" s="134">
        <v>171</v>
      </c>
      <c r="B187" s="161" t="s">
        <v>253</v>
      </c>
      <c r="C187" s="162" t="s">
        <v>1881</v>
      </c>
      <c r="D187" s="164" t="s">
        <v>1882</v>
      </c>
    </row>
    <row r="188" spans="1:4" ht="90">
      <c r="A188" s="134">
        <v>172</v>
      </c>
      <c r="B188" s="161" t="s">
        <v>253</v>
      </c>
      <c r="C188" s="162" t="s">
        <v>1381</v>
      </c>
      <c r="D188" s="164" t="s">
        <v>1645</v>
      </c>
    </row>
    <row r="189" spans="1:4" ht="90">
      <c r="A189" s="134">
        <v>173</v>
      </c>
      <c r="B189" s="161" t="s">
        <v>253</v>
      </c>
      <c r="C189" s="162" t="s">
        <v>1383</v>
      </c>
      <c r="D189" s="164" t="s">
        <v>1646</v>
      </c>
    </row>
    <row r="190" spans="1:4" ht="75">
      <c r="A190" s="134">
        <v>174</v>
      </c>
      <c r="B190" s="161" t="s">
        <v>253</v>
      </c>
      <c r="C190" s="162" t="s">
        <v>1382</v>
      </c>
      <c r="D190" s="164" t="s">
        <v>1647</v>
      </c>
    </row>
    <row r="191" spans="1:4" ht="60">
      <c r="A191" s="134">
        <v>175</v>
      </c>
      <c r="B191" s="161" t="s">
        <v>253</v>
      </c>
      <c r="C191" s="162" t="s">
        <v>1384</v>
      </c>
      <c r="D191" s="164" t="s">
        <v>1648</v>
      </c>
    </row>
    <row r="192" spans="1:4" ht="60">
      <c r="A192" s="134">
        <v>176</v>
      </c>
      <c r="B192" s="161" t="s">
        <v>253</v>
      </c>
      <c r="C192" s="162" t="s">
        <v>1385</v>
      </c>
      <c r="D192" s="164" t="s">
        <v>1649</v>
      </c>
    </row>
    <row r="193" spans="1:4" ht="83.25" customHeight="1">
      <c r="A193" s="134">
        <v>177</v>
      </c>
      <c r="B193" s="161" t="s">
        <v>253</v>
      </c>
      <c r="C193" s="162" t="s">
        <v>1386</v>
      </c>
      <c r="D193" s="164" t="s">
        <v>1650</v>
      </c>
    </row>
    <row r="194" spans="1:4" ht="104.25" customHeight="1">
      <c r="A194" s="134">
        <v>178</v>
      </c>
      <c r="B194" s="161" t="s">
        <v>253</v>
      </c>
      <c r="C194" s="162" t="s">
        <v>1387</v>
      </c>
      <c r="D194" s="164" t="s">
        <v>1651</v>
      </c>
    </row>
    <row r="195" spans="1:4" ht="68.25" customHeight="1">
      <c r="A195" s="134">
        <v>179</v>
      </c>
      <c r="B195" s="161" t="s">
        <v>253</v>
      </c>
      <c r="C195" s="161" t="s">
        <v>1636</v>
      </c>
      <c r="D195" s="164" t="s">
        <v>1652</v>
      </c>
    </row>
    <row r="196" spans="1:4" ht="45">
      <c r="A196" s="134">
        <v>180</v>
      </c>
      <c r="B196" s="161" t="s">
        <v>253</v>
      </c>
      <c r="C196" s="161" t="s">
        <v>1637</v>
      </c>
      <c r="D196" s="169" t="s">
        <v>1653</v>
      </c>
    </row>
    <row r="197" spans="1:4" ht="135">
      <c r="A197" s="134">
        <v>181</v>
      </c>
      <c r="B197" s="161" t="s">
        <v>253</v>
      </c>
      <c r="C197" s="161" t="s">
        <v>1967</v>
      </c>
      <c r="D197" s="169" t="s">
        <v>1965</v>
      </c>
    </row>
    <row r="198" spans="1:4" ht="60">
      <c r="A198" s="134">
        <v>182</v>
      </c>
      <c r="B198" s="161" t="s">
        <v>253</v>
      </c>
      <c r="C198" s="162" t="s">
        <v>1389</v>
      </c>
      <c r="D198" s="170" t="s">
        <v>1654</v>
      </c>
    </row>
    <row r="199" spans="1:4" ht="79.5" customHeight="1">
      <c r="A199" s="134">
        <v>183</v>
      </c>
      <c r="B199" s="161" t="s">
        <v>253</v>
      </c>
      <c r="C199" s="161" t="s">
        <v>1388</v>
      </c>
      <c r="D199" s="163" t="s">
        <v>1655</v>
      </c>
    </row>
    <row r="200" spans="1:4" ht="60">
      <c r="A200" s="134">
        <v>184</v>
      </c>
      <c r="B200" s="161" t="s">
        <v>253</v>
      </c>
      <c r="C200" s="162" t="s">
        <v>1390</v>
      </c>
      <c r="D200" s="170" t="s">
        <v>1656</v>
      </c>
    </row>
    <row r="201" spans="1:4" ht="60">
      <c r="A201" s="134">
        <v>185</v>
      </c>
      <c r="B201" s="161" t="s">
        <v>253</v>
      </c>
      <c r="C201" s="162" t="s">
        <v>1391</v>
      </c>
      <c r="D201" s="170" t="s">
        <v>1657</v>
      </c>
    </row>
    <row r="202" spans="1:4" ht="75">
      <c r="A202" s="134">
        <v>186</v>
      </c>
      <c r="B202" s="161" t="s">
        <v>253</v>
      </c>
      <c r="C202" s="161" t="s">
        <v>1392</v>
      </c>
      <c r="D202" s="211" t="s">
        <v>1658</v>
      </c>
    </row>
    <row r="203" spans="1:4" ht="90">
      <c r="A203" s="134">
        <v>187</v>
      </c>
      <c r="B203" s="161" t="s">
        <v>253</v>
      </c>
      <c r="C203" s="161" t="s">
        <v>1638</v>
      </c>
      <c r="D203" s="169" t="s">
        <v>1659</v>
      </c>
    </row>
    <row r="204" spans="1:4" ht="120">
      <c r="A204" s="134">
        <v>188</v>
      </c>
      <c r="B204" s="161" t="s">
        <v>253</v>
      </c>
      <c r="C204" s="161" t="s">
        <v>1639</v>
      </c>
      <c r="D204" s="164" t="s">
        <v>682</v>
      </c>
    </row>
    <row r="205" spans="1:4" ht="75">
      <c r="A205" s="134">
        <v>189</v>
      </c>
      <c r="B205" s="161" t="s">
        <v>253</v>
      </c>
      <c r="C205" s="161" t="s">
        <v>1393</v>
      </c>
      <c r="D205" s="169" t="s">
        <v>1660</v>
      </c>
    </row>
    <row r="206" spans="1:4" ht="60">
      <c r="A206" s="134">
        <v>190</v>
      </c>
      <c r="B206" s="161" t="s">
        <v>253</v>
      </c>
      <c r="C206" s="161" t="s">
        <v>1394</v>
      </c>
      <c r="D206" s="169" t="s">
        <v>1661</v>
      </c>
    </row>
    <row r="207" spans="1:4" ht="150">
      <c r="A207" s="134">
        <v>191</v>
      </c>
      <c r="B207" s="161" t="s">
        <v>253</v>
      </c>
      <c r="C207" s="161" t="s">
        <v>1395</v>
      </c>
      <c r="D207" s="169" t="s">
        <v>1662</v>
      </c>
    </row>
    <row r="208" spans="1:4" ht="75">
      <c r="A208" s="134">
        <v>192</v>
      </c>
      <c r="B208" s="161" t="s">
        <v>253</v>
      </c>
      <c r="C208" s="161" t="s">
        <v>1396</v>
      </c>
      <c r="D208" s="169" t="s">
        <v>1663</v>
      </c>
    </row>
    <row r="209" spans="1:4" ht="105">
      <c r="A209" s="134">
        <v>193</v>
      </c>
      <c r="B209" s="161" t="s">
        <v>253</v>
      </c>
      <c r="C209" s="161" t="s">
        <v>1397</v>
      </c>
      <c r="D209" s="169" t="s">
        <v>1664</v>
      </c>
    </row>
    <row r="210" spans="1:4" ht="75">
      <c r="A210" s="134">
        <v>194</v>
      </c>
      <c r="B210" s="161" t="s">
        <v>253</v>
      </c>
      <c r="C210" s="161" t="s">
        <v>1937</v>
      </c>
      <c r="D210" s="169" t="s">
        <v>1938</v>
      </c>
    </row>
    <row r="211" spans="1:4" ht="72.75" customHeight="1">
      <c r="A211" s="134">
        <v>195</v>
      </c>
      <c r="B211" s="161" t="s">
        <v>253</v>
      </c>
      <c r="C211" s="161" t="s">
        <v>1922</v>
      </c>
      <c r="D211" s="169" t="s">
        <v>1919</v>
      </c>
    </row>
    <row r="212" spans="1:4" ht="75">
      <c r="A212" s="134">
        <v>196</v>
      </c>
      <c r="B212" s="161" t="s">
        <v>253</v>
      </c>
      <c r="C212" s="161" t="s">
        <v>1398</v>
      </c>
      <c r="D212" s="169" t="s">
        <v>1665</v>
      </c>
    </row>
    <row r="213" spans="1:4" ht="90">
      <c r="A213" s="134">
        <v>197</v>
      </c>
      <c r="B213" s="161" t="s">
        <v>253</v>
      </c>
      <c r="C213" s="161" t="s">
        <v>1399</v>
      </c>
      <c r="D213" s="169" t="s">
        <v>1666</v>
      </c>
    </row>
    <row r="214" spans="1:4" ht="86.25" customHeight="1">
      <c r="A214" s="134">
        <v>198</v>
      </c>
      <c r="B214" s="161" t="s">
        <v>253</v>
      </c>
      <c r="C214" s="161" t="s">
        <v>1846</v>
      </c>
      <c r="D214" s="169" t="s">
        <v>1847</v>
      </c>
    </row>
    <row r="215" spans="1:4" ht="90">
      <c r="A215" s="134">
        <v>199</v>
      </c>
      <c r="B215" s="161" t="s">
        <v>253</v>
      </c>
      <c r="C215" s="161" t="s">
        <v>1843</v>
      </c>
      <c r="D215" s="169" t="s">
        <v>1844</v>
      </c>
    </row>
    <row r="216" spans="1:4" ht="105">
      <c r="A216" s="134">
        <v>200</v>
      </c>
      <c r="B216" s="161" t="s">
        <v>253</v>
      </c>
      <c r="C216" s="161" t="s">
        <v>1403</v>
      </c>
      <c r="D216" s="211" t="s">
        <v>1667</v>
      </c>
    </row>
    <row r="217" spans="1:4" ht="115.5" customHeight="1">
      <c r="A217" s="134">
        <v>201</v>
      </c>
      <c r="B217" s="161" t="s">
        <v>253</v>
      </c>
      <c r="C217" s="161" t="s">
        <v>1404</v>
      </c>
      <c r="D217" s="211" t="s">
        <v>1668</v>
      </c>
    </row>
    <row r="218" spans="1:4" ht="90" customHeight="1">
      <c r="A218" s="134">
        <v>202</v>
      </c>
      <c r="B218" s="161" t="s">
        <v>253</v>
      </c>
      <c r="C218" s="161" t="s">
        <v>1405</v>
      </c>
      <c r="D218" s="211" t="s">
        <v>1406</v>
      </c>
    </row>
    <row r="219" spans="1:4" ht="90">
      <c r="A219" s="134">
        <v>203</v>
      </c>
      <c r="B219" s="161" t="s">
        <v>253</v>
      </c>
      <c r="C219" s="161" t="s">
        <v>1407</v>
      </c>
      <c r="D219" s="211" t="s">
        <v>1669</v>
      </c>
    </row>
    <row r="220" spans="1:4" ht="135">
      <c r="A220" s="134">
        <v>204</v>
      </c>
      <c r="B220" s="161" t="s">
        <v>253</v>
      </c>
      <c r="C220" s="161" t="s">
        <v>1408</v>
      </c>
      <c r="D220" s="211" t="s">
        <v>1670</v>
      </c>
    </row>
    <row r="221" spans="1:4" ht="45">
      <c r="A221" s="134">
        <v>205</v>
      </c>
      <c r="B221" s="161" t="s">
        <v>253</v>
      </c>
      <c r="C221" s="161" t="s">
        <v>1409</v>
      </c>
      <c r="D221" s="211" t="s">
        <v>823</v>
      </c>
    </row>
    <row r="222" spans="1:4" ht="90">
      <c r="A222" s="134">
        <v>206</v>
      </c>
      <c r="B222" s="161" t="s">
        <v>253</v>
      </c>
      <c r="C222" s="161" t="s">
        <v>1410</v>
      </c>
      <c r="D222" s="211" t="s">
        <v>1671</v>
      </c>
    </row>
    <row r="223" spans="1:4" ht="90">
      <c r="A223" s="134">
        <v>207</v>
      </c>
      <c r="B223" s="161" t="s">
        <v>253</v>
      </c>
      <c r="C223" s="161" t="s">
        <v>1411</v>
      </c>
      <c r="D223" s="211" t="s">
        <v>1672</v>
      </c>
    </row>
    <row r="224" spans="1:4" ht="60">
      <c r="A224" s="134">
        <v>208</v>
      </c>
      <c r="B224" s="161" t="s">
        <v>253</v>
      </c>
      <c r="C224" s="161" t="s">
        <v>1412</v>
      </c>
      <c r="D224" s="211" t="s">
        <v>1673</v>
      </c>
    </row>
    <row r="225" spans="1:4" ht="75">
      <c r="A225" s="134">
        <v>209</v>
      </c>
      <c r="B225" s="161" t="s">
        <v>253</v>
      </c>
      <c r="C225" s="161" t="s">
        <v>1413</v>
      </c>
      <c r="D225" s="211" t="s">
        <v>1674</v>
      </c>
    </row>
    <row r="226" spans="1:4" ht="105">
      <c r="A226" s="134">
        <v>210</v>
      </c>
      <c r="B226" s="161" t="s">
        <v>253</v>
      </c>
      <c r="C226" s="161" t="s">
        <v>1414</v>
      </c>
      <c r="D226" s="211" t="s">
        <v>1675</v>
      </c>
    </row>
    <row r="227" spans="1:4" ht="150">
      <c r="A227" s="134">
        <v>211</v>
      </c>
      <c r="B227" s="161" t="s">
        <v>253</v>
      </c>
      <c r="C227" s="161" t="s">
        <v>1415</v>
      </c>
      <c r="D227" s="211" t="s">
        <v>1676</v>
      </c>
    </row>
    <row r="228" spans="1:4" ht="75">
      <c r="A228" s="134">
        <v>212</v>
      </c>
      <c r="B228" s="161" t="s">
        <v>253</v>
      </c>
      <c r="C228" s="161" t="s">
        <v>1416</v>
      </c>
      <c r="D228" s="211" t="s">
        <v>1677</v>
      </c>
    </row>
    <row r="229" spans="1:4" ht="75">
      <c r="A229" s="134">
        <v>213</v>
      </c>
      <c r="B229" s="161" t="s">
        <v>253</v>
      </c>
      <c r="C229" s="161" t="s">
        <v>1417</v>
      </c>
      <c r="D229" s="211" t="s">
        <v>1678</v>
      </c>
    </row>
    <row r="230" spans="1:4" ht="105">
      <c r="A230" s="134">
        <v>214</v>
      </c>
      <c r="B230" s="161" t="s">
        <v>253</v>
      </c>
      <c r="C230" s="161" t="s">
        <v>1418</v>
      </c>
      <c r="D230" s="211" t="s">
        <v>1679</v>
      </c>
    </row>
    <row r="231" spans="1:4" ht="150">
      <c r="A231" s="134">
        <v>215</v>
      </c>
      <c r="B231" s="161" t="s">
        <v>253</v>
      </c>
      <c r="C231" s="161" t="s">
        <v>1419</v>
      </c>
      <c r="D231" s="211" t="s">
        <v>1680</v>
      </c>
    </row>
    <row r="232" spans="1:4" ht="90">
      <c r="A232" s="134">
        <v>216</v>
      </c>
      <c r="B232" s="161" t="s">
        <v>253</v>
      </c>
      <c r="C232" s="161" t="s">
        <v>1420</v>
      </c>
      <c r="D232" s="169" t="s">
        <v>1681</v>
      </c>
    </row>
    <row r="233" spans="1:4" ht="60">
      <c r="A233" s="134">
        <v>217</v>
      </c>
      <c r="B233" s="161" t="s">
        <v>253</v>
      </c>
      <c r="C233" s="161" t="s">
        <v>1421</v>
      </c>
      <c r="D233" s="169" t="s">
        <v>836</v>
      </c>
    </row>
    <row r="234" spans="1:4" ht="75">
      <c r="A234" s="134">
        <v>218</v>
      </c>
      <c r="B234" s="161" t="s">
        <v>253</v>
      </c>
      <c r="C234" s="161" t="s">
        <v>1422</v>
      </c>
      <c r="D234" s="169" t="s">
        <v>1682</v>
      </c>
    </row>
    <row r="235" spans="1:4" ht="75">
      <c r="A235" s="134">
        <v>219</v>
      </c>
      <c r="B235" s="161" t="s">
        <v>253</v>
      </c>
      <c r="C235" s="161" t="s">
        <v>1423</v>
      </c>
      <c r="D235" s="169" t="s">
        <v>1683</v>
      </c>
    </row>
    <row r="236" spans="1:4" ht="60">
      <c r="A236" s="134">
        <v>220</v>
      </c>
      <c r="B236" s="161" t="s">
        <v>253</v>
      </c>
      <c r="C236" s="161" t="s">
        <v>1400</v>
      </c>
      <c r="D236" s="169" t="s">
        <v>1401</v>
      </c>
    </row>
    <row r="237" spans="1:4" ht="30">
      <c r="A237" s="134">
        <v>221</v>
      </c>
      <c r="B237" s="161" t="s">
        <v>253</v>
      </c>
      <c r="C237" s="161" t="s">
        <v>1402</v>
      </c>
      <c r="D237" s="211" t="s">
        <v>1511</v>
      </c>
    </row>
    <row r="238" spans="1:4" ht="75">
      <c r="A238" s="134">
        <v>222</v>
      </c>
      <c r="B238" s="161" t="s">
        <v>253</v>
      </c>
      <c r="C238" s="161" t="s">
        <v>1838</v>
      </c>
      <c r="D238" s="211" t="s">
        <v>1704</v>
      </c>
    </row>
    <row r="239" spans="1:4" ht="75">
      <c r="A239" s="134">
        <v>223</v>
      </c>
      <c r="B239" s="161" t="s">
        <v>253</v>
      </c>
      <c r="C239" s="161" t="s">
        <v>1705</v>
      </c>
      <c r="D239" s="211" t="s">
        <v>1704</v>
      </c>
    </row>
    <row r="240" spans="1:4" ht="150">
      <c r="A240" s="134">
        <v>224</v>
      </c>
      <c r="B240" s="161" t="s">
        <v>253</v>
      </c>
      <c r="C240" s="161" t="s">
        <v>1425</v>
      </c>
      <c r="D240" s="211" t="s">
        <v>1684</v>
      </c>
    </row>
    <row r="241" spans="1:4" ht="150">
      <c r="A241" s="134">
        <v>225</v>
      </c>
      <c r="B241" s="161" t="s">
        <v>253</v>
      </c>
      <c r="C241" s="161" t="s">
        <v>1424</v>
      </c>
      <c r="D241" s="211" t="s">
        <v>1685</v>
      </c>
    </row>
    <row r="242" spans="1:4" ht="60" customHeight="1">
      <c r="A242" s="134">
        <v>226</v>
      </c>
      <c r="B242" s="161" t="s">
        <v>253</v>
      </c>
      <c r="C242" s="162" t="s">
        <v>1426</v>
      </c>
      <c r="D242" s="164" t="s">
        <v>266</v>
      </c>
    </row>
    <row r="243" spans="1:4" ht="42" customHeight="1">
      <c r="A243" s="134">
        <v>227</v>
      </c>
      <c r="B243" s="161" t="s">
        <v>253</v>
      </c>
      <c r="C243" s="162" t="s">
        <v>1427</v>
      </c>
      <c r="D243" s="163" t="s">
        <v>1428</v>
      </c>
    </row>
    <row r="244" spans="1:4" ht="45">
      <c r="A244" s="134">
        <v>228</v>
      </c>
      <c r="B244" s="161" t="s">
        <v>253</v>
      </c>
      <c r="C244" s="162" t="s">
        <v>1429</v>
      </c>
      <c r="D244" s="163" t="s">
        <v>1430</v>
      </c>
    </row>
    <row r="245" spans="1:4" ht="48" customHeight="1">
      <c r="A245" s="134">
        <v>229</v>
      </c>
      <c r="B245" s="161" t="s">
        <v>253</v>
      </c>
      <c r="C245" s="162" t="s">
        <v>1431</v>
      </c>
      <c r="D245" s="163" t="s">
        <v>1432</v>
      </c>
    </row>
    <row r="246" spans="1:4">
      <c r="A246" s="134">
        <v>230</v>
      </c>
      <c r="B246" s="161" t="s">
        <v>253</v>
      </c>
      <c r="C246" s="162" t="s">
        <v>1433</v>
      </c>
      <c r="D246" s="164" t="s">
        <v>433</v>
      </c>
    </row>
    <row r="247" spans="1:4" ht="105">
      <c r="A247" s="134">
        <v>231</v>
      </c>
      <c r="B247" s="161" t="s">
        <v>253</v>
      </c>
      <c r="C247" s="162" t="s">
        <v>1972</v>
      </c>
      <c r="D247" s="164" t="s">
        <v>1973</v>
      </c>
    </row>
    <row r="248" spans="1:4" ht="105">
      <c r="A248" s="134">
        <v>232</v>
      </c>
      <c r="B248" s="161" t="s">
        <v>253</v>
      </c>
      <c r="C248" s="162" t="s">
        <v>1975</v>
      </c>
      <c r="D248" s="164" t="s">
        <v>1976</v>
      </c>
    </row>
    <row r="249" spans="1:4" ht="76.5" customHeight="1">
      <c r="A249" s="134">
        <v>233</v>
      </c>
      <c r="B249" s="161" t="s">
        <v>253</v>
      </c>
      <c r="C249" s="162" t="s">
        <v>1434</v>
      </c>
      <c r="D249" s="164" t="s">
        <v>1686</v>
      </c>
    </row>
    <row r="250" spans="1:4" ht="30">
      <c r="A250" s="134">
        <v>234</v>
      </c>
      <c r="B250" s="161" t="s">
        <v>253</v>
      </c>
      <c r="C250" s="162" t="s">
        <v>1435</v>
      </c>
      <c r="D250" s="168" t="s">
        <v>434</v>
      </c>
    </row>
    <row r="251" spans="1:4" ht="45">
      <c r="A251" s="134">
        <v>235</v>
      </c>
      <c r="B251" s="161" t="s">
        <v>253</v>
      </c>
      <c r="C251" s="162" t="s">
        <v>713</v>
      </c>
      <c r="D251" s="95" t="s">
        <v>714</v>
      </c>
    </row>
    <row r="252" spans="1:4" ht="30">
      <c r="A252" s="134">
        <v>236</v>
      </c>
      <c r="B252" s="161" t="s">
        <v>253</v>
      </c>
      <c r="C252" s="162" t="s">
        <v>715</v>
      </c>
      <c r="D252" s="95" t="s">
        <v>716</v>
      </c>
    </row>
    <row r="253" spans="1:4" ht="15.75" customHeight="1">
      <c r="A253" s="134">
        <v>237</v>
      </c>
      <c r="B253" s="161" t="s">
        <v>253</v>
      </c>
      <c r="C253" s="163" t="s">
        <v>770</v>
      </c>
      <c r="D253" s="163" t="s">
        <v>406</v>
      </c>
    </row>
    <row r="254" spans="1:4" ht="45">
      <c r="A254" s="134">
        <v>238</v>
      </c>
      <c r="B254" s="161" t="s">
        <v>253</v>
      </c>
      <c r="C254" s="163" t="s">
        <v>769</v>
      </c>
      <c r="D254" s="163" t="s">
        <v>408</v>
      </c>
    </row>
    <row r="255" spans="1:4" ht="75">
      <c r="A255" s="134">
        <v>239</v>
      </c>
      <c r="B255" s="161" t="s">
        <v>253</v>
      </c>
      <c r="C255" s="165" t="s">
        <v>717</v>
      </c>
      <c r="D255" s="163" t="s">
        <v>718</v>
      </c>
    </row>
    <row r="333" ht="15.75" customHeight="1"/>
  </sheetData>
  <autoFilter ref="A4:I345"/>
  <mergeCells count="15">
    <mergeCell ref="A1:D1"/>
    <mergeCell ref="B142:D142"/>
    <mergeCell ref="B69:D69"/>
    <mergeCell ref="B122:D122"/>
    <mergeCell ref="A2:D2"/>
    <mergeCell ref="A3:D3"/>
    <mergeCell ref="A5:D5"/>
    <mergeCell ref="B87:D87"/>
    <mergeCell ref="B147:D147"/>
    <mergeCell ref="B43:D43"/>
    <mergeCell ref="B40:D40"/>
    <mergeCell ref="B6:D6"/>
    <mergeCell ref="B9:D9"/>
    <mergeCell ref="B12:D12"/>
    <mergeCell ref="B37:D37"/>
  </mergeCells>
  <pageMargins left="0.98425196850393704" right="0.39370078740157483" top="0.39370078740157483" bottom="0.97" header="0.39370078740157483" footer="0.23622047244094491"/>
  <pageSetup paperSize="9" scale="61" fitToHeight="0"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sheetPr codeName="Лист4"/>
  <dimension ref="A1:E16"/>
  <sheetViews>
    <sheetView zoomScaleNormal="75" workbookViewId="0">
      <selection activeCell="A4" sqref="A4"/>
    </sheetView>
  </sheetViews>
  <sheetFormatPr defaultRowHeight="15"/>
  <cols>
    <col min="1" max="2" width="8" style="78" customWidth="1"/>
    <col min="3" max="3" width="25.42578125" style="81" customWidth="1"/>
    <col min="4" max="4" width="61" style="79" customWidth="1"/>
    <col min="5" max="5" width="9.140625" style="80"/>
    <col min="6" max="6" width="14.5703125" style="80" customWidth="1"/>
    <col min="7" max="16384" width="9.140625" style="80"/>
  </cols>
  <sheetData>
    <row r="1" spans="1:5" ht="45.75" customHeight="1">
      <c r="A1" s="508" t="str">
        <f>"Приложение №"&amp;Н2аист&amp;"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508"/>
      <c r="C1" s="508"/>
      <c r="D1" s="508"/>
      <c r="E1" s="59"/>
    </row>
    <row r="2" spans="1:5" s="59" customFormat="1" ht="44.25" customHeight="1">
      <c r="A2" s="508" t="str">
        <f>"Приложение №"&amp;Н1аист&amp;" к решению
Богучанского районного Совета депутатов
от "&amp;Р1дата&amp;" года №"&amp;Р1номер</f>
        <v>Приложение №1 к решению
Богучанского районного Совета депутатов
от     " " 2018 года №</v>
      </c>
      <c r="B2" s="508"/>
      <c r="C2" s="508"/>
      <c r="D2" s="508"/>
    </row>
    <row r="3" spans="1:5" s="59" customFormat="1" ht="65.25" customHeight="1">
      <c r="A3" s="523" t="str">
        <f>"Главные администраторы 
источников внутреннего финансирования дефицита 
районного бюджета на "&amp;год&amp;" год"</f>
        <v>Главные администраторы 
источников внутреннего финансирования дефицита 
районного бюджета на 2017 год</v>
      </c>
      <c r="B3" s="523"/>
      <c r="C3" s="523"/>
      <c r="D3" s="523"/>
    </row>
    <row r="4" spans="1:5" s="59" customFormat="1" ht="13.5" customHeight="1">
      <c r="A4" s="57"/>
      <c r="B4" s="57"/>
      <c r="C4" s="57"/>
      <c r="D4" s="58"/>
    </row>
    <row r="5" spans="1:5" s="63" customFormat="1" ht="15.75" customHeight="1">
      <c r="A5" s="60"/>
      <c r="B5" s="60"/>
      <c r="C5" s="61"/>
      <c r="D5" s="62"/>
    </row>
    <row r="6" spans="1:5" s="65" customFormat="1" ht="42.75">
      <c r="A6" s="64" t="s">
        <v>199</v>
      </c>
      <c r="B6" s="64" t="s">
        <v>204</v>
      </c>
      <c r="C6" s="64" t="s">
        <v>205</v>
      </c>
      <c r="D6" s="64" t="s">
        <v>206</v>
      </c>
    </row>
    <row r="7" spans="1:5" s="60" customFormat="1" ht="30">
      <c r="A7" s="176">
        <v>1</v>
      </c>
      <c r="B7" s="67" t="s">
        <v>253</v>
      </c>
      <c r="C7" s="68"/>
      <c r="D7" s="69" t="s">
        <v>322</v>
      </c>
    </row>
    <row r="8" spans="1:5" s="74" customFormat="1" ht="28.5">
      <c r="A8" s="70">
        <v>2</v>
      </c>
      <c r="B8" s="71" t="s">
        <v>253</v>
      </c>
      <c r="C8" s="72" t="s">
        <v>208</v>
      </c>
      <c r="D8" s="73" t="s">
        <v>130</v>
      </c>
    </row>
    <row r="9" spans="1:5" s="74" customFormat="1" ht="28.5">
      <c r="A9" s="70">
        <v>3</v>
      </c>
      <c r="B9" s="71" t="s">
        <v>253</v>
      </c>
      <c r="C9" s="72" t="s">
        <v>131</v>
      </c>
      <c r="D9" s="73" t="s">
        <v>132</v>
      </c>
    </row>
    <row r="10" spans="1:5" s="74" customFormat="1" ht="42.75">
      <c r="A10" s="70">
        <v>4</v>
      </c>
      <c r="B10" s="71" t="s">
        <v>253</v>
      </c>
      <c r="C10" s="72" t="s">
        <v>1512</v>
      </c>
      <c r="D10" s="73" t="s">
        <v>82</v>
      </c>
    </row>
    <row r="11" spans="1:5" s="74" customFormat="1" ht="42.75">
      <c r="A11" s="70">
        <v>5</v>
      </c>
      <c r="B11" s="71" t="s">
        <v>253</v>
      </c>
      <c r="C11" s="72" t="s">
        <v>1513</v>
      </c>
      <c r="D11" s="73" t="s">
        <v>83</v>
      </c>
    </row>
    <row r="12" spans="1:5" s="74" customFormat="1" ht="28.5">
      <c r="A12" s="70">
        <v>6</v>
      </c>
      <c r="B12" s="71" t="s">
        <v>253</v>
      </c>
      <c r="C12" s="75" t="s">
        <v>84</v>
      </c>
      <c r="D12" s="73" t="s">
        <v>85</v>
      </c>
    </row>
    <row r="13" spans="1:5" s="74" customFormat="1" ht="28.5">
      <c r="A13" s="70">
        <v>7</v>
      </c>
      <c r="B13" s="71" t="s">
        <v>253</v>
      </c>
      <c r="C13" s="75" t="s">
        <v>86</v>
      </c>
      <c r="D13" s="73" t="s">
        <v>87</v>
      </c>
    </row>
    <row r="14" spans="1:5" s="74" customFormat="1" ht="30">
      <c r="A14" s="66">
        <v>8</v>
      </c>
      <c r="B14" s="67" t="s">
        <v>88</v>
      </c>
      <c r="C14" s="76"/>
      <c r="D14" s="77" t="s">
        <v>89</v>
      </c>
    </row>
    <row r="15" spans="1:5" s="74" customFormat="1" ht="42.75">
      <c r="A15" s="70">
        <v>9</v>
      </c>
      <c r="B15" s="71" t="s">
        <v>88</v>
      </c>
      <c r="C15" s="75" t="s">
        <v>90</v>
      </c>
      <c r="D15" s="73" t="s">
        <v>102</v>
      </c>
    </row>
    <row r="16" spans="1:5">
      <c r="C16" s="78"/>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7.xml><?xml version="1.0" encoding="utf-8"?>
<worksheet xmlns="http://schemas.openxmlformats.org/spreadsheetml/2006/main" xmlns:r="http://schemas.openxmlformats.org/officeDocument/2006/relationships">
  <sheetPr>
    <tabColor theme="6" tint="-0.249977111117893"/>
  </sheetPr>
  <dimension ref="A1:P57"/>
  <sheetViews>
    <sheetView topLeftCell="A38" workbookViewId="0">
      <selection activeCell="G18" sqref="G18"/>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525"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525"/>
      <c r="C1" s="525"/>
      <c r="D1" s="525"/>
      <c r="E1" s="525"/>
      <c r="F1" s="525"/>
      <c r="G1" s="525"/>
      <c r="H1" s="525"/>
    </row>
    <row r="2" spans="1:8" ht="54.75" customHeight="1">
      <c r="A2" s="525"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 " 2018 года №</v>
      </c>
      <c r="B2" s="525"/>
      <c r="C2" s="525"/>
      <c r="D2" s="525"/>
      <c r="E2" s="525"/>
      <c r="F2" s="525"/>
      <c r="G2" s="525"/>
      <c r="H2" s="525"/>
    </row>
    <row r="3" spans="1:8" ht="58.5" customHeight="1">
      <c r="A3" s="509"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2017 год и плановый период 2018-2019 годов</v>
      </c>
      <c r="B3" s="509"/>
      <c r="C3" s="509"/>
      <c r="D3" s="509"/>
      <c r="E3" s="509"/>
      <c r="F3" s="509"/>
      <c r="G3" s="509"/>
      <c r="H3" s="509"/>
    </row>
    <row r="4" spans="1:8" ht="14.25" customHeight="1">
      <c r="A4" s="257"/>
      <c r="B4" s="257"/>
      <c r="C4" s="257"/>
      <c r="D4" s="257"/>
      <c r="E4" s="257"/>
      <c r="F4" s="257"/>
      <c r="G4" s="258" t="s">
        <v>1271</v>
      </c>
      <c r="H4" s="257"/>
    </row>
    <row r="5" spans="1:8" ht="25.5">
      <c r="A5" s="264" t="s">
        <v>1251</v>
      </c>
      <c r="B5" s="256" t="s">
        <v>1252</v>
      </c>
      <c r="C5" s="528" t="s">
        <v>720</v>
      </c>
      <c r="D5" s="529"/>
      <c r="E5" s="528" t="s">
        <v>800</v>
      </c>
      <c r="F5" s="529"/>
      <c r="G5" s="528" t="s">
        <v>1327</v>
      </c>
      <c r="H5" s="529"/>
    </row>
    <row r="6" spans="1:8" ht="38.25">
      <c r="A6" s="264"/>
      <c r="B6" s="256"/>
      <c r="C6" s="251" t="s">
        <v>1253</v>
      </c>
      <c r="D6" s="251" t="s">
        <v>1254</v>
      </c>
      <c r="E6" s="251" t="s">
        <v>1253</v>
      </c>
      <c r="F6" s="251" t="s">
        <v>1254</v>
      </c>
      <c r="G6" s="251" t="s">
        <v>1253</v>
      </c>
      <c r="H6" s="251" t="s">
        <v>1254</v>
      </c>
    </row>
    <row r="7" spans="1:8">
      <c r="A7" s="267">
        <v>1</v>
      </c>
      <c r="B7" s="252">
        <v>2</v>
      </c>
      <c r="C7" s="267">
        <v>3</v>
      </c>
      <c r="D7" s="252">
        <v>4</v>
      </c>
      <c r="E7" s="267">
        <v>5</v>
      </c>
      <c r="F7" s="252">
        <v>6</v>
      </c>
      <c r="G7" s="267">
        <v>7</v>
      </c>
      <c r="H7" s="252">
        <v>8</v>
      </c>
    </row>
    <row r="8" spans="1:8" ht="51">
      <c r="A8" s="253">
        <v>1</v>
      </c>
      <c r="B8" s="254" t="s">
        <v>1255</v>
      </c>
      <c r="C8" s="255">
        <v>5</v>
      </c>
      <c r="D8" s="255"/>
      <c r="E8" s="255">
        <v>5</v>
      </c>
      <c r="F8" s="255"/>
      <c r="G8" s="255">
        <v>5</v>
      </c>
      <c r="H8" s="255"/>
    </row>
    <row r="9" spans="1:8" ht="38.25">
      <c r="A9" s="253">
        <v>2</v>
      </c>
      <c r="B9" s="254" t="s">
        <v>1256</v>
      </c>
      <c r="C9" s="255">
        <v>5</v>
      </c>
      <c r="D9" s="255"/>
      <c r="E9" s="255">
        <v>5</v>
      </c>
      <c r="F9" s="255"/>
      <c r="G9" s="255">
        <v>5</v>
      </c>
      <c r="H9" s="255"/>
    </row>
    <row r="10" spans="1:8" ht="63.75">
      <c r="A10" s="253">
        <v>3</v>
      </c>
      <c r="B10" s="254" t="s">
        <v>1257</v>
      </c>
      <c r="C10" s="255">
        <v>20</v>
      </c>
      <c r="D10" s="255">
        <v>10</v>
      </c>
      <c r="E10" s="255">
        <v>20</v>
      </c>
      <c r="F10" s="255">
        <v>10</v>
      </c>
      <c r="G10" s="255">
        <v>20</v>
      </c>
      <c r="H10" s="255">
        <v>10</v>
      </c>
    </row>
    <row r="11" spans="1:8" ht="102">
      <c r="A11" s="253">
        <v>4</v>
      </c>
      <c r="B11" s="254" t="s">
        <v>1258</v>
      </c>
      <c r="C11" s="255">
        <v>20</v>
      </c>
      <c r="D11" s="255">
        <v>10</v>
      </c>
      <c r="E11" s="255">
        <v>20</v>
      </c>
      <c r="F11" s="255">
        <v>10</v>
      </c>
      <c r="G11" s="255">
        <v>20</v>
      </c>
      <c r="H11" s="255">
        <v>10</v>
      </c>
    </row>
    <row r="12" spans="1:8" ht="38.25">
      <c r="A12" s="253">
        <v>5</v>
      </c>
      <c r="B12" s="254" t="s">
        <v>1259</v>
      </c>
      <c r="C12" s="255">
        <v>20</v>
      </c>
      <c r="D12" s="255">
        <v>10</v>
      </c>
      <c r="E12" s="255">
        <v>20</v>
      </c>
      <c r="F12" s="255">
        <v>10</v>
      </c>
      <c r="G12" s="255">
        <v>20</v>
      </c>
      <c r="H12" s="255">
        <v>10</v>
      </c>
    </row>
    <row r="13" spans="1:8" ht="76.5">
      <c r="A13" s="253">
        <v>6</v>
      </c>
      <c r="B13" s="254" t="s">
        <v>1260</v>
      </c>
      <c r="C13" s="255">
        <v>15</v>
      </c>
      <c r="D13" s="255"/>
      <c r="E13" s="255">
        <v>15</v>
      </c>
      <c r="F13" s="255"/>
      <c r="G13" s="255">
        <v>15</v>
      </c>
      <c r="H13" s="255"/>
    </row>
    <row r="14" spans="1:8" ht="51">
      <c r="A14" s="253">
        <v>7</v>
      </c>
      <c r="B14" s="254" t="s">
        <v>1261</v>
      </c>
      <c r="C14" s="526" t="s">
        <v>1341</v>
      </c>
      <c r="D14" s="527"/>
      <c r="E14" s="526" t="s">
        <v>1341</v>
      </c>
      <c r="F14" s="527"/>
      <c r="G14" s="526" t="s">
        <v>1341</v>
      </c>
      <c r="H14" s="527"/>
    </row>
    <row r="15" spans="1:8" ht="76.5">
      <c r="A15" s="253">
        <v>8</v>
      </c>
      <c r="B15" s="254" t="s">
        <v>1262</v>
      </c>
      <c r="C15" s="526" t="s">
        <v>1341</v>
      </c>
      <c r="D15" s="527"/>
      <c r="E15" s="526" t="s">
        <v>1341</v>
      </c>
      <c r="F15" s="527"/>
      <c r="G15" s="526" t="s">
        <v>1341</v>
      </c>
      <c r="H15" s="527"/>
    </row>
    <row r="16" spans="1:8" ht="51">
      <c r="A16" s="253">
        <v>9</v>
      </c>
      <c r="B16" s="254" t="s">
        <v>1263</v>
      </c>
      <c r="C16" s="526" t="s">
        <v>1341</v>
      </c>
      <c r="D16" s="527"/>
      <c r="E16" s="526" t="s">
        <v>1341</v>
      </c>
      <c r="F16" s="527"/>
      <c r="G16" s="526" t="s">
        <v>1341</v>
      </c>
      <c r="H16" s="527"/>
    </row>
    <row r="17" spans="1:8" ht="51">
      <c r="A17" s="253">
        <v>10</v>
      </c>
      <c r="B17" s="254" t="s">
        <v>1264</v>
      </c>
      <c r="C17" s="526" t="s">
        <v>1341</v>
      </c>
      <c r="D17" s="527"/>
      <c r="E17" s="526" t="s">
        <v>1341</v>
      </c>
      <c r="F17" s="527"/>
      <c r="G17" s="526" t="s">
        <v>1341</v>
      </c>
      <c r="H17" s="527"/>
    </row>
    <row r="18" spans="1:8" ht="25.5">
      <c r="A18" s="253">
        <v>11</v>
      </c>
      <c r="B18" s="254" t="s">
        <v>117</v>
      </c>
      <c r="C18" s="255">
        <v>100</v>
      </c>
      <c r="D18" s="255"/>
      <c r="E18" s="255">
        <v>100</v>
      </c>
      <c r="F18" s="255"/>
      <c r="G18" s="255">
        <v>100</v>
      </c>
      <c r="H18" s="255"/>
    </row>
    <row r="19" spans="1:8" ht="25.5">
      <c r="A19" s="253">
        <v>12</v>
      </c>
      <c r="B19" s="254" t="s">
        <v>1265</v>
      </c>
      <c r="C19" s="255">
        <v>30</v>
      </c>
      <c r="D19" s="255">
        <v>30</v>
      </c>
      <c r="E19" s="255">
        <v>30</v>
      </c>
      <c r="F19" s="255">
        <v>30</v>
      </c>
      <c r="G19" s="255">
        <v>30</v>
      </c>
      <c r="H19" s="255">
        <v>30</v>
      </c>
    </row>
    <row r="20" spans="1:8" ht="25.5">
      <c r="A20" s="253">
        <v>13</v>
      </c>
      <c r="B20" s="254" t="s">
        <v>801</v>
      </c>
      <c r="C20" s="255">
        <v>100</v>
      </c>
      <c r="D20" s="255"/>
      <c r="E20" s="255">
        <v>100</v>
      </c>
      <c r="F20" s="255"/>
      <c r="G20" s="255">
        <v>100</v>
      </c>
      <c r="H20" s="255"/>
    </row>
    <row r="21" spans="1:8" ht="25.5">
      <c r="A21" s="253">
        <v>14</v>
      </c>
      <c r="B21" s="254" t="s">
        <v>1272</v>
      </c>
      <c r="C21" s="255">
        <v>100</v>
      </c>
      <c r="D21" s="255"/>
      <c r="E21" s="255">
        <v>100</v>
      </c>
      <c r="F21" s="255"/>
      <c r="G21" s="255">
        <v>100</v>
      </c>
      <c r="H21" s="255"/>
    </row>
    <row r="22" spans="1:8" ht="25.5">
      <c r="A22" s="253">
        <v>15</v>
      </c>
      <c r="B22" s="254" t="s">
        <v>1273</v>
      </c>
      <c r="C22" s="255"/>
      <c r="D22" s="255">
        <v>100</v>
      </c>
      <c r="E22" s="255"/>
      <c r="F22" s="255">
        <v>100</v>
      </c>
      <c r="G22" s="255"/>
      <c r="H22" s="255">
        <v>100</v>
      </c>
    </row>
    <row r="23" spans="1:8" ht="25.5">
      <c r="A23" s="253">
        <v>16</v>
      </c>
      <c r="B23" s="254" t="s">
        <v>1285</v>
      </c>
      <c r="C23" s="255">
        <v>100</v>
      </c>
      <c r="D23" s="255"/>
      <c r="E23" s="255">
        <v>100</v>
      </c>
      <c r="F23" s="255"/>
      <c r="G23" s="255">
        <v>100</v>
      </c>
      <c r="H23" s="255"/>
    </row>
    <row r="24" spans="1:8" ht="25.5">
      <c r="A24" s="253">
        <v>17</v>
      </c>
      <c r="B24" s="254" t="s">
        <v>1286</v>
      </c>
      <c r="C24" s="255">
        <v>100</v>
      </c>
      <c r="D24" s="255"/>
      <c r="E24" s="255">
        <v>100</v>
      </c>
      <c r="F24" s="255"/>
      <c r="G24" s="255">
        <v>100</v>
      </c>
      <c r="H24" s="255"/>
    </row>
    <row r="25" spans="1:8" ht="25.5">
      <c r="A25" s="253">
        <v>18</v>
      </c>
      <c r="B25" s="254" t="s">
        <v>120</v>
      </c>
      <c r="C25" s="255">
        <v>100</v>
      </c>
      <c r="D25" s="255"/>
      <c r="E25" s="255">
        <v>100</v>
      </c>
      <c r="F25" s="255"/>
      <c r="G25" s="255">
        <v>100</v>
      </c>
      <c r="H25" s="255"/>
    </row>
    <row r="26" spans="1:8" ht="38.25">
      <c r="A26" s="253">
        <v>19</v>
      </c>
      <c r="B26" s="254" t="s">
        <v>1274</v>
      </c>
      <c r="C26" s="255"/>
      <c r="D26" s="255">
        <v>100</v>
      </c>
      <c r="E26" s="255"/>
      <c r="F26" s="255">
        <v>100</v>
      </c>
      <c r="G26" s="255"/>
      <c r="H26" s="255">
        <v>100</v>
      </c>
    </row>
    <row r="27" spans="1:8" ht="25.5">
      <c r="A27" s="253">
        <v>20</v>
      </c>
      <c r="B27" s="254" t="s">
        <v>341</v>
      </c>
      <c r="C27" s="255">
        <v>100</v>
      </c>
      <c r="D27" s="255"/>
      <c r="E27" s="255">
        <v>100</v>
      </c>
      <c r="F27" s="255"/>
      <c r="G27" s="255">
        <v>100</v>
      </c>
      <c r="H27" s="255"/>
    </row>
    <row r="28" spans="1:8" ht="38.25">
      <c r="A28" s="253"/>
      <c r="B28" s="254" t="s">
        <v>1275</v>
      </c>
      <c r="C28" s="255"/>
      <c r="D28" s="255"/>
      <c r="E28" s="255"/>
      <c r="F28" s="255"/>
      <c r="G28" s="255"/>
      <c r="H28" s="255"/>
    </row>
    <row r="29" spans="1:8" ht="25.5">
      <c r="A29" s="253">
        <v>21</v>
      </c>
      <c r="B29" s="259" t="s">
        <v>128</v>
      </c>
      <c r="C29" s="255">
        <v>100</v>
      </c>
      <c r="D29" s="255"/>
      <c r="E29" s="255">
        <v>100</v>
      </c>
      <c r="F29" s="255"/>
      <c r="G29" s="255">
        <v>100</v>
      </c>
      <c r="H29" s="255"/>
    </row>
    <row r="30" spans="1:8" ht="89.25">
      <c r="A30" s="253">
        <v>22</v>
      </c>
      <c r="B30" s="260" t="s">
        <v>178</v>
      </c>
      <c r="C30" s="255">
        <v>100</v>
      </c>
      <c r="D30" s="255"/>
      <c r="E30" s="255">
        <v>100</v>
      </c>
      <c r="F30" s="255"/>
      <c r="G30" s="255">
        <v>100</v>
      </c>
      <c r="H30" s="255"/>
    </row>
    <row r="31" spans="1:8" ht="76.5">
      <c r="A31" s="253">
        <v>23</v>
      </c>
      <c r="B31" s="259" t="s">
        <v>262</v>
      </c>
      <c r="C31" s="255">
        <v>100</v>
      </c>
      <c r="D31" s="255"/>
      <c r="E31" s="255">
        <v>100</v>
      </c>
      <c r="F31" s="255"/>
      <c r="G31" s="255">
        <v>100</v>
      </c>
      <c r="H31" s="255"/>
    </row>
    <row r="32" spans="1:8" ht="63.75">
      <c r="A32" s="253">
        <v>24</v>
      </c>
      <c r="B32" s="259" t="s">
        <v>179</v>
      </c>
      <c r="C32" s="255">
        <v>100</v>
      </c>
      <c r="D32" s="255"/>
      <c r="E32" s="255">
        <v>100</v>
      </c>
      <c r="F32" s="255"/>
      <c r="G32" s="255">
        <v>100</v>
      </c>
      <c r="H32" s="255"/>
    </row>
    <row r="33" spans="1:8" ht="63.75">
      <c r="A33" s="253">
        <v>25</v>
      </c>
      <c r="B33" s="259" t="s">
        <v>245</v>
      </c>
      <c r="C33" s="255">
        <v>100</v>
      </c>
      <c r="D33" s="255"/>
      <c r="E33" s="255">
        <v>100</v>
      </c>
      <c r="F33" s="255"/>
      <c r="G33" s="255">
        <v>100</v>
      </c>
      <c r="H33" s="255"/>
    </row>
    <row r="34" spans="1:8" ht="63.75">
      <c r="A34" s="253">
        <v>26</v>
      </c>
      <c r="B34" s="259" t="s">
        <v>1276</v>
      </c>
      <c r="C34" s="255"/>
      <c r="D34" s="255">
        <v>100</v>
      </c>
      <c r="E34" s="255"/>
      <c r="F34" s="255">
        <v>100</v>
      </c>
      <c r="G34" s="255"/>
      <c r="H34" s="255">
        <v>100</v>
      </c>
    </row>
    <row r="35" spans="1:8" ht="51">
      <c r="A35" s="253">
        <v>27</v>
      </c>
      <c r="B35" s="259" t="s">
        <v>15</v>
      </c>
      <c r="C35" s="255">
        <v>100</v>
      </c>
      <c r="D35" s="255"/>
      <c r="E35" s="255">
        <v>100</v>
      </c>
      <c r="F35" s="255"/>
      <c r="G35" s="255">
        <v>100</v>
      </c>
      <c r="H35" s="255"/>
    </row>
    <row r="36" spans="1:8" ht="76.5">
      <c r="A36" s="253">
        <v>28</v>
      </c>
      <c r="B36" s="259" t="s">
        <v>806</v>
      </c>
      <c r="C36" s="255">
        <v>100</v>
      </c>
      <c r="D36" s="255"/>
      <c r="E36" s="255">
        <v>100</v>
      </c>
      <c r="F36" s="255"/>
      <c r="G36" s="255">
        <v>100</v>
      </c>
      <c r="H36" s="255"/>
    </row>
    <row r="37" spans="1:8" ht="25.5">
      <c r="A37" s="253">
        <v>29</v>
      </c>
      <c r="B37" s="254" t="s">
        <v>1266</v>
      </c>
      <c r="C37" s="255">
        <v>55</v>
      </c>
      <c r="D37" s="255"/>
      <c r="E37" s="255">
        <v>55</v>
      </c>
      <c r="F37" s="255"/>
      <c r="G37" s="255">
        <v>55</v>
      </c>
      <c r="H37" s="255"/>
    </row>
    <row r="38" spans="1:8" ht="25.5">
      <c r="A38" s="253">
        <v>30</v>
      </c>
      <c r="B38" s="254" t="s">
        <v>1267</v>
      </c>
      <c r="C38" s="255">
        <v>55</v>
      </c>
      <c r="D38" s="255"/>
      <c r="E38" s="255">
        <v>55</v>
      </c>
      <c r="F38" s="255"/>
      <c r="G38" s="255">
        <v>55</v>
      </c>
      <c r="H38" s="255"/>
    </row>
    <row r="39" spans="1:8" ht="25.5">
      <c r="A39" s="253">
        <v>31</v>
      </c>
      <c r="B39" s="254" t="s">
        <v>1268</v>
      </c>
      <c r="C39" s="255">
        <v>55</v>
      </c>
      <c r="D39" s="255"/>
      <c r="E39" s="255">
        <v>55</v>
      </c>
      <c r="F39" s="255"/>
      <c r="G39" s="255">
        <v>55</v>
      </c>
      <c r="H39" s="255"/>
    </row>
    <row r="40" spans="1:8" ht="25.5">
      <c r="A40" s="253">
        <v>32</v>
      </c>
      <c r="B40" s="254" t="s">
        <v>810</v>
      </c>
      <c r="C40" s="255">
        <v>55</v>
      </c>
      <c r="D40" s="255"/>
      <c r="E40" s="255">
        <v>55</v>
      </c>
      <c r="F40" s="255"/>
      <c r="G40" s="255">
        <v>55</v>
      </c>
      <c r="H40" s="255"/>
    </row>
    <row r="41" spans="1:8" ht="25.5">
      <c r="A41" s="253">
        <v>33</v>
      </c>
      <c r="B41" s="254" t="s">
        <v>1269</v>
      </c>
      <c r="C41" s="255">
        <v>55</v>
      </c>
      <c r="D41" s="255"/>
      <c r="E41" s="255">
        <v>55</v>
      </c>
      <c r="F41" s="255"/>
      <c r="G41" s="255">
        <v>55</v>
      </c>
      <c r="H41" s="255"/>
    </row>
    <row r="42" spans="1:8" ht="38.25">
      <c r="A42" s="253">
        <v>34</v>
      </c>
      <c r="B42" s="254" t="s">
        <v>1270</v>
      </c>
      <c r="C42" s="255">
        <v>55</v>
      </c>
      <c r="D42" s="255"/>
      <c r="E42" s="255">
        <v>55</v>
      </c>
      <c r="F42" s="255"/>
      <c r="G42" s="255">
        <v>55</v>
      </c>
      <c r="H42" s="255"/>
    </row>
    <row r="43" spans="1:8" ht="38.25">
      <c r="A43" s="253">
        <v>35</v>
      </c>
      <c r="B43" s="254" t="s">
        <v>292</v>
      </c>
      <c r="C43" s="255">
        <v>100</v>
      </c>
      <c r="D43" s="255"/>
      <c r="E43" s="255">
        <v>100</v>
      </c>
      <c r="F43" s="255"/>
      <c r="G43" s="255">
        <v>100</v>
      </c>
      <c r="H43" s="255"/>
    </row>
    <row r="44" spans="1:8" ht="38.25">
      <c r="A44" s="253">
        <v>36</v>
      </c>
      <c r="B44" s="254" t="s">
        <v>673</v>
      </c>
      <c r="C44" s="255">
        <v>100</v>
      </c>
      <c r="D44" s="255"/>
      <c r="E44" s="255">
        <v>100</v>
      </c>
      <c r="F44" s="255"/>
      <c r="G44" s="255">
        <v>100</v>
      </c>
      <c r="H44" s="255"/>
    </row>
    <row r="45" spans="1:8">
      <c r="A45" s="253">
        <v>37</v>
      </c>
      <c r="B45" s="254" t="s">
        <v>381</v>
      </c>
      <c r="C45" s="255">
        <v>100</v>
      </c>
      <c r="D45" s="255"/>
      <c r="E45" s="255">
        <v>100</v>
      </c>
      <c r="F45" s="255"/>
      <c r="G45" s="255">
        <v>100</v>
      </c>
      <c r="H45" s="255"/>
    </row>
    <row r="46" spans="1:8" ht="51">
      <c r="A46" s="253">
        <v>38</v>
      </c>
      <c r="B46" s="254" t="s">
        <v>99</v>
      </c>
      <c r="C46" s="255">
        <v>100</v>
      </c>
      <c r="D46" s="255"/>
      <c r="E46" s="255">
        <v>100</v>
      </c>
      <c r="F46" s="255"/>
      <c r="G46" s="255">
        <v>100</v>
      </c>
      <c r="H46" s="255"/>
    </row>
    <row r="47" spans="1:8" ht="51">
      <c r="A47" s="253">
        <v>39</v>
      </c>
      <c r="B47" s="254" t="s">
        <v>155</v>
      </c>
      <c r="C47" s="255">
        <v>100</v>
      </c>
      <c r="D47" s="255"/>
      <c r="E47" s="255">
        <v>100</v>
      </c>
      <c r="F47" s="255"/>
      <c r="G47" s="255">
        <v>100</v>
      </c>
      <c r="H47" s="255"/>
    </row>
    <row r="48" spans="1:8" ht="51">
      <c r="A48" s="253">
        <v>40</v>
      </c>
      <c r="B48" s="254" t="s">
        <v>1283</v>
      </c>
      <c r="C48" s="255">
        <v>100</v>
      </c>
      <c r="D48" s="255"/>
      <c r="E48" s="255">
        <v>100</v>
      </c>
      <c r="F48" s="255"/>
      <c r="G48" s="255">
        <v>100</v>
      </c>
      <c r="H48" s="255"/>
    </row>
    <row r="49" spans="1:16" ht="51">
      <c r="A49" s="253">
        <v>41</v>
      </c>
      <c r="B49" s="254" t="s">
        <v>1284</v>
      </c>
      <c r="C49" s="255"/>
      <c r="D49" s="255">
        <v>100</v>
      </c>
      <c r="E49" s="255"/>
      <c r="F49" s="255">
        <v>100</v>
      </c>
      <c r="G49" s="255"/>
      <c r="H49" s="255">
        <v>100</v>
      </c>
    </row>
    <row r="50" spans="1:16" ht="25.5">
      <c r="A50" s="253">
        <v>42</v>
      </c>
      <c r="B50" s="259" t="s">
        <v>430</v>
      </c>
      <c r="C50" s="262">
        <v>100</v>
      </c>
      <c r="D50" s="261"/>
      <c r="E50" s="262">
        <v>100</v>
      </c>
      <c r="F50" s="261"/>
      <c r="G50" s="262">
        <v>100</v>
      </c>
      <c r="H50" s="261"/>
    </row>
    <row r="51" spans="1:16" ht="25.5">
      <c r="A51" s="253">
        <v>43</v>
      </c>
      <c r="B51" s="263" t="s">
        <v>1278</v>
      </c>
      <c r="C51" s="262">
        <v>100</v>
      </c>
      <c r="D51" s="261"/>
      <c r="E51" s="262">
        <v>100</v>
      </c>
      <c r="F51" s="261"/>
      <c r="G51" s="262">
        <v>100</v>
      </c>
      <c r="H51" s="261"/>
    </row>
    <row r="52" spans="1:16">
      <c r="A52" s="253">
        <v>44</v>
      </c>
      <c r="B52" s="263" t="s">
        <v>1279</v>
      </c>
      <c r="C52" s="261"/>
      <c r="D52" s="265">
        <v>100</v>
      </c>
      <c r="E52" s="265"/>
      <c r="F52" s="265">
        <v>100</v>
      </c>
      <c r="G52" s="265"/>
      <c r="H52" s="265">
        <v>100</v>
      </c>
    </row>
    <row r="55" spans="1:16" ht="12.75" customHeight="1">
      <c r="A55" s="524" t="s">
        <v>1280</v>
      </c>
      <c r="B55" s="524"/>
      <c r="C55" s="524"/>
      <c r="D55" s="524"/>
      <c r="E55" s="524"/>
      <c r="F55" s="524"/>
      <c r="G55" s="524"/>
      <c r="H55" s="524"/>
      <c r="I55" s="266"/>
      <c r="J55" s="266"/>
      <c r="K55" s="266"/>
      <c r="L55" s="266"/>
      <c r="M55" s="266"/>
      <c r="N55" s="266"/>
      <c r="O55" s="266"/>
      <c r="P55" s="266"/>
    </row>
    <row r="56" spans="1:16">
      <c r="B56" s="200" t="s">
        <v>1282</v>
      </c>
    </row>
    <row r="57" spans="1:16">
      <c r="B57" s="200" t="s">
        <v>1281</v>
      </c>
    </row>
  </sheetData>
  <mergeCells count="19">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 ref="C5:D5"/>
    <mergeCell ref="E5:F5"/>
    <mergeCell ref="G5:H5"/>
  </mergeCells>
  <pageMargins left="0.54" right="0.1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filterMode="1">
    <tabColor rgb="FF92D050"/>
  </sheetPr>
  <dimension ref="A1:J210"/>
  <sheetViews>
    <sheetView topLeftCell="A2" zoomScaleNormal="100" workbookViewId="0">
      <selection activeCell="F104" sqref="F104"/>
    </sheetView>
  </sheetViews>
  <sheetFormatPr defaultRowHeight="33.75" customHeight="1"/>
  <cols>
    <col min="1" max="1" width="6.28515625" style="394" customWidth="1"/>
    <col min="2" max="2" width="21.5703125" style="394" customWidth="1"/>
    <col min="3" max="3" width="6.42578125" style="394" customWidth="1"/>
    <col min="4" max="4" width="52.7109375" style="395" customWidth="1"/>
    <col min="5" max="5" width="19.85546875" style="395" customWidth="1"/>
    <col min="6" max="6" width="15.5703125" style="396" customWidth="1"/>
    <col min="7" max="7" width="11.140625" style="482" customWidth="1"/>
    <col min="8" max="257" width="9.140625" style="131"/>
    <col min="258" max="258" width="6.28515625" style="131" customWidth="1"/>
    <col min="259" max="259" width="21.5703125" style="131" customWidth="1"/>
    <col min="260" max="260" width="6.42578125" style="131" customWidth="1"/>
    <col min="261" max="261" width="52.7109375" style="131" customWidth="1"/>
    <col min="262" max="262" width="15.5703125" style="131" customWidth="1"/>
    <col min="263" max="513" width="9.140625" style="131"/>
    <col min="514" max="514" width="6.28515625" style="131" customWidth="1"/>
    <col min="515" max="515" width="21.5703125" style="131" customWidth="1"/>
    <col min="516" max="516" width="6.42578125" style="131" customWidth="1"/>
    <col min="517" max="517" width="52.7109375" style="131" customWidth="1"/>
    <col min="518" max="518" width="15.5703125" style="131" customWidth="1"/>
    <col min="519" max="769" width="9.140625" style="131"/>
    <col min="770" max="770" width="6.28515625" style="131" customWidth="1"/>
    <col min="771" max="771" width="21.5703125" style="131" customWidth="1"/>
    <col min="772" max="772" width="6.42578125" style="131" customWidth="1"/>
    <col min="773" max="773" width="52.7109375" style="131" customWidth="1"/>
    <col min="774" max="774" width="15.5703125" style="131" customWidth="1"/>
    <col min="775" max="1025" width="9.140625" style="131"/>
    <col min="1026" max="1026" width="6.28515625" style="131" customWidth="1"/>
    <col min="1027" max="1027" width="21.5703125" style="131" customWidth="1"/>
    <col min="1028" max="1028" width="6.42578125" style="131" customWidth="1"/>
    <col min="1029" max="1029" width="52.7109375" style="131" customWidth="1"/>
    <col min="1030" max="1030" width="15.5703125" style="131" customWidth="1"/>
    <col min="1031" max="1281" width="9.140625" style="131"/>
    <col min="1282" max="1282" width="6.28515625" style="131" customWidth="1"/>
    <col min="1283" max="1283" width="21.5703125" style="131" customWidth="1"/>
    <col min="1284" max="1284" width="6.42578125" style="131" customWidth="1"/>
    <col min="1285" max="1285" width="52.7109375" style="131" customWidth="1"/>
    <col min="1286" max="1286" width="15.5703125" style="131" customWidth="1"/>
    <col min="1287" max="1537" width="9.140625" style="131"/>
    <col min="1538" max="1538" width="6.28515625" style="131" customWidth="1"/>
    <col min="1539" max="1539" width="21.5703125" style="131" customWidth="1"/>
    <col min="1540" max="1540" width="6.42578125" style="131" customWidth="1"/>
    <col min="1541" max="1541" width="52.7109375" style="131" customWidth="1"/>
    <col min="1542" max="1542" width="15.5703125" style="131" customWidth="1"/>
    <col min="1543" max="1793" width="9.140625" style="131"/>
    <col min="1794" max="1794" width="6.28515625" style="131" customWidth="1"/>
    <col min="1795" max="1795" width="21.5703125" style="131" customWidth="1"/>
    <col min="1796" max="1796" width="6.42578125" style="131" customWidth="1"/>
    <col min="1797" max="1797" width="52.7109375" style="131" customWidth="1"/>
    <col min="1798" max="1798" width="15.5703125" style="131" customWidth="1"/>
    <col min="1799" max="2049" width="9.140625" style="131"/>
    <col min="2050" max="2050" width="6.28515625" style="131" customWidth="1"/>
    <col min="2051" max="2051" width="21.5703125" style="131" customWidth="1"/>
    <col min="2052" max="2052" width="6.42578125" style="131" customWidth="1"/>
    <col min="2053" max="2053" width="52.7109375" style="131" customWidth="1"/>
    <col min="2054" max="2054" width="15.5703125" style="131" customWidth="1"/>
    <col min="2055" max="2305" width="9.140625" style="131"/>
    <col min="2306" max="2306" width="6.28515625" style="131" customWidth="1"/>
    <col min="2307" max="2307" width="21.5703125" style="131" customWidth="1"/>
    <col min="2308" max="2308" width="6.42578125" style="131" customWidth="1"/>
    <col min="2309" max="2309" width="52.7109375" style="131" customWidth="1"/>
    <col min="2310" max="2310" width="15.5703125" style="131" customWidth="1"/>
    <col min="2311" max="2561" width="9.140625" style="131"/>
    <col min="2562" max="2562" width="6.28515625" style="131" customWidth="1"/>
    <col min="2563" max="2563" width="21.5703125" style="131" customWidth="1"/>
    <col min="2564" max="2564" width="6.42578125" style="131" customWidth="1"/>
    <col min="2565" max="2565" width="52.7109375" style="131" customWidth="1"/>
    <col min="2566" max="2566" width="15.5703125" style="131" customWidth="1"/>
    <col min="2567" max="2817" width="9.140625" style="131"/>
    <col min="2818" max="2818" width="6.28515625" style="131" customWidth="1"/>
    <col min="2819" max="2819" width="21.5703125" style="131" customWidth="1"/>
    <col min="2820" max="2820" width="6.42578125" style="131" customWidth="1"/>
    <col min="2821" max="2821" width="52.7109375" style="131" customWidth="1"/>
    <col min="2822" max="2822" width="15.5703125" style="131" customWidth="1"/>
    <col min="2823" max="3073" width="9.140625" style="131"/>
    <col min="3074" max="3074" width="6.28515625" style="131" customWidth="1"/>
    <col min="3075" max="3075" width="21.5703125" style="131" customWidth="1"/>
    <col min="3076" max="3076" width="6.42578125" style="131" customWidth="1"/>
    <col min="3077" max="3077" width="52.7109375" style="131" customWidth="1"/>
    <col min="3078" max="3078" width="15.5703125" style="131" customWidth="1"/>
    <col min="3079" max="3329" width="9.140625" style="131"/>
    <col min="3330" max="3330" width="6.28515625" style="131" customWidth="1"/>
    <col min="3331" max="3331" width="21.5703125" style="131" customWidth="1"/>
    <col min="3332" max="3332" width="6.42578125" style="131" customWidth="1"/>
    <col min="3333" max="3333" width="52.7109375" style="131" customWidth="1"/>
    <col min="3334" max="3334" width="15.5703125" style="131" customWidth="1"/>
    <col min="3335" max="3585" width="9.140625" style="131"/>
    <col min="3586" max="3586" width="6.28515625" style="131" customWidth="1"/>
    <col min="3587" max="3587" width="21.5703125" style="131" customWidth="1"/>
    <col min="3588" max="3588" width="6.42578125" style="131" customWidth="1"/>
    <col min="3589" max="3589" width="52.7109375" style="131" customWidth="1"/>
    <col min="3590" max="3590" width="15.5703125" style="131" customWidth="1"/>
    <col min="3591" max="3841" width="9.140625" style="131"/>
    <col min="3842" max="3842" width="6.28515625" style="131" customWidth="1"/>
    <col min="3843" max="3843" width="21.5703125" style="131" customWidth="1"/>
    <col min="3844" max="3844" width="6.42578125" style="131" customWidth="1"/>
    <col min="3845" max="3845" width="52.7109375" style="131" customWidth="1"/>
    <col min="3846" max="3846" width="15.5703125" style="131" customWidth="1"/>
    <col min="3847" max="4097" width="9.140625" style="131"/>
    <col min="4098" max="4098" width="6.28515625" style="131" customWidth="1"/>
    <col min="4099" max="4099" width="21.5703125" style="131" customWidth="1"/>
    <col min="4100" max="4100" width="6.42578125" style="131" customWidth="1"/>
    <col min="4101" max="4101" width="52.7109375" style="131" customWidth="1"/>
    <col min="4102" max="4102" width="15.5703125" style="131" customWidth="1"/>
    <col min="4103" max="4353" width="9.140625" style="131"/>
    <col min="4354" max="4354" width="6.28515625" style="131" customWidth="1"/>
    <col min="4355" max="4355" width="21.5703125" style="131" customWidth="1"/>
    <col min="4356" max="4356" width="6.42578125" style="131" customWidth="1"/>
    <col min="4357" max="4357" width="52.7109375" style="131" customWidth="1"/>
    <col min="4358" max="4358" width="15.5703125" style="131" customWidth="1"/>
    <col min="4359" max="4609" width="9.140625" style="131"/>
    <col min="4610" max="4610" width="6.28515625" style="131" customWidth="1"/>
    <col min="4611" max="4611" width="21.5703125" style="131" customWidth="1"/>
    <col min="4612" max="4612" width="6.42578125" style="131" customWidth="1"/>
    <col min="4613" max="4613" width="52.7109375" style="131" customWidth="1"/>
    <col min="4614" max="4614" width="15.5703125" style="131" customWidth="1"/>
    <col min="4615" max="4865" width="9.140625" style="131"/>
    <col min="4866" max="4866" width="6.28515625" style="131" customWidth="1"/>
    <col min="4867" max="4867" width="21.5703125" style="131" customWidth="1"/>
    <col min="4868" max="4868" width="6.42578125" style="131" customWidth="1"/>
    <col min="4869" max="4869" width="52.7109375" style="131" customWidth="1"/>
    <col min="4870" max="4870" width="15.5703125" style="131" customWidth="1"/>
    <col min="4871" max="5121" width="9.140625" style="131"/>
    <col min="5122" max="5122" width="6.28515625" style="131" customWidth="1"/>
    <col min="5123" max="5123" width="21.5703125" style="131" customWidth="1"/>
    <col min="5124" max="5124" width="6.42578125" style="131" customWidth="1"/>
    <col min="5125" max="5125" width="52.7109375" style="131" customWidth="1"/>
    <col min="5126" max="5126" width="15.5703125" style="131" customWidth="1"/>
    <col min="5127" max="5377" width="9.140625" style="131"/>
    <col min="5378" max="5378" width="6.28515625" style="131" customWidth="1"/>
    <col min="5379" max="5379" width="21.5703125" style="131" customWidth="1"/>
    <col min="5380" max="5380" width="6.42578125" style="131" customWidth="1"/>
    <col min="5381" max="5381" width="52.7109375" style="131" customWidth="1"/>
    <col min="5382" max="5382" width="15.5703125" style="131" customWidth="1"/>
    <col min="5383" max="5633" width="9.140625" style="131"/>
    <col min="5634" max="5634" width="6.28515625" style="131" customWidth="1"/>
    <col min="5635" max="5635" width="21.5703125" style="131" customWidth="1"/>
    <col min="5636" max="5636" width="6.42578125" style="131" customWidth="1"/>
    <col min="5637" max="5637" width="52.7109375" style="131" customWidth="1"/>
    <col min="5638" max="5638" width="15.5703125" style="131" customWidth="1"/>
    <col min="5639" max="5889" width="9.140625" style="131"/>
    <col min="5890" max="5890" width="6.28515625" style="131" customWidth="1"/>
    <col min="5891" max="5891" width="21.5703125" style="131" customWidth="1"/>
    <col min="5892" max="5892" width="6.42578125" style="131" customWidth="1"/>
    <col min="5893" max="5893" width="52.7109375" style="131" customWidth="1"/>
    <col min="5894" max="5894" width="15.5703125" style="131" customWidth="1"/>
    <col min="5895" max="6145" width="9.140625" style="131"/>
    <col min="6146" max="6146" width="6.28515625" style="131" customWidth="1"/>
    <col min="6147" max="6147" width="21.5703125" style="131" customWidth="1"/>
    <col min="6148" max="6148" width="6.42578125" style="131" customWidth="1"/>
    <col min="6149" max="6149" width="52.7109375" style="131" customWidth="1"/>
    <col min="6150" max="6150" width="15.5703125" style="131" customWidth="1"/>
    <col min="6151" max="6401" width="9.140625" style="131"/>
    <col min="6402" max="6402" width="6.28515625" style="131" customWidth="1"/>
    <col min="6403" max="6403" width="21.5703125" style="131" customWidth="1"/>
    <col min="6404" max="6404" width="6.42578125" style="131" customWidth="1"/>
    <col min="6405" max="6405" width="52.7109375" style="131" customWidth="1"/>
    <col min="6406" max="6406" width="15.5703125" style="131" customWidth="1"/>
    <col min="6407" max="6657" width="9.140625" style="131"/>
    <col min="6658" max="6658" width="6.28515625" style="131" customWidth="1"/>
    <col min="6659" max="6659" width="21.5703125" style="131" customWidth="1"/>
    <col min="6660" max="6660" width="6.42578125" style="131" customWidth="1"/>
    <col min="6661" max="6661" width="52.7109375" style="131" customWidth="1"/>
    <col min="6662" max="6662" width="15.5703125" style="131" customWidth="1"/>
    <col min="6663" max="6913" width="9.140625" style="131"/>
    <col min="6914" max="6914" width="6.28515625" style="131" customWidth="1"/>
    <col min="6915" max="6915" width="21.5703125" style="131" customWidth="1"/>
    <col min="6916" max="6916" width="6.42578125" style="131" customWidth="1"/>
    <col min="6917" max="6917" width="52.7109375" style="131" customWidth="1"/>
    <col min="6918" max="6918" width="15.5703125" style="131" customWidth="1"/>
    <col min="6919" max="7169" width="9.140625" style="131"/>
    <col min="7170" max="7170" width="6.28515625" style="131" customWidth="1"/>
    <col min="7171" max="7171" width="21.5703125" style="131" customWidth="1"/>
    <col min="7172" max="7172" width="6.42578125" style="131" customWidth="1"/>
    <col min="7173" max="7173" width="52.7109375" style="131" customWidth="1"/>
    <col min="7174" max="7174" width="15.5703125" style="131" customWidth="1"/>
    <col min="7175" max="7425" width="9.140625" style="131"/>
    <col min="7426" max="7426" width="6.28515625" style="131" customWidth="1"/>
    <col min="7427" max="7427" width="21.5703125" style="131" customWidth="1"/>
    <col min="7428" max="7428" width="6.42578125" style="131" customWidth="1"/>
    <col min="7429" max="7429" width="52.7109375" style="131" customWidth="1"/>
    <col min="7430" max="7430" width="15.5703125" style="131" customWidth="1"/>
    <col min="7431" max="7681" width="9.140625" style="131"/>
    <col min="7682" max="7682" width="6.28515625" style="131" customWidth="1"/>
    <col min="7683" max="7683" width="21.5703125" style="131" customWidth="1"/>
    <col min="7684" max="7684" width="6.42578125" style="131" customWidth="1"/>
    <col min="7685" max="7685" width="52.7109375" style="131" customWidth="1"/>
    <col min="7686" max="7686" width="15.5703125" style="131" customWidth="1"/>
    <col min="7687" max="7937" width="9.140625" style="131"/>
    <col min="7938" max="7938" width="6.28515625" style="131" customWidth="1"/>
    <col min="7939" max="7939" width="21.5703125" style="131" customWidth="1"/>
    <col min="7940" max="7940" width="6.42578125" style="131" customWidth="1"/>
    <col min="7941" max="7941" width="52.7109375" style="131" customWidth="1"/>
    <col min="7942" max="7942" width="15.5703125" style="131" customWidth="1"/>
    <col min="7943" max="8193" width="9.140625" style="131"/>
    <col min="8194" max="8194" width="6.28515625" style="131" customWidth="1"/>
    <col min="8195" max="8195" width="21.5703125" style="131" customWidth="1"/>
    <col min="8196" max="8196" width="6.42578125" style="131" customWidth="1"/>
    <col min="8197" max="8197" width="52.7109375" style="131" customWidth="1"/>
    <col min="8198" max="8198" width="15.5703125" style="131" customWidth="1"/>
    <col min="8199" max="8449" width="9.140625" style="131"/>
    <col min="8450" max="8450" width="6.28515625" style="131" customWidth="1"/>
    <col min="8451" max="8451" width="21.5703125" style="131" customWidth="1"/>
    <col min="8452" max="8452" width="6.42578125" style="131" customWidth="1"/>
    <col min="8453" max="8453" width="52.7109375" style="131" customWidth="1"/>
    <col min="8454" max="8454" width="15.5703125" style="131" customWidth="1"/>
    <col min="8455" max="8705" width="9.140625" style="131"/>
    <col min="8706" max="8706" width="6.28515625" style="131" customWidth="1"/>
    <col min="8707" max="8707" width="21.5703125" style="131" customWidth="1"/>
    <col min="8708" max="8708" width="6.42578125" style="131" customWidth="1"/>
    <col min="8709" max="8709" width="52.7109375" style="131" customWidth="1"/>
    <col min="8710" max="8710" width="15.5703125" style="131" customWidth="1"/>
    <col min="8711" max="8961" width="9.140625" style="131"/>
    <col min="8962" max="8962" width="6.28515625" style="131" customWidth="1"/>
    <col min="8963" max="8963" width="21.5703125" style="131" customWidth="1"/>
    <col min="8964" max="8964" width="6.42578125" style="131" customWidth="1"/>
    <col min="8965" max="8965" width="52.7109375" style="131" customWidth="1"/>
    <col min="8966" max="8966" width="15.5703125" style="131" customWidth="1"/>
    <col min="8967" max="9217" width="9.140625" style="131"/>
    <col min="9218" max="9218" width="6.28515625" style="131" customWidth="1"/>
    <col min="9219" max="9219" width="21.5703125" style="131" customWidth="1"/>
    <col min="9220" max="9220" width="6.42578125" style="131" customWidth="1"/>
    <col min="9221" max="9221" width="52.7109375" style="131" customWidth="1"/>
    <col min="9222" max="9222" width="15.5703125" style="131" customWidth="1"/>
    <col min="9223" max="9473" width="9.140625" style="131"/>
    <col min="9474" max="9474" width="6.28515625" style="131" customWidth="1"/>
    <col min="9475" max="9475" width="21.5703125" style="131" customWidth="1"/>
    <col min="9476" max="9476" width="6.42578125" style="131" customWidth="1"/>
    <col min="9477" max="9477" width="52.7109375" style="131" customWidth="1"/>
    <col min="9478" max="9478" width="15.5703125" style="131" customWidth="1"/>
    <col min="9479" max="9729" width="9.140625" style="131"/>
    <col min="9730" max="9730" width="6.28515625" style="131" customWidth="1"/>
    <col min="9731" max="9731" width="21.5703125" style="131" customWidth="1"/>
    <col min="9732" max="9732" width="6.42578125" style="131" customWidth="1"/>
    <col min="9733" max="9733" width="52.7109375" style="131" customWidth="1"/>
    <col min="9734" max="9734" width="15.5703125" style="131" customWidth="1"/>
    <col min="9735" max="9985" width="9.140625" style="131"/>
    <col min="9986" max="9986" width="6.28515625" style="131" customWidth="1"/>
    <col min="9987" max="9987" width="21.5703125" style="131" customWidth="1"/>
    <col min="9988" max="9988" width="6.42578125" style="131" customWidth="1"/>
    <col min="9989" max="9989" width="52.7109375" style="131" customWidth="1"/>
    <col min="9990" max="9990" width="15.5703125" style="131" customWidth="1"/>
    <col min="9991" max="10241" width="9.140625" style="131"/>
    <col min="10242" max="10242" width="6.28515625" style="131" customWidth="1"/>
    <col min="10243" max="10243" width="21.5703125" style="131" customWidth="1"/>
    <col min="10244" max="10244" width="6.42578125" style="131" customWidth="1"/>
    <col min="10245" max="10245" width="52.7109375" style="131" customWidth="1"/>
    <col min="10246" max="10246" width="15.5703125" style="131" customWidth="1"/>
    <col min="10247" max="10497" width="9.140625" style="131"/>
    <col min="10498" max="10498" width="6.28515625" style="131" customWidth="1"/>
    <col min="10499" max="10499" width="21.5703125" style="131" customWidth="1"/>
    <col min="10500" max="10500" width="6.42578125" style="131" customWidth="1"/>
    <col min="10501" max="10501" width="52.7109375" style="131" customWidth="1"/>
    <col min="10502" max="10502" width="15.5703125" style="131" customWidth="1"/>
    <col min="10503" max="10753" width="9.140625" style="131"/>
    <col min="10754" max="10754" width="6.28515625" style="131" customWidth="1"/>
    <col min="10755" max="10755" width="21.5703125" style="131" customWidth="1"/>
    <col min="10756" max="10756" width="6.42578125" style="131" customWidth="1"/>
    <col min="10757" max="10757" width="52.7109375" style="131" customWidth="1"/>
    <col min="10758" max="10758" width="15.5703125" style="131" customWidth="1"/>
    <col min="10759" max="11009" width="9.140625" style="131"/>
    <col min="11010" max="11010" width="6.28515625" style="131" customWidth="1"/>
    <col min="11011" max="11011" width="21.5703125" style="131" customWidth="1"/>
    <col min="11012" max="11012" width="6.42578125" style="131" customWidth="1"/>
    <col min="11013" max="11013" width="52.7109375" style="131" customWidth="1"/>
    <col min="11014" max="11014" width="15.5703125" style="131" customWidth="1"/>
    <col min="11015" max="11265" width="9.140625" style="131"/>
    <col min="11266" max="11266" width="6.28515625" style="131" customWidth="1"/>
    <col min="11267" max="11267" width="21.5703125" style="131" customWidth="1"/>
    <col min="11268" max="11268" width="6.42578125" style="131" customWidth="1"/>
    <col min="11269" max="11269" width="52.7109375" style="131" customWidth="1"/>
    <col min="11270" max="11270" width="15.5703125" style="131" customWidth="1"/>
    <col min="11271" max="11521" width="9.140625" style="131"/>
    <col min="11522" max="11522" width="6.28515625" style="131" customWidth="1"/>
    <col min="11523" max="11523" width="21.5703125" style="131" customWidth="1"/>
    <col min="11524" max="11524" width="6.42578125" style="131" customWidth="1"/>
    <col min="11525" max="11525" width="52.7109375" style="131" customWidth="1"/>
    <col min="11526" max="11526" width="15.5703125" style="131" customWidth="1"/>
    <col min="11527" max="11777" width="9.140625" style="131"/>
    <col min="11778" max="11778" width="6.28515625" style="131" customWidth="1"/>
    <col min="11779" max="11779" width="21.5703125" style="131" customWidth="1"/>
    <col min="11780" max="11780" width="6.42578125" style="131" customWidth="1"/>
    <col min="11781" max="11781" width="52.7109375" style="131" customWidth="1"/>
    <col min="11782" max="11782" width="15.5703125" style="131" customWidth="1"/>
    <col min="11783" max="12033" width="9.140625" style="131"/>
    <col min="12034" max="12034" width="6.28515625" style="131" customWidth="1"/>
    <col min="12035" max="12035" width="21.5703125" style="131" customWidth="1"/>
    <col min="12036" max="12036" width="6.42578125" style="131" customWidth="1"/>
    <col min="12037" max="12037" width="52.7109375" style="131" customWidth="1"/>
    <col min="12038" max="12038" width="15.5703125" style="131" customWidth="1"/>
    <col min="12039" max="12289" width="9.140625" style="131"/>
    <col min="12290" max="12290" width="6.28515625" style="131" customWidth="1"/>
    <col min="12291" max="12291" width="21.5703125" style="131" customWidth="1"/>
    <col min="12292" max="12292" width="6.42578125" style="131" customWidth="1"/>
    <col min="12293" max="12293" width="52.7109375" style="131" customWidth="1"/>
    <col min="12294" max="12294" width="15.5703125" style="131" customWidth="1"/>
    <col min="12295" max="12545" width="9.140625" style="131"/>
    <col min="12546" max="12546" width="6.28515625" style="131" customWidth="1"/>
    <col min="12547" max="12547" width="21.5703125" style="131" customWidth="1"/>
    <col min="12548" max="12548" width="6.42578125" style="131" customWidth="1"/>
    <col min="12549" max="12549" width="52.7109375" style="131" customWidth="1"/>
    <col min="12550" max="12550" width="15.5703125" style="131" customWidth="1"/>
    <col min="12551" max="12801" width="9.140625" style="131"/>
    <col min="12802" max="12802" width="6.28515625" style="131" customWidth="1"/>
    <col min="12803" max="12803" width="21.5703125" style="131" customWidth="1"/>
    <col min="12804" max="12804" width="6.42578125" style="131" customWidth="1"/>
    <col min="12805" max="12805" width="52.7109375" style="131" customWidth="1"/>
    <col min="12806" max="12806" width="15.5703125" style="131" customWidth="1"/>
    <col min="12807" max="13057" width="9.140625" style="131"/>
    <col min="13058" max="13058" width="6.28515625" style="131" customWidth="1"/>
    <col min="13059" max="13059" width="21.5703125" style="131" customWidth="1"/>
    <col min="13060" max="13060" width="6.42578125" style="131" customWidth="1"/>
    <col min="13061" max="13061" width="52.7109375" style="131" customWidth="1"/>
    <col min="13062" max="13062" width="15.5703125" style="131" customWidth="1"/>
    <col min="13063" max="13313" width="9.140625" style="131"/>
    <col min="13314" max="13314" width="6.28515625" style="131" customWidth="1"/>
    <col min="13315" max="13315" width="21.5703125" style="131" customWidth="1"/>
    <col min="13316" max="13316" width="6.42578125" style="131" customWidth="1"/>
    <col min="13317" max="13317" width="52.7109375" style="131" customWidth="1"/>
    <col min="13318" max="13318" width="15.5703125" style="131" customWidth="1"/>
    <col min="13319" max="13569" width="9.140625" style="131"/>
    <col min="13570" max="13570" width="6.28515625" style="131" customWidth="1"/>
    <col min="13571" max="13571" width="21.5703125" style="131" customWidth="1"/>
    <col min="13572" max="13572" width="6.42578125" style="131" customWidth="1"/>
    <col min="13573" max="13573" width="52.7109375" style="131" customWidth="1"/>
    <col min="13574" max="13574" width="15.5703125" style="131" customWidth="1"/>
    <col min="13575" max="13825" width="9.140625" style="131"/>
    <col min="13826" max="13826" width="6.28515625" style="131" customWidth="1"/>
    <col min="13827" max="13827" width="21.5703125" style="131" customWidth="1"/>
    <col min="13828" max="13828" width="6.42578125" style="131" customWidth="1"/>
    <col min="13829" max="13829" width="52.7109375" style="131" customWidth="1"/>
    <col min="13830" max="13830" width="15.5703125" style="131" customWidth="1"/>
    <col min="13831" max="14081" width="9.140625" style="131"/>
    <col min="14082" max="14082" width="6.28515625" style="131" customWidth="1"/>
    <col min="14083" max="14083" width="21.5703125" style="131" customWidth="1"/>
    <col min="14084" max="14084" width="6.42578125" style="131" customWidth="1"/>
    <col min="14085" max="14085" width="52.7109375" style="131" customWidth="1"/>
    <col min="14086" max="14086" width="15.5703125" style="131" customWidth="1"/>
    <col min="14087" max="14337" width="9.140625" style="131"/>
    <col min="14338" max="14338" width="6.28515625" style="131" customWidth="1"/>
    <col min="14339" max="14339" width="21.5703125" style="131" customWidth="1"/>
    <col min="14340" max="14340" width="6.42578125" style="131" customWidth="1"/>
    <col min="14341" max="14341" width="52.7109375" style="131" customWidth="1"/>
    <col min="14342" max="14342" width="15.5703125" style="131" customWidth="1"/>
    <col min="14343" max="14593" width="9.140625" style="131"/>
    <col min="14594" max="14594" width="6.28515625" style="131" customWidth="1"/>
    <col min="14595" max="14595" width="21.5703125" style="131" customWidth="1"/>
    <col min="14596" max="14596" width="6.42578125" style="131" customWidth="1"/>
    <col min="14597" max="14597" width="52.7109375" style="131" customWidth="1"/>
    <col min="14598" max="14598" width="15.5703125" style="131" customWidth="1"/>
    <col min="14599" max="14849" width="9.140625" style="131"/>
    <col min="14850" max="14850" width="6.28515625" style="131" customWidth="1"/>
    <col min="14851" max="14851" width="21.5703125" style="131" customWidth="1"/>
    <col min="14852" max="14852" width="6.42578125" style="131" customWidth="1"/>
    <col min="14853" max="14853" width="52.7109375" style="131" customWidth="1"/>
    <col min="14854" max="14854" width="15.5703125" style="131" customWidth="1"/>
    <col min="14855" max="15105" width="9.140625" style="131"/>
    <col min="15106" max="15106" width="6.28515625" style="131" customWidth="1"/>
    <col min="15107" max="15107" width="21.5703125" style="131" customWidth="1"/>
    <col min="15108" max="15108" width="6.42578125" style="131" customWidth="1"/>
    <col min="15109" max="15109" width="52.7109375" style="131" customWidth="1"/>
    <col min="15110" max="15110" width="15.5703125" style="131" customWidth="1"/>
    <col min="15111" max="15361" width="9.140625" style="131"/>
    <col min="15362" max="15362" width="6.28515625" style="131" customWidth="1"/>
    <col min="15363" max="15363" width="21.5703125" style="131" customWidth="1"/>
    <col min="15364" max="15364" width="6.42578125" style="131" customWidth="1"/>
    <col min="15365" max="15365" width="52.7109375" style="131" customWidth="1"/>
    <col min="15366" max="15366" width="15.5703125" style="131" customWidth="1"/>
    <col min="15367" max="15617" width="9.140625" style="131"/>
    <col min="15618" max="15618" width="6.28515625" style="131" customWidth="1"/>
    <col min="15619" max="15619" width="21.5703125" style="131" customWidth="1"/>
    <col min="15620" max="15620" width="6.42578125" style="131" customWidth="1"/>
    <col min="15621" max="15621" width="52.7109375" style="131" customWidth="1"/>
    <col min="15622" max="15622" width="15.5703125" style="131" customWidth="1"/>
    <col min="15623" max="15873" width="9.140625" style="131"/>
    <col min="15874" max="15874" width="6.28515625" style="131" customWidth="1"/>
    <col min="15875" max="15875" width="21.5703125" style="131" customWidth="1"/>
    <col min="15876" max="15876" width="6.42578125" style="131" customWidth="1"/>
    <col min="15877" max="15877" width="52.7109375" style="131" customWidth="1"/>
    <col min="15878" max="15878" width="15.5703125" style="131" customWidth="1"/>
    <col min="15879" max="16129" width="9.140625" style="131"/>
    <col min="16130" max="16130" width="6.28515625" style="131" customWidth="1"/>
    <col min="16131" max="16131" width="21.5703125" style="131" customWidth="1"/>
    <col min="16132" max="16132" width="6.42578125" style="131" customWidth="1"/>
    <col min="16133" max="16133" width="52.7109375" style="131" customWidth="1"/>
    <col min="16134" max="16134" width="15.5703125" style="131" customWidth="1"/>
    <col min="16135" max="16384" width="9.140625" style="131"/>
  </cols>
  <sheetData>
    <row r="1" spans="1:10" ht="50.25" customHeight="1">
      <c r="A1" s="534" t="str">
        <f>"Приложение №"&amp;Н1адох&amp;" к решению
Богучанского районного Совета депутатов
от "&amp;Р1дата&amp;" года №"&amp;Р1номер</f>
        <v>Приложение № к решению
Богучанского районного Совета депутатов
от     " " 2018 года №</v>
      </c>
      <c r="B1" s="534"/>
      <c r="C1" s="534"/>
      <c r="D1" s="534"/>
      <c r="E1" s="534"/>
      <c r="F1" s="534"/>
      <c r="G1" s="534"/>
      <c r="H1" s="130"/>
      <c r="I1" s="130"/>
      <c r="J1" s="130"/>
    </row>
    <row r="2" spans="1:10" ht="41.25" customHeight="1">
      <c r="A2" s="535" t="str">
        <f>"Доходы районного бюджета по кодам классификации доходов бюджетов  за "&amp;год&amp;" год"</f>
        <v>Доходы районного бюджета по кодам классификации доходов бюджетов  за 2017 год</v>
      </c>
      <c r="B2" s="535"/>
      <c r="C2" s="535"/>
      <c r="D2" s="535"/>
      <c r="E2" s="535"/>
      <c r="F2" s="535"/>
      <c r="G2" s="535"/>
      <c r="H2" s="132"/>
      <c r="I2" s="132"/>
      <c r="J2" s="132"/>
    </row>
    <row r="3" spans="1:10" ht="33.75" customHeight="1">
      <c r="A3" s="377"/>
      <c r="B3" s="377"/>
      <c r="C3" s="377"/>
      <c r="D3" s="377"/>
      <c r="E3" s="421"/>
      <c r="F3" s="378" t="s">
        <v>94</v>
      </c>
      <c r="G3" s="481"/>
      <c r="H3" s="132"/>
      <c r="I3" s="132"/>
      <c r="J3" s="132"/>
    </row>
    <row r="4" spans="1:10" ht="81.75" customHeight="1">
      <c r="A4" s="134" t="s">
        <v>362</v>
      </c>
      <c r="B4" s="134" t="s">
        <v>363</v>
      </c>
      <c r="C4" s="134"/>
      <c r="D4" s="134" t="s">
        <v>364</v>
      </c>
      <c r="E4" s="134" t="s">
        <v>2456</v>
      </c>
      <c r="F4" s="134" t="s">
        <v>2457</v>
      </c>
      <c r="G4" s="399" t="s">
        <v>2194</v>
      </c>
    </row>
    <row r="5" spans="1:10" ht="33.75" customHeight="1">
      <c r="A5" s="379"/>
      <c r="B5" s="495" t="s">
        <v>2026</v>
      </c>
      <c r="C5" s="496"/>
      <c r="D5" s="497"/>
      <c r="E5" s="380">
        <f>E6</f>
        <v>600000</v>
      </c>
      <c r="F5" s="380">
        <f>F6</f>
        <v>526534.29</v>
      </c>
      <c r="G5" s="483">
        <f>F5/E5*100</f>
        <v>87.755714999999995</v>
      </c>
    </row>
    <row r="6" spans="1:10" ht="38.25" hidden="1">
      <c r="A6" s="479" t="s">
        <v>2025</v>
      </c>
      <c r="B6" s="36" t="s">
        <v>2028</v>
      </c>
      <c r="C6" s="36" t="s">
        <v>2027</v>
      </c>
      <c r="D6" s="381" t="s">
        <v>403</v>
      </c>
      <c r="E6" s="392">
        <v>600000</v>
      </c>
      <c r="F6" s="382">
        <v>526534.29</v>
      </c>
      <c r="G6" s="484">
        <f t="shared" ref="G6:G69" si="0">F6/E6*100</f>
        <v>87.755714999999995</v>
      </c>
    </row>
    <row r="7" spans="1:10" ht="15" hidden="1">
      <c r="A7" s="379"/>
      <c r="B7" s="531" t="s">
        <v>2737</v>
      </c>
      <c r="C7" s="532"/>
      <c r="D7" s="533"/>
      <c r="E7" s="382">
        <f>E8</f>
        <v>0</v>
      </c>
      <c r="F7" s="382">
        <f>F8</f>
        <v>16.14</v>
      </c>
      <c r="G7" s="484"/>
    </row>
    <row r="8" spans="1:10" ht="140.25" hidden="1">
      <c r="A8" s="442" t="s">
        <v>1032</v>
      </c>
      <c r="B8" s="36" t="s">
        <v>2736</v>
      </c>
      <c r="C8" s="36" t="s">
        <v>36</v>
      </c>
      <c r="D8" s="9" t="s">
        <v>2446</v>
      </c>
      <c r="E8" s="385"/>
      <c r="F8" s="382">
        <v>16.14</v>
      </c>
      <c r="G8" s="484"/>
    </row>
    <row r="9" spans="1:10" s="133" customFormat="1" ht="15.75" hidden="1">
      <c r="A9" s="375"/>
      <c r="B9" s="530" t="s">
        <v>2029</v>
      </c>
      <c r="C9" s="530"/>
      <c r="D9" s="530"/>
      <c r="E9" s="380">
        <f>SUM(E10:E14)</f>
        <v>3804100</v>
      </c>
      <c r="F9" s="380">
        <f>SUM(F10:F14)</f>
        <v>3718039.5200000005</v>
      </c>
      <c r="G9" s="483">
        <f t="shared" si="0"/>
        <v>97.737691438185124</v>
      </c>
    </row>
    <row r="10" spans="1:10" ht="25.5" hidden="1">
      <c r="A10" s="36" t="s">
        <v>101</v>
      </c>
      <c r="B10" s="36" t="s">
        <v>2735</v>
      </c>
      <c r="C10" s="36" t="s">
        <v>2031</v>
      </c>
      <c r="D10" s="381" t="s">
        <v>1266</v>
      </c>
      <c r="E10" s="175">
        <v>12.53</v>
      </c>
      <c r="F10" s="175">
        <v>12.53</v>
      </c>
      <c r="G10" s="484">
        <f t="shared" si="0"/>
        <v>100</v>
      </c>
    </row>
    <row r="11" spans="1:10" ht="25.5" hidden="1">
      <c r="A11" s="36" t="s">
        <v>101</v>
      </c>
      <c r="B11" s="36" t="s">
        <v>2030</v>
      </c>
      <c r="C11" s="36" t="s">
        <v>2031</v>
      </c>
      <c r="D11" s="381" t="s">
        <v>1266</v>
      </c>
      <c r="E11" s="175">
        <v>1004390.17</v>
      </c>
      <c r="F11" s="175">
        <v>667864.18999999994</v>
      </c>
      <c r="G11" s="484">
        <f t="shared" si="0"/>
        <v>66.494496854743204</v>
      </c>
    </row>
    <row r="12" spans="1:10" ht="25.5" hidden="1">
      <c r="A12" s="36" t="s">
        <v>101</v>
      </c>
      <c r="B12" s="36" t="s">
        <v>2032</v>
      </c>
      <c r="C12" s="36" t="s">
        <v>2031</v>
      </c>
      <c r="D12" s="381" t="s">
        <v>1267</v>
      </c>
      <c r="E12" s="175">
        <v>29697.3</v>
      </c>
      <c r="F12" s="175">
        <v>29717.8</v>
      </c>
      <c r="G12" s="484">
        <f t="shared" si="0"/>
        <v>100.06902984446397</v>
      </c>
    </row>
    <row r="13" spans="1:10" ht="25.5" hidden="1">
      <c r="A13" s="36" t="s">
        <v>101</v>
      </c>
      <c r="B13" s="36" t="s">
        <v>2033</v>
      </c>
      <c r="C13" s="36" t="s">
        <v>2031</v>
      </c>
      <c r="D13" s="381" t="s">
        <v>2034</v>
      </c>
      <c r="E13" s="175">
        <v>1211900</v>
      </c>
      <c r="F13" s="175">
        <v>1417242.01</v>
      </c>
      <c r="G13" s="484">
        <f t="shared" si="0"/>
        <v>116.94380806997277</v>
      </c>
    </row>
    <row r="14" spans="1:10" ht="25.5" hidden="1">
      <c r="A14" s="36" t="s">
        <v>101</v>
      </c>
      <c r="B14" s="36" t="s">
        <v>2035</v>
      </c>
      <c r="C14" s="36" t="s">
        <v>2031</v>
      </c>
      <c r="D14" s="381" t="s">
        <v>810</v>
      </c>
      <c r="E14" s="175">
        <v>1558100</v>
      </c>
      <c r="F14" s="175">
        <v>1603202.99</v>
      </c>
      <c r="G14" s="484">
        <f t="shared" si="0"/>
        <v>102.89474295616456</v>
      </c>
    </row>
    <row r="15" spans="1:10" ht="15" hidden="1">
      <c r="A15" s="375"/>
      <c r="B15" s="530" t="s">
        <v>2038</v>
      </c>
      <c r="C15" s="530"/>
      <c r="D15" s="530"/>
      <c r="E15" s="384">
        <f>E16</f>
        <v>40000</v>
      </c>
      <c r="F15" s="384">
        <f>F16</f>
        <v>59300</v>
      </c>
      <c r="G15" s="483">
        <f t="shared" si="0"/>
        <v>148.25</v>
      </c>
    </row>
    <row r="16" spans="1:10" ht="38.25" hidden="1">
      <c r="A16" s="36" t="s">
        <v>2037</v>
      </c>
      <c r="B16" s="36" t="s">
        <v>2028</v>
      </c>
      <c r="C16" s="36" t="s">
        <v>2027</v>
      </c>
      <c r="D16" s="381" t="s">
        <v>403</v>
      </c>
      <c r="E16" s="392">
        <v>40000</v>
      </c>
      <c r="F16" s="392">
        <v>59300</v>
      </c>
      <c r="G16" s="484">
        <f t="shared" si="0"/>
        <v>148.25</v>
      </c>
    </row>
    <row r="17" spans="1:7" ht="15" hidden="1">
      <c r="A17" s="375"/>
      <c r="B17" s="530" t="s">
        <v>2040</v>
      </c>
      <c r="C17" s="530"/>
      <c r="D17" s="530"/>
      <c r="E17" s="384">
        <f>SUM(E18:E19)</f>
        <v>589000</v>
      </c>
      <c r="F17" s="384">
        <f>SUM(F18:F19)</f>
        <v>880157.32</v>
      </c>
      <c r="G17" s="483">
        <f t="shared" si="0"/>
        <v>149.43248217317486</v>
      </c>
    </row>
    <row r="18" spans="1:7" s="133" customFormat="1" ht="38.25" hidden="1">
      <c r="A18" s="36" t="s">
        <v>2039</v>
      </c>
      <c r="B18" s="36" t="s">
        <v>2036</v>
      </c>
      <c r="C18" s="36" t="s">
        <v>2027</v>
      </c>
      <c r="D18" s="381" t="s">
        <v>320</v>
      </c>
      <c r="E18" s="173">
        <v>69000</v>
      </c>
      <c r="F18" s="173">
        <v>69169.7</v>
      </c>
      <c r="G18" s="484">
        <f t="shared" si="0"/>
        <v>100.24594202898551</v>
      </c>
    </row>
    <row r="19" spans="1:7" ht="51" hidden="1">
      <c r="A19" s="36" t="s">
        <v>2039</v>
      </c>
      <c r="B19" s="36" t="s">
        <v>2041</v>
      </c>
      <c r="C19" s="36" t="s">
        <v>2027</v>
      </c>
      <c r="D19" s="381" t="s">
        <v>2042</v>
      </c>
      <c r="E19" s="392">
        <v>520000</v>
      </c>
      <c r="F19" s="392">
        <v>810987.62</v>
      </c>
      <c r="G19" s="484">
        <f t="shared" si="0"/>
        <v>155.95915769230768</v>
      </c>
    </row>
    <row r="20" spans="1:7" ht="15" hidden="1">
      <c r="A20" s="375"/>
      <c r="B20" s="530" t="s">
        <v>2043</v>
      </c>
      <c r="C20" s="530"/>
      <c r="D20" s="530"/>
      <c r="E20" s="384">
        <f>SUM(E21:E23)</f>
        <v>40000</v>
      </c>
      <c r="F20" s="384">
        <f>SUM(F21:F23)</f>
        <v>30000</v>
      </c>
      <c r="G20" s="483">
        <f t="shared" si="0"/>
        <v>75</v>
      </c>
    </row>
    <row r="21" spans="1:7" ht="25.5" hidden="1">
      <c r="A21" s="36" t="s">
        <v>608</v>
      </c>
      <c r="B21" s="36" t="s">
        <v>2148</v>
      </c>
      <c r="C21" s="36" t="s">
        <v>2027</v>
      </c>
      <c r="D21" s="9" t="s">
        <v>813</v>
      </c>
      <c r="E21" s="392">
        <v>0</v>
      </c>
      <c r="F21" s="392">
        <v>20000</v>
      </c>
      <c r="G21" s="484"/>
    </row>
    <row r="22" spans="1:7" ht="76.5" hidden="1">
      <c r="A22" s="36" t="s">
        <v>608</v>
      </c>
      <c r="B22" s="36" t="s">
        <v>2065</v>
      </c>
      <c r="C22" s="36" t="s">
        <v>2027</v>
      </c>
      <c r="D22" s="9" t="s">
        <v>688</v>
      </c>
      <c r="E22" s="392">
        <v>0</v>
      </c>
      <c r="F22" s="392">
        <v>4000</v>
      </c>
      <c r="G22" s="484"/>
    </row>
    <row r="23" spans="1:7" ht="51" hidden="1">
      <c r="A23" s="36" t="s">
        <v>608</v>
      </c>
      <c r="B23" s="36" t="s">
        <v>2041</v>
      </c>
      <c r="C23" s="36" t="s">
        <v>2027</v>
      </c>
      <c r="D23" s="381" t="s">
        <v>2042</v>
      </c>
      <c r="E23" s="392">
        <v>40000</v>
      </c>
      <c r="F23" s="392">
        <v>6000</v>
      </c>
      <c r="G23" s="484">
        <f t="shared" si="0"/>
        <v>15</v>
      </c>
    </row>
    <row r="24" spans="1:7" ht="15" hidden="1">
      <c r="A24" s="375"/>
      <c r="B24" s="530" t="s">
        <v>2044</v>
      </c>
      <c r="C24" s="530"/>
      <c r="D24" s="530"/>
      <c r="E24" s="384">
        <f>E25+E26+E27+E28</f>
        <v>32700</v>
      </c>
      <c r="F24" s="384">
        <f>F25+F26+F27+F28</f>
        <v>29232.219999999998</v>
      </c>
      <c r="G24" s="483">
        <f t="shared" si="0"/>
        <v>89.395168195718639</v>
      </c>
    </row>
    <row r="25" spans="1:7" ht="76.5" hidden="1">
      <c r="A25" s="36" t="s">
        <v>330</v>
      </c>
      <c r="B25" s="386" t="s">
        <v>2045</v>
      </c>
      <c r="C25" s="387" t="s">
        <v>165</v>
      </c>
      <c r="D25" s="189" t="s">
        <v>331</v>
      </c>
      <c r="E25" s="175">
        <v>13000</v>
      </c>
      <c r="F25" s="175">
        <v>12011.46</v>
      </c>
      <c r="G25" s="484">
        <f t="shared" si="0"/>
        <v>92.395846153846151</v>
      </c>
    </row>
    <row r="26" spans="1:7" ht="89.25" hidden="1">
      <c r="A26" s="36" t="s">
        <v>330</v>
      </c>
      <c r="B26" s="386" t="s">
        <v>2046</v>
      </c>
      <c r="C26" s="387" t="s">
        <v>165</v>
      </c>
      <c r="D26" s="189" t="s">
        <v>333</v>
      </c>
      <c r="E26" s="175">
        <v>200</v>
      </c>
      <c r="F26" s="175">
        <v>121.97</v>
      </c>
      <c r="G26" s="484">
        <f t="shared" si="0"/>
        <v>60.984999999999999</v>
      </c>
    </row>
    <row r="27" spans="1:7" ht="89.25" hidden="1">
      <c r="A27" s="36" t="s">
        <v>330</v>
      </c>
      <c r="B27" s="386" t="s">
        <v>2047</v>
      </c>
      <c r="C27" s="387" t="s">
        <v>165</v>
      </c>
      <c r="D27" s="189" t="s">
        <v>335</v>
      </c>
      <c r="E27" s="175">
        <v>22300</v>
      </c>
      <c r="F27" s="175">
        <v>19425.16</v>
      </c>
      <c r="G27" s="484">
        <f t="shared" si="0"/>
        <v>87.108340807174883</v>
      </c>
    </row>
    <row r="28" spans="1:7" ht="89.25" hidden="1">
      <c r="A28" s="36" t="s">
        <v>330</v>
      </c>
      <c r="B28" s="386" t="s">
        <v>2048</v>
      </c>
      <c r="C28" s="387" t="s">
        <v>165</v>
      </c>
      <c r="D28" s="189" t="s">
        <v>337</v>
      </c>
      <c r="E28" s="175">
        <v>-2800</v>
      </c>
      <c r="F28" s="175">
        <v>-2326.37</v>
      </c>
      <c r="G28" s="484">
        <f t="shared" si="0"/>
        <v>83.084642857142853</v>
      </c>
    </row>
    <row r="29" spans="1:7" ht="26.25" hidden="1" customHeight="1">
      <c r="A29" s="375"/>
      <c r="B29" s="530" t="s">
        <v>2051</v>
      </c>
      <c r="C29" s="530"/>
      <c r="D29" s="530"/>
      <c r="E29" s="384">
        <f>SUM(E30:E35)</f>
        <v>1091500</v>
      </c>
      <c r="F29" s="384">
        <f>SUM(F30:F35)</f>
        <v>1176900</v>
      </c>
      <c r="G29" s="483">
        <f t="shared" si="0"/>
        <v>107.82409528172241</v>
      </c>
    </row>
    <row r="30" spans="1:7" ht="51" hidden="1">
      <c r="A30" s="36" t="s">
        <v>2050</v>
      </c>
      <c r="B30" s="36" t="s">
        <v>2143</v>
      </c>
      <c r="C30" s="36" t="s">
        <v>2027</v>
      </c>
      <c r="D30" s="9" t="s">
        <v>2373</v>
      </c>
      <c r="E30" s="392">
        <v>0</v>
      </c>
      <c r="F30" s="392">
        <v>42000</v>
      </c>
      <c r="G30" s="484"/>
    </row>
    <row r="31" spans="1:7" ht="63.75" hidden="1">
      <c r="A31" s="36" t="s">
        <v>2050</v>
      </c>
      <c r="B31" s="36" t="s">
        <v>2052</v>
      </c>
      <c r="C31" s="36" t="s">
        <v>2027</v>
      </c>
      <c r="D31" s="388" t="s">
        <v>2053</v>
      </c>
      <c r="E31" s="173">
        <v>1000</v>
      </c>
      <c r="F31" s="173">
        <v>1000</v>
      </c>
      <c r="G31" s="484">
        <f t="shared" si="0"/>
        <v>100</v>
      </c>
    </row>
    <row r="32" spans="1:7" ht="76.5" hidden="1">
      <c r="A32" s="36" t="s">
        <v>2050</v>
      </c>
      <c r="B32" s="36" t="s">
        <v>2054</v>
      </c>
      <c r="C32" s="36" t="s">
        <v>2027</v>
      </c>
      <c r="D32" s="303" t="s">
        <v>2055</v>
      </c>
      <c r="E32" s="392">
        <v>10000</v>
      </c>
      <c r="F32" s="173">
        <v>10000</v>
      </c>
      <c r="G32" s="484">
        <f t="shared" si="0"/>
        <v>100</v>
      </c>
    </row>
    <row r="33" spans="1:7" ht="89.25" hidden="1">
      <c r="A33" s="36" t="s">
        <v>2050</v>
      </c>
      <c r="B33" s="36" t="s">
        <v>2056</v>
      </c>
      <c r="C33" s="36" t="s">
        <v>2027</v>
      </c>
      <c r="D33" s="388" t="s">
        <v>2057</v>
      </c>
      <c r="E33" s="173">
        <v>1010500</v>
      </c>
      <c r="F33" s="173">
        <v>1035500</v>
      </c>
      <c r="G33" s="484">
        <f t="shared" si="0"/>
        <v>102.47402276100941</v>
      </c>
    </row>
    <row r="34" spans="1:7" ht="76.5" hidden="1">
      <c r="A34" s="36" t="s">
        <v>2050</v>
      </c>
      <c r="B34" s="36" t="s">
        <v>2065</v>
      </c>
      <c r="C34" s="36" t="s">
        <v>157</v>
      </c>
      <c r="D34" s="9" t="s">
        <v>688</v>
      </c>
      <c r="E34" s="173">
        <v>0</v>
      </c>
      <c r="F34" s="173">
        <v>6000</v>
      </c>
      <c r="G34" s="484"/>
    </row>
    <row r="35" spans="1:7" ht="76.5" hidden="1">
      <c r="A35" s="36" t="s">
        <v>2050</v>
      </c>
      <c r="B35" s="36" t="s">
        <v>2041</v>
      </c>
      <c r="C35" s="36" t="s">
        <v>2027</v>
      </c>
      <c r="D35" s="388" t="s">
        <v>2058</v>
      </c>
      <c r="E35" s="392">
        <v>70000</v>
      </c>
      <c r="F35" s="392">
        <v>82400</v>
      </c>
      <c r="G35" s="484">
        <f t="shared" si="0"/>
        <v>117.71428571428571</v>
      </c>
    </row>
    <row r="36" spans="1:7" ht="15" hidden="1">
      <c r="A36" s="36"/>
      <c r="B36" s="531" t="s">
        <v>2739</v>
      </c>
      <c r="C36" s="532"/>
      <c r="D36" s="533"/>
      <c r="E36" s="384">
        <f>E37</f>
        <v>0</v>
      </c>
      <c r="F36" s="384">
        <f>F37</f>
        <v>140000</v>
      </c>
      <c r="G36" s="484"/>
    </row>
    <row r="37" spans="1:7" ht="76.5" hidden="1">
      <c r="A37" s="36" t="s">
        <v>2738</v>
      </c>
      <c r="B37" s="36" t="s">
        <v>2065</v>
      </c>
      <c r="C37" s="36" t="s">
        <v>157</v>
      </c>
      <c r="D37" s="9" t="s">
        <v>688</v>
      </c>
      <c r="E37" s="392"/>
      <c r="F37" s="392">
        <v>140000</v>
      </c>
      <c r="G37" s="484"/>
    </row>
    <row r="38" spans="1:7" ht="15" hidden="1">
      <c r="A38" s="375"/>
      <c r="B38" s="531" t="s">
        <v>2060</v>
      </c>
      <c r="C38" s="532"/>
      <c r="D38" s="533"/>
      <c r="E38" s="384">
        <f>E39</f>
        <v>50000</v>
      </c>
      <c r="F38" s="384">
        <f>F39</f>
        <v>50000</v>
      </c>
      <c r="G38" s="483">
        <f t="shared" si="0"/>
        <v>100</v>
      </c>
    </row>
    <row r="39" spans="1:7" ht="102" hidden="1">
      <c r="A39" s="36" t="s">
        <v>2059</v>
      </c>
      <c r="B39" s="36" t="s">
        <v>2061</v>
      </c>
      <c r="C39" s="36" t="s">
        <v>157</v>
      </c>
      <c r="D39" s="388" t="s">
        <v>2062</v>
      </c>
      <c r="E39" s="392">
        <v>50000</v>
      </c>
      <c r="F39" s="392">
        <v>50000</v>
      </c>
      <c r="G39" s="484">
        <f t="shared" si="0"/>
        <v>100</v>
      </c>
    </row>
    <row r="40" spans="1:7" ht="40.5" hidden="1" customHeight="1">
      <c r="A40" s="375"/>
      <c r="B40" s="530" t="s">
        <v>2064</v>
      </c>
      <c r="C40" s="530"/>
      <c r="D40" s="530"/>
      <c r="E40" s="384">
        <f>E41</f>
        <v>3000</v>
      </c>
      <c r="F40" s="384">
        <f>F41</f>
        <v>7600</v>
      </c>
      <c r="G40" s="483">
        <f t="shared" si="0"/>
        <v>253.33333333333331</v>
      </c>
    </row>
    <row r="41" spans="1:7" ht="51" hidden="1">
      <c r="A41" s="36" t="s">
        <v>2063</v>
      </c>
      <c r="B41" s="36" t="s">
        <v>2067</v>
      </c>
      <c r="C41" s="36" t="s">
        <v>2027</v>
      </c>
      <c r="D41" s="381" t="s">
        <v>2068</v>
      </c>
      <c r="E41" s="392">
        <v>3000</v>
      </c>
      <c r="F41" s="392">
        <v>7600</v>
      </c>
      <c r="G41" s="484">
        <f t="shared" si="0"/>
        <v>253.33333333333331</v>
      </c>
    </row>
    <row r="42" spans="1:7" ht="15" hidden="1">
      <c r="A42" s="375"/>
      <c r="B42" s="530" t="s">
        <v>2069</v>
      </c>
      <c r="C42" s="530"/>
      <c r="D42" s="530"/>
      <c r="E42" s="384">
        <f>SUM(E43:E80)</f>
        <v>260392350.45000002</v>
      </c>
      <c r="F42" s="384">
        <f>SUM(F43:F80)</f>
        <v>261413573.22000006</v>
      </c>
      <c r="G42" s="483">
        <f t="shared" si="0"/>
        <v>100.39218616377754</v>
      </c>
    </row>
    <row r="43" spans="1:7" ht="76.5" hidden="1">
      <c r="A43" s="36" t="s">
        <v>162</v>
      </c>
      <c r="B43" s="36" t="s">
        <v>2070</v>
      </c>
      <c r="C43" s="36" t="s">
        <v>2071</v>
      </c>
      <c r="D43" s="381" t="s">
        <v>2072</v>
      </c>
      <c r="E43" s="175">
        <v>25466999.260000002</v>
      </c>
      <c r="F43" s="175">
        <v>26971861.210000001</v>
      </c>
      <c r="G43" s="484">
        <f t="shared" si="0"/>
        <v>105.90906661062196</v>
      </c>
    </row>
    <row r="44" spans="1:7" ht="51" hidden="1">
      <c r="A44" s="36" t="s">
        <v>162</v>
      </c>
      <c r="B44" s="36" t="s">
        <v>2073</v>
      </c>
      <c r="C44" s="36" t="s">
        <v>2071</v>
      </c>
      <c r="D44" s="148" t="s">
        <v>2074</v>
      </c>
      <c r="E44" s="175">
        <v>23985.83</v>
      </c>
      <c r="F44" s="175">
        <v>23985.83</v>
      </c>
      <c r="G44" s="484">
        <f t="shared" si="0"/>
        <v>100</v>
      </c>
    </row>
    <row r="45" spans="1:7" s="133" customFormat="1" ht="76.5" hidden="1">
      <c r="A45" s="36" t="s">
        <v>162</v>
      </c>
      <c r="B45" s="36" t="s">
        <v>2075</v>
      </c>
      <c r="C45" s="36" t="s">
        <v>2071</v>
      </c>
      <c r="D45" s="381" t="s">
        <v>2076</v>
      </c>
      <c r="E45" s="175">
        <v>572.82000000000005</v>
      </c>
      <c r="F45" s="175">
        <v>572.82000000000005</v>
      </c>
      <c r="G45" s="484">
        <f t="shared" si="0"/>
        <v>100</v>
      </c>
    </row>
    <row r="46" spans="1:7" s="133" customFormat="1" ht="51" hidden="1">
      <c r="A46" s="36" t="s">
        <v>162</v>
      </c>
      <c r="B46" s="36" t="s">
        <v>2560</v>
      </c>
      <c r="C46" s="36" t="s">
        <v>2071</v>
      </c>
      <c r="D46" s="381" t="s">
        <v>2429</v>
      </c>
      <c r="E46" s="175">
        <v>8442.09</v>
      </c>
      <c r="F46" s="175">
        <v>8442.09</v>
      </c>
      <c r="G46" s="484">
        <f t="shared" si="0"/>
        <v>100</v>
      </c>
    </row>
    <row r="47" spans="1:7" ht="102" hidden="1">
      <c r="A47" s="36" t="s">
        <v>162</v>
      </c>
      <c r="B47" s="36" t="s">
        <v>2077</v>
      </c>
      <c r="C47" s="36" t="s">
        <v>2071</v>
      </c>
      <c r="D47" s="388" t="s">
        <v>2078</v>
      </c>
      <c r="E47" s="175">
        <v>196132672.63999999</v>
      </c>
      <c r="F47" s="175">
        <v>195536603.33000001</v>
      </c>
      <c r="G47" s="484">
        <f t="shared" si="0"/>
        <v>99.696088723017581</v>
      </c>
    </row>
    <row r="48" spans="1:7" ht="76.5" hidden="1">
      <c r="A48" s="36" t="s">
        <v>162</v>
      </c>
      <c r="B48" s="36" t="s">
        <v>2079</v>
      </c>
      <c r="C48" s="36" t="s">
        <v>2071</v>
      </c>
      <c r="D48" s="388" t="s">
        <v>2080</v>
      </c>
      <c r="E48" s="175">
        <v>1266693.26</v>
      </c>
      <c r="F48" s="175">
        <v>1266693.26</v>
      </c>
      <c r="G48" s="484">
        <f t="shared" si="0"/>
        <v>100</v>
      </c>
    </row>
    <row r="49" spans="1:7" s="133" customFormat="1" ht="102" hidden="1">
      <c r="A49" s="36" t="s">
        <v>162</v>
      </c>
      <c r="B49" s="36" t="s">
        <v>2081</v>
      </c>
      <c r="C49" s="36" t="s">
        <v>2071</v>
      </c>
      <c r="D49" s="388" t="s">
        <v>2082</v>
      </c>
      <c r="E49" s="175">
        <v>364845.22</v>
      </c>
      <c r="F49" s="175">
        <v>364845.22</v>
      </c>
      <c r="G49" s="484">
        <f t="shared" si="0"/>
        <v>100</v>
      </c>
    </row>
    <row r="50" spans="1:7" s="133" customFormat="1" ht="76.5" hidden="1">
      <c r="A50" s="36" t="s">
        <v>162</v>
      </c>
      <c r="B50" s="36" t="s">
        <v>2083</v>
      </c>
      <c r="C50" s="36" t="s">
        <v>2071</v>
      </c>
      <c r="D50" s="389" t="s">
        <v>2084</v>
      </c>
      <c r="E50" s="175">
        <v>3068.33</v>
      </c>
      <c r="F50" s="175">
        <v>3068.33</v>
      </c>
      <c r="G50" s="484">
        <f t="shared" si="0"/>
        <v>100</v>
      </c>
    </row>
    <row r="51" spans="1:7" s="133" customFormat="1" ht="127.5" hidden="1">
      <c r="A51" s="36" t="s">
        <v>162</v>
      </c>
      <c r="B51" s="36" t="s">
        <v>2085</v>
      </c>
      <c r="C51" s="36" t="s">
        <v>2071</v>
      </c>
      <c r="D51" s="390" t="s">
        <v>2086</v>
      </c>
      <c r="E51" s="175">
        <v>161088.76999999999</v>
      </c>
      <c r="F51" s="175">
        <v>178494.57</v>
      </c>
      <c r="G51" s="484">
        <f t="shared" si="0"/>
        <v>110.80509833180801</v>
      </c>
    </row>
    <row r="52" spans="1:7" s="133" customFormat="1" ht="114.75" hidden="1">
      <c r="A52" s="36" t="s">
        <v>162</v>
      </c>
      <c r="B52" s="36" t="s">
        <v>2087</v>
      </c>
      <c r="C52" s="36" t="s">
        <v>2071</v>
      </c>
      <c r="D52" s="390" t="s">
        <v>2088</v>
      </c>
      <c r="E52" s="175">
        <v>10386.83</v>
      </c>
      <c r="F52" s="175">
        <v>10386.83</v>
      </c>
      <c r="G52" s="484">
        <f t="shared" si="0"/>
        <v>100</v>
      </c>
    </row>
    <row r="53" spans="1:7" s="133" customFormat="1" ht="127.5" hidden="1">
      <c r="A53" s="36" t="s">
        <v>162</v>
      </c>
      <c r="B53" s="36" t="s">
        <v>2089</v>
      </c>
      <c r="C53" s="36" t="s">
        <v>2071</v>
      </c>
      <c r="D53" s="390" t="s">
        <v>2090</v>
      </c>
      <c r="E53" s="175">
        <v>3524.4</v>
      </c>
      <c r="F53" s="175">
        <v>3524.4</v>
      </c>
      <c r="G53" s="484">
        <f t="shared" si="0"/>
        <v>100</v>
      </c>
    </row>
    <row r="54" spans="1:7" s="133" customFormat="1" ht="76.5" hidden="1">
      <c r="A54" s="36" t="s">
        <v>162</v>
      </c>
      <c r="B54" s="36" t="s">
        <v>2091</v>
      </c>
      <c r="C54" s="36" t="s">
        <v>2071</v>
      </c>
      <c r="D54" s="381" t="s">
        <v>2092</v>
      </c>
      <c r="E54" s="175">
        <v>272964.84000000003</v>
      </c>
      <c r="F54" s="175">
        <v>274249.71000000002</v>
      </c>
      <c r="G54" s="484">
        <f t="shared" si="0"/>
        <v>100.47070897482622</v>
      </c>
    </row>
    <row r="55" spans="1:7" ht="51" hidden="1">
      <c r="A55" s="36" t="s">
        <v>162</v>
      </c>
      <c r="B55" s="36" t="s">
        <v>2093</v>
      </c>
      <c r="C55" s="36" t="s">
        <v>2071</v>
      </c>
      <c r="D55" s="381" t="s">
        <v>2094</v>
      </c>
      <c r="E55" s="175">
        <v>3465.08</v>
      </c>
      <c r="F55" s="175">
        <v>3465.08</v>
      </c>
      <c r="G55" s="484">
        <f t="shared" si="0"/>
        <v>100</v>
      </c>
    </row>
    <row r="56" spans="1:7" ht="76.5" hidden="1">
      <c r="A56" s="36" t="s">
        <v>162</v>
      </c>
      <c r="B56" s="36" t="s">
        <v>2095</v>
      </c>
      <c r="C56" s="36" t="s">
        <v>2071</v>
      </c>
      <c r="D56" s="381" t="s">
        <v>2096</v>
      </c>
      <c r="E56" s="175">
        <v>3770.08</v>
      </c>
      <c r="F56" s="175">
        <v>3770.08</v>
      </c>
      <c r="G56" s="484">
        <f t="shared" si="0"/>
        <v>100</v>
      </c>
    </row>
    <row r="57" spans="1:7" ht="51" hidden="1">
      <c r="A57" s="36" t="s">
        <v>162</v>
      </c>
      <c r="B57" s="36" t="s">
        <v>2097</v>
      </c>
      <c r="C57" s="36" t="s">
        <v>2071</v>
      </c>
      <c r="D57" s="381" t="s">
        <v>2098</v>
      </c>
      <c r="E57" s="175">
        <v>0</v>
      </c>
      <c r="F57" s="175">
        <v>-328</v>
      </c>
      <c r="G57" s="484"/>
    </row>
    <row r="58" spans="1:7" ht="114.75" hidden="1">
      <c r="A58" s="36" t="s">
        <v>162</v>
      </c>
      <c r="B58" s="36" t="s">
        <v>2099</v>
      </c>
      <c r="C58" s="36" t="s">
        <v>2071</v>
      </c>
      <c r="D58" s="389" t="s">
        <v>2100</v>
      </c>
      <c r="E58" s="175">
        <v>3700000</v>
      </c>
      <c r="F58" s="175">
        <v>4072398.78</v>
      </c>
      <c r="G58" s="484">
        <f t="shared" si="0"/>
        <v>110.06483189189188</v>
      </c>
    </row>
    <row r="59" spans="1:7" ht="51" hidden="1">
      <c r="A59" s="36" t="s">
        <v>162</v>
      </c>
      <c r="B59" s="36" t="s">
        <v>2101</v>
      </c>
      <c r="C59" s="36" t="s">
        <v>2071</v>
      </c>
      <c r="D59" s="381" t="s">
        <v>2102</v>
      </c>
      <c r="E59" s="175">
        <v>27741785.329999998</v>
      </c>
      <c r="F59" s="175">
        <v>27341199.469999999</v>
      </c>
      <c r="G59" s="484">
        <f t="shared" si="0"/>
        <v>98.556019898377613</v>
      </c>
    </row>
    <row r="60" spans="1:7" s="133" customFormat="1" ht="25.5" hidden="1">
      <c r="A60" s="36" t="s">
        <v>162</v>
      </c>
      <c r="B60" s="36" t="s">
        <v>2103</v>
      </c>
      <c r="C60" s="36" t="s">
        <v>2071</v>
      </c>
      <c r="D60" s="381" t="s">
        <v>2104</v>
      </c>
      <c r="E60" s="175">
        <v>238519.16</v>
      </c>
      <c r="F60" s="175">
        <v>238519.16</v>
      </c>
      <c r="G60" s="484">
        <f t="shared" si="0"/>
        <v>100</v>
      </c>
    </row>
    <row r="61" spans="1:7" s="133" customFormat="1" ht="51" hidden="1">
      <c r="A61" s="36" t="s">
        <v>162</v>
      </c>
      <c r="B61" s="36" t="s">
        <v>2105</v>
      </c>
      <c r="C61" s="36" t="s">
        <v>2071</v>
      </c>
      <c r="D61" s="381" t="s">
        <v>2106</v>
      </c>
      <c r="E61" s="175">
        <v>86584.38</v>
      </c>
      <c r="F61" s="175">
        <v>86584.38</v>
      </c>
      <c r="G61" s="484">
        <f t="shared" si="0"/>
        <v>100</v>
      </c>
    </row>
    <row r="62" spans="1:7" s="133" customFormat="1" ht="25.5" hidden="1">
      <c r="A62" s="36" t="s">
        <v>162</v>
      </c>
      <c r="B62" s="36" t="s">
        <v>2107</v>
      </c>
      <c r="C62" s="36" t="s">
        <v>2071</v>
      </c>
      <c r="D62" s="148" t="s">
        <v>2108</v>
      </c>
      <c r="E62" s="175">
        <v>3111.13</v>
      </c>
      <c r="F62" s="175">
        <v>3111.13</v>
      </c>
      <c r="G62" s="484">
        <f t="shared" si="0"/>
        <v>100</v>
      </c>
    </row>
    <row r="63" spans="1:7" s="133" customFormat="1" ht="63.75" hidden="1">
      <c r="A63" s="36" t="s">
        <v>162</v>
      </c>
      <c r="B63" s="36" t="s">
        <v>2109</v>
      </c>
      <c r="C63" s="36" t="s">
        <v>2071</v>
      </c>
      <c r="D63" s="381" t="s">
        <v>2110</v>
      </c>
      <c r="E63" s="175">
        <v>0</v>
      </c>
      <c r="F63" s="175">
        <v>26490.6</v>
      </c>
      <c r="G63" s="484"/>
    </row>
    <row r="64" spans="1:7" s="133" customFormat="1" ht="38.25" hidden="1">
      <c r="A64" s="36" t="s">
        <v>162</v>
      </c>
      <c r="B64" s="36" t="s">
        <v>2111</v>
      </c>
      <c r="C64" s="36" t="s">
        <v>2071</v>
      </c>
      <c r="D64" s="381" t="s">
        <v>2112</v>
      </c>
      <c r="E64" s="175">
        <v>0</v>
      </c>
      <c r="F64" s="175">
        <v>3840.6</v>
      </c>
      <c r="G64" s="484"/>
    </row>
    <row r="65" spans="1:7" ht="63.75" hidden="1">
      <c r="A65" s="36" t="s">
        <v>162</v>
      </c>
      <c r="B65" s="36" t="s">
        <v>2113</v>
      </c>
      <c r="C65" s="36" t="s">
        <v>2071</v>
      </c>
      <c r="D65" s="381" t="s">
        <v>2114</v>
      </c>
      <c r="E65" s="175">
        <v>0</v>
      </c>
      <c r="F65" s="175">
        <v>1170</v>
      </c>
      <c r="G65" s="484"/>
    </row>
    <row r="66" spans="1:7" ht="38.25" hidden="1">
      <c r="A66" s="36" t="s">
        <v>162</v>
      </c>
      <c r="B66" s="36" t="s">
        <v>2561</v>
      </c>
      <c r="C66" s="36" t="s">
        <v>2071</v>
      </c>
      <c r="D66" s="393" t="s">
        <v>2431</v>
      </c>
      <c r="E66" s="175"/>
      <c r="F66" s="175">
        <v>-0.01</v>
      </c>
      <c r="G66" s="484"/>
    </row>
    <row r="67" spans="1:7" ht="51" hidden="1">
      <c r="A67" s="36" t="s">
        <v>162</v>
      </c>
      <c r="B67" s="36" t="s">
        <v>2115</v>
      </c>
      <c r="C67" s="36" t="s">
        <v>2071</v>
      </c>
      <c r="D67" s="381" t="s">
        <v>2116</v>
      </c>
      <c r="E67" s="175">
        <v>10762</v>
      </c>
      <c r="F67" s="175">
        <v>10762.5</v>
      </c>
      <c r="G67" s="484">
        <f t="shared" si="0"/>
        <v>100.00464597658427</v>
      </c>
    </row>
    <row r="68" spans="1:7" ht="25.5" hidden="1">
      <c r="A68" s="36" t="s">
        <v>162</v>
      </c>
      <c r="B68" s="36" t="s">
        <v>2562</v>
      </c>
      <c r="C68" s="36" t="s">
        <v>2071</v>
      </c>
      <c r="D68" s="381" t="s">
        <v>2435</v>
      </c>
      <c r="E68" s="175">
        <v>50</v>
      </c>
      <c r="F68" s="139">
        <v>50</v>
      </c>
      <c r="G68" s="484">
        <f t="shared" si="0"/>
        <v>100</v>
      </c>
    </row>
    <row r="69" spans="1:7" ht="63.75" hidden="1">
      <c r="A69" s="36" t="s">
        <v>162</v>
      </c>
      <c r="B69" s="36" t="s">
        <v>2118</v>
      </c>
      <c r="C69" s="36" t="s">
        <v>2071</v>
      </c>
      <c r="D69" s="391" t="s">
        <v>2119</v>
      </c>
      <c r="E69" s="175">
        <v>78949</v>
      </c>
      <c r="F69" s="175">
        <v>78949</v>
      </c>
      <c r="G69" s="484">
        <f t="shared" si="0"/>
        <v>100</v>
      </c>
    </row>
    <row r="70" spans="1:7" ht="76.5" hidden="1">
      <c r="A70" s="36" t="s">
        <v>162</v>
      </c>
      <c r="B70" s="36" t="s">
        <v>2120</v>
      </c>
      <c r="C70" s="36" t="s">
        <v>2071</v>
      </c>
      <c r="D70" s="381" t="s">
        <v>2121</v>
      </c>
      <c r="E70" s="175">
        <v>3000</v>
      </c>
      <c r="F70" s="175">
        <v>3021.56</v>
      </c>
      <c r="G70" s="484">
        <f t="shared" ref="G70:G132" si="1">F70/E70*100</f>
        <v>100.71866666666666</v>
      </c>
    </row>
    <row r="71" spans="1:7" ht="51" hidden="1">
      <c r="A71" s="36" t="s">
        <v>162</v>
      </c>
      <c r="B71" s="36" t="s">
        <v>2122</v>
      </c>
      <c r="C71" s="36" t="s">
        <v>2071</v>
      </c>
      <c r="D71" s="381" t="s">
        <v>2123</v>
      </c>
      <c r="E71" s="175"/>
      <c r="F71" s="175">
        <v>52.6</v>
      </c>
      <c r="G71" s="484"/>
    </row>
    <row r="72" spans="1:7" ht="63.75" hidden="1">
      <c r="A72" s="36" t="s">
        <v>162</v>
      </c>
      <c r="B72" s="36" t="s">
        <v>2124</v>
      </c>
      <c r="C72" s="36" t="s">
        <v>2071</v>
      </c>
      <c r="D72" s="148" t="s">
        <v>2125</v>
      </c>
      <c r="E72" s="175">
        <v>311466.82</v>
      </c>
      <c r="F72" s="175">
        <v>302960.33</v>
      </c>
      <c r="G72" s="484">
        <f t="shared" si="1"/>
        <v>97.26889368183744</v>
      </c>
    </row>
    <row r="73" spans="1:7" ht="51" hidden="1">
      <c r="A73" s="36" t="s">
        <v>162</v>
      </c>
      <c r="B73" s="36" t="s">
        <v>2126</v>
      </c>
      <c r="C73" s="36" t="s">
        <v>2071</v>
      </c>
      <c r="D73" s="148" t="s">
        <v>2127</v>
      </c>
      <c r="E73" s="175">
        <v>3.18</v>
      </c>
      <c r="F73" s="175">
        <v>3.18</v>
      </c>
      <c r="G73" s="484">
        <f t="shared" si="1"/>
        <v>100</v>
      </c>
    </row>
    <row r="74" spans="1:7" ht="63.75" hidden="1">
      <c r="A74" s="36" t="s">
        <v>162</v>
      </c>
      <c r="B74" s="36" t="s">
        <v>2128</v>
      </c>
      <c r="C74" s="36" t="s">
        <v>2071</v>
      </c>
      <c r="D74" s="148" t="s">
        <v>2129</v>
      </c>
      <c r="E74" s="175">
        <v>500</v>
      </c>
      <c r="F74" s="175">
        <v>500</v>
      </c>
      <c r="G74" s="484">
        <f t="shared" si="1"/>
        <v>100</v>
      </c>
    </row>
    <row r="75" spans="1:7" ht="63.75" hidden="1">
      <c r="A75" s="36" t="s">
        <v>162</v>
      </c>
      <c r="B75" s="36" t="s">
        <v>2130</v>
      </c>
      <c r="C75" s="36" t="s">
        <v>2071</v>
      </c>
      <c r="D75" s="148" t="s">
        <v>2131</v>
      </c>
      <c r="E75" s="175">
        <v>276010.03000000003</v>
      </c>
      <c r="F75" s="175">
        <v>277827.27</v>
      </c>
      <c r="G75" s="484">
        <f t="shared" si="1"/>
        <v>100.65839636334954</v>
      </c>
    </row>
    <row r="76" spans="1:7" ht="51" hidden="1">
      <c r="A76" s="36" t="s">
        <v>162</v>
      </c>
      <c r="B76" s="36" t="s">
        <v>2132</v>
      </c>
      <c r="C76" s="36" t="s">
        <v>2071</v>
      </c>
      <c r="D76" s="148" t="s">
        <v>2133</v>
      </c>
      <c r="E76" s="175">
        <v>1809.33</v>
      </c>
      <c r="F76" s="175">
        <v>1809.33</v>
      </c>
      <c r="G76" s="484">
        <f t="shared" si="1"/>
        <v>100</v>
      </c>
    </row>
    <row r="77" spans="1:7" ht="38.25" hidden="1">
      <c r="A77" s="36" t="s">
        <v>162</v>
      </c>
      <c r="B77" s="36" t="s">
        <v>2134</v>
      </c>
      <c r="C77" s="36" t="s">
        <v>2071</v>
      </c>
      <c r="D77" s="148" t="s">
        <v>2135</v>
      </c>
      <c r="E77" s="175">
        <v>-15129.36</v>
      </c>
      <c r="F77" s="175">
        <v>-15129.36</v>
      </c>
      <c r="G77" s="484">
        <f t="shared" si="1"/>
        <v>100</v>
      </c>
    </row>
    <row r="78" spans="1:7" ht="76.5" hidden="1">
      <c r="A78" s="36" t="s">
        <v>162</v>
      </c>
      <c r="B78" s="36" t="s">
        <v>2136</v>
      </c>
      <c r="C78" s="36" t="s">
        <v>2071</v>
      </c>
      <c r="D78" s="388" t="s">
        <v>2137</v>
      </c>
      <c r="E78" s="175">
        <v>4220450</v>
      </c>
      <c r="F78" s="175">
        <v>4324092.9400000004</v>
      </c>
      <c r="G78" s="484">
        <f t="shared" si="1"/>
        <v>102.45573197170918</v>
      </c>
    </row>
    <row r="79" spans="1:7" ht="63.75" hidden="1">
      <c r="A79" s="36" t="s">
        <v>162</v>
      </c>
      <c r="B79" s="36" t="s">
        <v>2138</v>
      </c>
      <c r="C79" s="36" t="s">
        <v>2027</v>
      </c>
      <c r="D79" s="388" t="s">
        <v>1484</v>
      </c>
      <c r="E79" s="173">
        <v>2000</v>
      </c>
      <c r="F79" s="173">
        <v>5000</v>
      </c>
      <c r="G79" s="484">
        <f t="shared" si="1"/>
        <v>250</v>
      </c>
    </row>
    <row r="80" spans="1:7" ht="89.25" hidden="1">
      <c r="A80" s="36" t="s">
        <v>162</v>
      </c>
      <c r="B80" s="36" t="s">
        <v>2139</v>
      </c>
      <c r="C80" s="36" t="s">
        <v>2027</v>
      </c>
      <c r="D80" s="388" t="s">
        <v>2140</v>
      </c>
      <c r="E80" s="173">
        <v>10000</v>
      </c>
      <c r="F80" s="173">
        <v>725</v>
      </c>
      <c r="G80" s="484">
        <f t="shared" si="1"/>
        <v>7.2499999999999991</v>
      </c>
    </row>
    <row r="81" spans="1:7" ht="15" hidden="1">
      <c r="A81" s="375"/>
      <c r="B81" s="530" t="s">
        <v>2142</v>
      </c>
      <c r="C81" s="530"/>
      <c r="D81" s="530"/>
      <c r="E81" s="384">
        <f>SUM(E82:E86)</f>
        <v>1595165</v>
      </c>
      <c r="F81" s="384">
        <f>SUM(F82:F86)</f>
        <v>1307485.3899999999</v>
      </c>
      <c r="G81" s="483">
        <f t="shared" si="1"/>
        <v>81.965526450241825</v>
      </c>
    </row>
    <row r="82" spans="1:7" ht="89.25" hidden="1">
      <c r="A82" s="36" t="s">
        <v>2141</v>
      </c>
      <c r="B82" s="36" t="s">
        <v>2143</v>
      </c>
      <c r="C82" s="36" t="s">
        <v>2027</v>
      </c>
      <c r="D82" s="388" t="s">
        <v>2144</v>
      </c>
      <c r="E82" s="392">
        <v>380500</v>
      </c>
      <c r="F82" s="392">
        <v>353500</v>
      </c>
      <c r="G82" s="484">
        <f t="shared" si="1"/>
        <v>92.904073587385014</v>
      </c>
    </row>
    <row r="83" spans="1:7" ht="89.25" hidden="1">
      <c r="A83" s="36" t="s">
        <v>2141</v>
      </c>
      <c r="B83" s="36" t="s">
        <v>2056</v>
      </c>
      <c r="C83" s="36" t="s">
        <v>2027</v>
      </c>
      <c r="D83" s="303" t="s">
        <v>2057</v>
      </c>
      <c r="E83" s="392">
        <v>0</v>
      </c>
      <c r="F83" s="392">
        <v>9500</v>
      </c>
      <c r="G83" s="484"/>
    </row>
    <row r="84" spans="1:7" ht="63.75" hidden="1">
      <c r="A84" s="36" t="s">
        <v>2141</v>
      </c>
      <c r="B84" s="36" t="s">
        <v>2145</v>
      </c>
      <c r="C84" s="36" t="s">
        <v>2027</v>
      </c>
      <c r="D84" s="381" t="s">
        <v>2146</v>
      </c>
      <c r="E84" s="392">
        <v>108245</v>
      </c>
      <c r="F84" s="392">
        <v>110745.61</v>
      </c>
      <c r="G84" s="484">
        <f t="shared" si="1"/>
        <v>102.31013903644511</v>
      </c>
    </row>
    <row r="85" spans="1:7" ht="102" hidden="1">
      <c r="A85" s="36" t="s">
        <v>2141</v>
      </c>
      <c r="B85" s="36" t="s">
        <v>2065</v>
      </c>
      <c r="C85" s="36" t="s">
        <v>2027</v>
      </c>
      <c r="D85" s="388" t="s">
        <v>2066</v>
      </c>
      <c r="E85" s="392">
        <v>356420</v>
      </c>
      <c r="F85" s="392">
        <v>206419.57</v>
      </c>
      <c r="G85" s="484">
        <f t="shared" si="1"/>
        <v>57.914698950676168</v>
      </c>
    </row>
    <row r="86" spans="1:7" ht="76.5" hidden="1">
      <c r="A86" s="36" t="s">
        <v>2141</v>
      </c>
      <c r="B86" s="36" t="s">
        <v>2041</v>
      </c>
      <c r="C86" s="36" t="s">
        <v>2027</v>
      </c>
      <c r="D86" s="388" t="s">
        <v>2058</v>
      </c>
      <c r="E86" s="392">
        <v>750000</v>
      </c>
      <c r="F86" s="392">
        <v>627320.21</v>
      </c>
      <c r="G86" s="484">
        <f t="shared" si="1"/>
        <v>83.642694666666657</v>
      </c>
    </row>
    <row r="87" spans="1:7" ht="15" hidden="1">
      <c r="A87" s="375"/>
      <c r="B87" s="530" t="s">
        <v>2147</v>
      </c>
      <c r="C87" s="530"/>
      <c r="D87" s="530"/>
      <c r="E87" s="384">
        <f>E88+E89</f>
        <v>244300</v>
      </c>
      <c r="F87" s="384">
        <f>F88+F89</f>
        <v>239300</v>
      </c>
      <c r="G87" s="483">
        <f t="shared" si="1"/>
        <v>97.953336062218582</v>
      </c>
    </row>
    <row r="88" spans="1:7" ht="63.75" hidden="1">
      <c r="A88" s="36" t="s">
        <v>498</v>
      </c>
      <c r="B88" s="36" t="s">
        <v>2148</v>
      </c>
      <c r="C88" s="36" t="s">
        <v>2027</v>
      </c>
      <c r="D88" s="381" t="s">
        <v>2149</v>
      </c>
      <c r="E88" s="392">
        <v>244300</v>
      </c>
      <c r="F88" s="392">
        <v>229300</v>
      </c>
      <c r="G88" s="484">
        <f t="shared" si="1"/>
        <v>93.860008186655747</v>
      </c>
    </row>
    <row r="89" spans="1:7" ht="102" hidden="1">
      <c r="A89" s="36" t="s">
        <v>498</v>
      </c>
      <c r="B89" s="36" t="s">
        <v>2065</v>
      </c>
      <c r="C89" s="36" t="s">
        <v>2027</v>
      </c>
      <c r="D89" s="388" t="s">
        <v>2066</v>
      </c>
      <c r="E89" s="392"/>
      <c r="F89" s="392">
        <v>10000</v>
      </c>
      <c r="G89" s="484"/>
    </row>
    <row r="90" spans="1:7" ht="15" hidden="1">
      <c r="A90" s="375"/>
      <c r="B90" s="530" t="s">
        <v>2151</v>
      </c>
      <c r="C90" s="530"/>
      <c r="D90" s="530"/>
      <c r="E90" s="384">
        <f>SUM(E91:E92)</f>
        <v>262000</v>
      </c>
      <c r="F90" s="384">
        <f>SUM(F91:F92)</f>
        <v>262000</v>
      </c>
      <c r="G90" s="483">
        <f t="shared" si="1"/>
        <v>100</v>
      </c>
    </row>
    <row r="91" spans="1:7" ht="38.25" hidden="1">
      <c r="A91" s="36" t="s">
        <v>2150</v>
      </c>
      <c r="B91" s="36" t="s">
        <v>2152</v>
      </c>
      <c r="C91" s="36" t="s">
        <v>2027</v>
      </c>
      <c r="D91" s="381" t="s">
        <v>2153</v>
      </c>
      <c r="E91" s="173">
        <v>62000</v>
      </c>
      <c r="F91" s="173">
        <v>62000</v>
      </c>
      <c r="G91" s="484">
        <f t="shared" si="1"/>
        <v>100</v>
      </c>
    </row>
    <row r="92" spans="1:7" ht="38.25" hidden="1">
      <c r="A92" s="36" t="s">
        <v>2150</v>
      </c>
      <c r="B92" s="36" t="s">
        <v>2154</v>
      </c>
      <c r="C92" s="36" t="s">
        <v>2027</v>
      </c>
      <c r="D92" s="381" t="s">
        <v>2155</v>
      </c>
      <c r="E92" s="173">
        <v>200000</v>
      </c>
      <c r="F92" s="173">
        <v>200000</v>
      </c>
      <c r="G92" s="484">
        <f t="shared" si="1"/>
        <v>100</v>
      </c>
    </row>
    <row r="93" spans="1:7" ht="15" hidden="1">
      <c r="A93" s="375"/>
      <c r="B93" s="536" t="s">
        <v>219</v>
      </c>
      <c r="C93" s="536"/>
      <c r="D93" s="536"/>
      <c r="E93" s="384">
        <f>E94</f>
        <v>2382334.77</v>
      </c>
      <c r="F93" s="384">
        <f>F94</f>
        <v>1151764.3899999999</v>
      </c>
      <c r="G93" s="483">
        <f t="shared" si="1"/>
        <v>48.346034507988136</v>
      </c>
    </row>
    <row r="94" spans="1:7" ht="51" hidden="1">
      <c r="A94" s="36" t="s">
        <v>218</v>
      </c>
      <c r="B94" s="376" t="s">
        <v>2049</v>
      </c>
      <c r="C94" s="376" t="s">
        <v>2027</v>
      </c>
      <c r="D94" s="148" t="s">
        <v>429</v>
      </c>
      <c r="E94" s="173">
        <v>2382334.77</v>
      </c>
      <c r="F94" s="173">
        <v>1151764.3899999999</v>
      </c>
      <c r="G94" s="484">
        <f t="shared" si="1"/>
        <v>48.346034507988136</v>
      </c>
    </row>
    <row r="95" spans="1:7" ht="15" hidden="1">
      <c r="A95" s="375"/>
      <c r="B95" s="530" t="s">
        <v>220</v>
      </c>
      <c r="C95" s="530"/>
      <c r="D95" s="530"/>
      <c r="E95" s="384">
        <f>SUM(E96:E105)</f>
        <v>14401992.919999998</v>
      </c>
      <c r="F95" s="384">
        <f>SUM(F96:F105)</f>
        <v>14582601.199999999</v>
      </c>
      <c r="G95" s="483">
        <f t="shared" si="1"/>
        <v>101.2540506095458</v>
      </c>
    </row>
    <row r="96" spans="1:7" ht="25.5" hidden="1">
      <c r="A96" s="441" t="s">
        <v>5</v>
      </c>
      <c r="B96" s="36" t="s">
        <v>2732</v>
      </c>
      <c r="C96" s="36" t="s">
        <v>2071</v>
      </c>
      <c r="D96" s="9" t="s">
        <v>2015</v>
      </c>
      <c r="E96" s="385">
        <v>50000</v>
      </c>
      <c r="F96" s="385">
        <v>50000</v>
      </c>
      <c r="G96" s="484">
        <f t="shared" si="1"/>
        <v>100</v>
      </c>
    </row>
    <row r="97" spans="1:7" ht="63.75" hidden="1">
      <c r="A97" s="36" t="s">
        <v>5</v>
      </c>
      <c r="B97" s="36" t="s">
        <v>2156</v>
      </c>
      <c r="C97" s="36" t="s">
        <v>2031</v>
      </c>
      <c r="D97" s="381" t="s">
        <v>1465</v>
      </c>
      <c r="E97" s="175">
        <v>75820</v>
      </c>
      <c r="F97" s="175">
        <v>75820.320000000007</v>
      </c>
      <c r="G97" s="484">
        <f t="shared" si="1"/>
        <v>100.00042205222897</v>
      </c>
    </row>
    <row r="98" spans="1:7" ht="51" hidden="1">
      <c r="A98" s="36" t="s">
        <v>5</v>
      </c>
      <c r="B98" s="36" t="s">
        <v>2157</v>
      </c>
      <c r="C98" s="36" t="s">
        <v>2158</v>
      </c>
      <c r="D98" s="381" t="s">
        <v>419</v>
      </c>
      <c r="E98" s="173">
        <v>1402930</v>
      </c>
      <c r="F98" s="139">
        <v>1362116.83</v>
      </c>
      <c r="G98" s="484">
        <f t="shared" si="1"/>
        <v>97.090861981709708</v>
      </c>
    </row>
    <row r="99" spans="1:7" ht="76.5" hidden="1">
      <c r="A99" s="36" t="s">
        <v>5</v>
      </c>
      <c r="B99" s="36" t="s">
        <v>2028</v>
      </c>
      <c r="C99" s="36" t="s">
        <v>2027</v>
      </c>
      <c r="D99" s="388" t="s">
        <v>2058</v>
      </c>
      <c r="E99" s="173"/>
      <c r="F99" s="220">
        <v>500</v>
      </c>
      <c r="G99" s="484"/>
    </row>
    <row r="100" spans="1:7" ht="76.5" hidden="1">
      <c r="A100" s="36" t="s">
        <v>5</v>
      </c>
      <c r="B100" s="36" t="s">
        <v>2159</v>
      </c>
      <c r="C100" s="36" t="s">
        <v>2027</v>
      </c>
      <c r="D100" s="388" t="s">
        <v>2058</v>
      </c>
      <c r="E100" s="173">
        <v>128674</v>
      </c>
      <c r="F100" s="173">
        <v>129673.94</v>
      </c>
      <c r="G100" s="484">
        <f t="shared" si="1"/>
        <v>100.77711114910551</v>
      </c>
    </row>
    <row r="101" spans="1:7" ht="25.5" hidden="1">
      <c r="A101" s="36" t="s">
        <v>5</v>
      </c>
      <c r="B101" s="36" t="s">
        <v>2160</v>
      </c>
      <c r="C101" s="36" t="s">
        <v>2161</v>
      </c>
      <c r="D101" s="148" t="s">
        <v>388</v>
      </c>
      <c r="E101" s="148"/>
      <c r="F101" s="385">
        <v>219921.19</v>
      </c>
      <c r="G101" s="484"/>
    </row>
    <row r="102" spans="1:7" ht="38.25" hidden="1">
      <c r="A102" s="36" t="s">
        <v>5</v>
      </c>
      <c r="B102" s="36" t="s">
        <v>2162</v>
      </c>
      <c r="C102" s="36" t="s">
        <v>2161</v>
      </c>
      <c r="D102" s="381" t="s">
        <v>566</v>
      </c>
      <c r="E102" s="173">
        <f>101766.53-54530.98</f>
        <v>47235.549999999996</v>
      </c>
      <c r="F102" s="173">
        <f>101766.53-54530.98</f>
        <v>47235.549999999996</v>
      </c>
      <c r="G102" s="484">
        <f t="shared" si="1"/>
        <v>100</v>
      </c>
    </row>
    <row r="103" spans="1:7" ht="38.25" hidden="1">
      <c r="A103" s="36" t="s">
        <v>5</v>
      </c>
      <c r="B103" s="36" t="s">
        <v>2163</v>
      </c>
      <c r="C103" s="36" t="s">
        <v>2161</v>
      </c>
      <c r="D103" s="381" t="s">
        <v>566</v>
      </c>
      <c r="E103" s="173">
        <v>54530.98</v>
      </c>
      <c r="F103" s="173">
        <v>54530.98</v>
      </c>
      <c r="G103" s="484">
        <f t="shared" si="1"/>
        <v>100</v>
      </c>
    </row>
    <row r="104" spans="1:7" ht="25.5">
      <c r="A104" s="36" t="s">
        <v>5</v>
      </c>
      <c r="B104" s="36" t="s">
        <v>2733</v>
      </c>
      <c r="C104" s="36" t="s">
        <v>2161</v>
      </c>
      <c r="D104" s="381" t="s">
        <v>1323</v>
      </c>
      <c r="E104" s="173">
        <f>5306214+3577693</f>
        <v>8883907</v>
      </c>
      <c r="F104" s="173">
        <f>5306214+3577693</f>
        <v>8883907</v>
      </c>
      <c r="G104" s="484">
        <f t="shared" si="1"/>
        <v>100</v>
      </c>
    </row>
    <row r="105" spans="1:7" ht="25.5" hidden="1">
      <c r="A105" s="36" t="s">
        <v>5</v>
      </c>
      <c r="B105" s="36" t="s">
        <v>2734</v>
      </c>
      <c r="C105" s="36" t="s">
        <v>2161</v>
      </c>
      <c r="D105" s="381" t="s">
        <v>1323</v>
      </c>
      <c r="E105" s="173">
        <f>2500000+1258895.39</f>
        <v>3758895.3899999997</v>
      </c>
      <c r="F105" s="173">
        <f>2500000+1258895.39</f>
        <v>3758895.3899999997</v>
      </c>
      <c r="G105" s="484">
        <f t="shared" si="1"/>
        <v>100</v>
      </c>
    </row>
    <row r="106" spans="1:7" ht="15" hidden="1">
      <c r="A106" s="375"/>
      <c r="B106" s="530" t="s">
        <v>511</v>
      </c>
      <c r="C106" s="530"/>
      <c r="D106" s="530"/>
      <c r="E106" s="384">
        <f>SUM(E107:E110)</f>
        <v>37293.949999999997</v>
      </c>
      <c r="F106" s="384">
        <f>SUM(F107:F110)</f>
        <v>57886.62</v>
      </c>
      <c r="G106" s="483">
        <f t="shared" si="1"/>
        <v>155.21718670186453</v>
      </c>
    </row>
    <row r="107" spans="1:7" ht="25.5">
      <c r="A107" s="36" t="s">
        <v>177</v>
      </c>
      <c r="B107" s="36" t="s">
        <v>2573</v>
      </c>
      <c r="C107" s="36" t="s">
        <v>2161</v>
      </c>
      <c r="D107" s="9" t="s">
        <v>1323</v>
      </c>
      <c r="E107" s="420">
        <v>1271.3</v>
      </c>
      <c r="F107" s="420">
        <v>14928.330000000002</v>
      </c>
      <c r="G107" s="484">
        <f t="shared" si="1"/>
        <v>1174.2570597026668</v>
      </c>
    </row>
    <row r="108" spans="1:7" ht="25.5">
      <c r="A108" s="36" t="s">
        <v>177</v>
      </c>
      <c r="B108" s="36" t="s">
        <v>2574</v>
      </c>
      <c r="C108" s="36" t="s">
        <v>2161</v>
      </c>
      <c r="D108" s="9" t="s">
        <v>1323</v>
      </c>
      <c r="E108" s="420">
        <v>13967.5</v>
      </c>
      <c r="F108" s="420">
        <v>13967.5</v>
      </c>
      <c r="G108" s="484">
        <f t="shared" si="1"/>
        <v>100</v>
      </c>
    </row>
    <row r="109" spans="1:7" ht="25.5">
      <c r="A109" s="36" t="s">
        <v>177</v>
      </c>
      <c r="B109" s="36" t="s">
        <v>2575</v>
      </c>
      <c r="C109" s="36" t="s">
        <v>2161</v>
      </c>
      <c r="D109" s="9" t="s">
        <v>1323</v>
      </c>
      <c r="E109" s="420">
        <v>22055.15</v>
      </c>
      <c r="F109" s="420">
        <v>22055.15</v>
      </c>
      <c r="G109" s="484">
        <f t="shared" si="1"/>
        <v>100</v>
      </c>
    </row>
    <row r="110" spans="1:7" ht="25.5">
      <c r="A110" s="36" t="s">
        <v>177</v>
      </c>
      <c r="B110" s="36" t="s">
        <v>2576</v>
      </c>
      <c r="C110" s="36" t="s">
        <v>2161</v>
      </c>
      <c r="D110" s="9" t="s">
        <v>1323</v>
      </c>
      <c r="E110" s="420"/>
      <c r="F110" s="420">
        <v>6935.64</v>
      </c>
      <c r="G110" s="484"/>
    </row>
    <row r="111" spans="1:7" ht="15" hidden="1">
      <c r="A111" s="375"/>
      <c r="B111" s="530" t="s">
        <v>305</v>
      </c>
      <c r="C111" s="530"/>
      <c r="D111" s="530"/>
      <c r="E111" s="384">
        <f>E113+E112</f>
        <v>7078168.3599999994</v>
      </c>
      <c r="F111" s="384">
        <f>F113+F112</f>
        <v>7078168.7600000007</v>
      </c>
      <c r="G111" s="483">
        <f t="shared" si="1"/>
        <v>100.00000565117952</v>
      </c>
    </row>
    <row r="112" spans="1:7" ht="25.5" hidden="1">
      <c r="A112" s="36" t="s">
        <v>278</v>
      </c>
      <c r="B112" s="36" t="s">
        <v>2164</v>
      </c>
      <c r="C112" s="36" t="s">
        <v>2158</v>
      </c>
      <c r="D112" s="148" t="s">
        <v>412</v>
      </c>
      <c r="E112" s="383">
        <v>736113</v>
      </c>
      <c r="F112" s="385">
        <v>736113.4</v>
      </c>
      <c r="G112" s="484">
        <f t="shared" si="1"/>
        <v>100.0000543394832</v>
      </c>
    </row>
    <row r="113" spans="1:7" ht="38.25" hidden="1">
      <c r="A113" s="36" t="s">
        <v>278</v>
      </c>
      <c r="B113" s="36" t="s">
        <v>2162</v>
      </c>
      <c r="C113" s="36" t="s">
        <v>2161</v>
      </c>
      <c r="D113" s="391" t="s">
        <v>707</v>
      </c>
      <c r="E113" s="447">
        <v>6342055.3599999994</v>
      </c>
      <c r="F113" s="385">
        <v>6342055.3600000003</v>
      </c>
      <c r="G113" s="484">
        <f t="shared" si="1"/>
        <v>100.00000000000003</v>
      </c>
    </row>
    <row r="114" spans="1:7" ht="15" hidden="1">
      <c r="A114" s="375"/>
      <c r="B114" s="530" t="s">
        <v>231</v>
      </c>
      <c r="C114" s="530"/>
      <c r="D114" s="530"/>
      <c r="E114" s="384">
        <f>E115+E116+E117+E118+E119+E120+E121+E122+E123+E124+E125+E126+E127+E128+E129+E130+E131+E132+E133+E134+E135</f>
        <v>91031768.519999981</v>
      </c>
      <c r="F114" s="384">
        <f>F115+F116+F117+F118+F119+F120+F121+F122+F123+F124+F125+F126+F127+F128+F129+F130+F131+F132+F133+F134+F135</f>
        <v>58088513.690000005</v>
      </c>
      <c r="G114" s="483">
        <f t="shared" si="1"/>
        <v>63.811254723934937</v>
      </c>
    </row>
    <row r="115" spans="1:7" ht="89.25" hidden="1">
      <c r="A115" s="36" t="s">
        <v>88</v>
      </c>
      <c r="B115" s="36" t="s">
        <v>2165</v>
      </c>
      <c r="C115" s="36" t="s">
        <v>2031</v>
      </c>
      <c r="D115" s="390" t="s">
        <v>1961</v>
      </c>
      <c r="E115" s="175">
        <v>1077436.77</v>
      </c>
      <c r="F115" s="139">
        <v>1077436.77</v>
      </c>
      <c r="G115" s="484">
        <f t="shared" si="1"/>
        <v>100</v>
      </c>
    </row>
    <row r="116" spans="1:7" ht="89.25" hidden="1">
      <c r="A116" s="36" t="s">
        <v>88</v>
      </c>
      <c r="B116" s="36" t="s">
        <v>2166</v>
      </c>
      <c r="C116" s="36" t="s">
        <v>2031</v>
      </c>
      <c r="D116" s="390" t="s">
        <v>2566</v>
      </c>
      <c r="E116" s="175">
        <v>31959954.859999999</v>
      </c>
      <c r="F116" s="139">
        <v>24482993.710000001</v>
      </c>
      <c r="G116" s="484">
        <f t="shared" si="1"/>
        <v>76.605219929900741</v>
      </c>
    </row>
    <row r="117" spans="1:7" ht="89.25" hidden="1">
      <c r="A117" s="36" t="s">
        <v>88</v>
      </c>
      <c r="B117" s="36" t="s">
        <v>2167</v>
      </c>
      <c r="C117" s="36" t="s">
        <v>2031</v>
      </c>
      <c r="D117" s="390" t="s">
        <v>2567</v>
      </c>
      <c r="E117" s="175">
        <v>761739.24</v>
      </c>
      <c r="F117" s="139">
        <v>761739.24</v>
      </c>
      <c r="G117" s="484">
        <f t="shared" si="1"/>
        <v>100</v>
      </c>
    </row>
    <row r="118" spans="1:7" ht="76.5" hidden="1">
      <c r="A118" s="36" t="s">
        <v>88</v>
      </c>
      <c r="B118" s="36" t="s">
        <v>2168</v>
      </c>
      <c r="C118" s="36" t="s">
        <v>2031</v>
      </c>
      <c r="D118" s="193" t="s">
        <v>1461</v>
      </c>
      <c r="E118" s="175">
        <v>0</v>
      </c>
      <c r="F118" s="175">
        <v>224906.79</v>
      </c>
      <c r="G118" s="484"/>
    </row>
    <row r="119" spans="1:7" ht="76.5" hidden="1">
      <c r="A119" s="36" t="s">
        <v>88</v>
      </c>
      <c r="B119" s="36" t="s">
        <v>2169</v>
      </c>
      <c r="C119" s="36" t="s">
        <v>2031</v>
      </c>
      <c r="D119" s="193" t="s">
        <v>1461</v>
      </c>
      <c r="E119" s="175">
        <v>0</v>
      </c>
      <c r="F119" s="175">
        <v>46691.86</v>
      </c>
      <c r="G119" s="484"/>
    </row>
    <row r="120" spans="1:7" ht="76.5" hidden="1">
      <c r="A120" s="36" t="s">
        <v>88</v>
      </c>
      <c r="B120" s="36" t="s">
        <v>2170</v>
      </c>
      <c r="C120" s="36" t="s">
        <v>2031</v>
      </c>
      <c r="D120" s="193" t="s">
        <v>1461</v>
      </c>
      <c r="E120" s="175">
        <v>0</v>
      </c>
      <c r="F120" s="175">
        <v>17943.05</v>
      </c>
      <c r="G120" s="484"/>
    </row>
    <row r="121" spans="1:7" ht="76.5" hidden="1">
      <c r="A121" s="36" t="s">
        <v>88</v>
      </c>
      <c r="B121" s="36" t="s">
        <v>2171</v>
      </c>
      <c r="C121" s="36" t="s">
        <v>2031</v>
      </c>
      <c r="D121" s="381" t="s">
        <v>1463</v>
      </c>
      <c r="E121" s="175">
        <v>72984.100000000006</v>
      </c>
      <c r="F121" s="175">
        <v>66761.710000000006</v>
      </c>
      <c r="G121" s="484">
        <f t="shared" si="1"/>
        <v>91.474321119257482</v>
      </c>
    </row>
    <row r="122" spans="1:7" ht="76.5" hidden="1">
      <c r="A122" s="36" t="s">
        <v>88</v>
      </c>
      <c r="B122" s="36" t="s">
        <v>2568</v>
      </c>
      <c r="C122" s="36" t="s">
        <v>2031</v>
      </c>
      <c r="D122" s="388" t="s">
        <v>2570</v>
      </c>
      <c r="E122" s="175">
        <v>131516.89000000001</v>
      </c>
      <c r="F122" s="175">
        <v>131516.89000000001</v>
      </c>
      <c r="G122" s="484">
        <f t="shared" si="1"/>
        <v>100</v>
      </c>
    </row>
    <row r="123" spans="1:7" ht="76.5" hidden="1">
      <c r="A123" s="36" t="s">
        <v>88</v>
      </c>
      <c r="B123" s="36" t="s">
        <v>2172</v>
      </c>
      <c r="C123" s="36" t="s">
        <v>2031</v>
      </c>
      <c r="D123" s="388" t="s">
        <v>2569</v>
      </c>
      <c r="E123" s="175">
        <v>709.01</v>
      </c>
      <c r="F123" s="175">
        <v>709.01</v>
      </c>
      <c r="G123" s="484">
        <f t="shared" si="1"/>
        <v>100</v>
      </c>
    </row>
    <row r="124" spans="1:7" ht="63.75" hidden="1">
      <c r="A124" s="36" t="s">
        <v>88</v>
      </c>
      <c r="B124" s="36" t="s">
        <v>2173</v>
      </c>
      <c r="C124" s="36" t="s">
        <v>2031</v>
      </c>
      <c r="D124" s="381" t="s">
        <v>1465</v>
      </c>
      <c r="E124" s="175">
        <v>36705093.079999998</v>
      </c>
      <c r="F124" s="139">
        <v>10914470.09</v>
      </c>
      <c r="G124" s="484">
        <f t="shared" si="1"/>
        <v>29.735573933054855</v>
      </c>
    </row>
    <row r="125" spans="1:7" ht="63.75" hidden="1">
      <c r="A125" s="36" t="s">
        <v>88</v>
      </c>
      <c r="B125" s="36" t="s">
        <v>2174</v>
      </c>
      <c r="C125" s="36" t="s">
        <v>2031</v>
      </c>
      <c r="D125" s="381" t="s">
        <v>1465</v>
      </c>
      <c r="E125" s="175">
        <v>198969.72</v>
      </c>
      <c r="F125" s="139">
        <v>198969.72</v>
      </c>
      <c r="G125" s="484">
        <f t="shared" si="1"/>
        <v>100</v>
      </c>
    </row>
    <row r="126" spans="1:7" ht="63.75" hidden="1">
      <c r="A126" s="36" t="s">
        <v>88</v>
      </c>
      <c r="B126" s="36" t="s">
        <v>2175</v>
      </c>
      <c r="C126" s="36" t="s">
        <v>2031</v>
      </c>
      <c r="D126" s="381" t="s">
        <v>1465</v>
      </c>
      <c r="E126" s="175">
        <v>439037.2</v>
      </c>
      <c r="F126" s="139">
        <v>439037.2</v>
      </c>
      <c r="G126" s="484">
        <f t="shared" si="1"/>
        <v>100</v>
      </c>
    </row>
    <row r="127" spans="1:7" ht="51" hidden="1">
      <c r="A127" s="36" t="s">
        <v>88</v>
      </c>
      <c r="B127" s="36" t="s">
        <v>2176</v>
      </c>
      <c r="C127" s="36" t="s">
        <v>2031</v>
      </c>
      <c r="D127" s="381" t="s">
        <v>152</v>
      </c>
      <c r="E127" s="175">
        <v>85264</v>
      </c>
      <c r="F127" s="139">
        <v>85264</v>
      </c>
      <c r="G127" s="484">
        <f t="shared" si="1"/>
        <v>100</v>
      </c>
    </row>
    <row r="128" spans="1:7" ht="76.5" hidden="1">
      <c r="A128" s="36" t="s">
        <v>88</v>
      </c>
      <c r="B128" s="36" t="s">
        <v>2177</v>
      </c>
      <c r="C128" s="36" t="s">
        <v>2031</v>
      </c>
      <c r="D128" s="381" t="s">
        <v>694</v>
      </c>
      <c r="E128" s="175">
        <v>41500</v>
      </c>
      <c r="F128" s="139">
        <v>41498.639999999999</v>
      </c>
      <c r="G128" s="484">
        <f t="shared" si="1"/>
        <v>99.996722891566264</v>
      </c>
    </row>
    <row r="129" spans="1:7" ht="25.5" hidden="1">
      <c r="A129" s="36" t="s">
        <v>88</v>
      </c>
      <c r="B129" s="386" t="s">
        <v>2178</v>
      </c>
      <c r="C129" s="387" t="s">
        <v>2179</v>
      </c>
      <c r="D129" s="9" t="s">
        <v>696</v>
      </c>
      <c r="E129" s="175">
        <v>5718.07</v>
      </c>
      <c r="F129" s="175">
        <v>5718.07</v>
      </c>
      <c r="G129" s="484">
        <f t="shared" si="1"/>
        <v>100</v>
      </c>
    </row>
    <row r="130" spans="1:7" ht="76.5" hidden="1">
      <c r="A130" s="36" t="s">
        <v>88</v>
      </c>
      <c r="B130" s="36" t="s">
        <v>2180</v>
      </c>
      <c r="C130" s="36" t="s">
        <v>2179</v>
      </c>
      <c r="D130" s="388" t="s">
        <v>1476</v>
      </c>
      <c r="E130" s="175">
        <v>1173589.5</v>
      </c>
      <c r="F130" s="175">
        <v>1173589.5</v>
      </c>
      <c r="G130" s="484">
        <f t="shared" si="1"/>
        <v>100</v>
      </c>
    </row>
    <row r="131" spans="1:7" ht="76.5" hidden="1">
      <c r="A131" s="36" t="s">
        <v>88</v>
      </c>
      <c r="B131" s="36" t="s">
        <v>2181</v>
      </c>
      <c r="C131" s="36" t="s">
        <v>2179</v>
      </c>
      <c r="D131" s="388" t="s">
        <v>1476</v>
      </c>
      <c r="E131" s="175">
        <v>7620333.25</v>
      </c>
      <c r="F131" s="175">
        <v>7616308.25</v>
      </c>
      <c r="G131" s="484">
        <f t="shared" si="1"/>
        <v>99.947180787664365</v>
      </c>
    </row>
    <row r="132" spans="1:7" ht="63.75" hidden="1">
      <c r="A132" s="36" t="s">
        <v>88</v>
      </c>
      <c r="B132" s="36" t="s">
        <v>2184</v>
      </c>
      <c r="C132" s="36" t="s">
        <v>2182</v>
      </c>
      <c r="D132" s="381" t="s">
        <v>1962</v>
      </c>
      <c r="E132" s="175">
        <v>10754389.41</v>
      </c>
      <c r="F132" s="175">
        <v>10781613.609999999</v>
      </c>
      <c r="G132" s="484">
        <f t="shared" si="1"/>
        <v>100.25314500862955</v>
      </c>
    </row>
    <row r="133" spans="1:7" ht="51" hidden="1">
      <c r="A133" s="36" t="s">
        <v>88</v>
      </c>
      <c r="B133" s="36" t="s">
        <v>2185</v>
      </c>
      <c r="C133" s="36" t="s">
        <v>2182</v>
      </c>
      <c r="D133" s="9" t="s">
        <v>1479</v>
      </c>
      <c r="E133" s="175">
        <v>0</v>
      </c>
      <c r="F133" s="173">
        <v>18312.16</v>
      </c>
      <c r="G133" s="484"/>
    </row>
    <row r="134" spans="1:7" ht="51" hidden="1">
      <c r="A134" s="36" t="s">
        <v>88</v>
      </c>
      <c r="B134" s="36" t="s">
        <v>2571</v>
      </c>
      <c r="C134" s="36" t="s">
        <v>2572</v>
      </c>
      <c r="D134" s="9" t="s">
        <v>1530</v>
      </c>
      <c r="E134" s="175">
        <v>3533.42</v>
      </c>
      <c r="F134" s="173">
        <v>3533.42</v>
      </c>
      <c r="G134" s="484">
        <f t="shared" ref="G134:G196" si="2">F134/E134*100</f>
        <v>100</v>
      </c>
    </row>
    <row r="135" spans="1:7" ht="25.5" hidden="1">
      <c r="A135" s="36" t="s">
        <v>88</v>
      </c>
      <c r="B135" s="36" t="s">
        <v>2160</v>
      </c>
      <c r="C135" s="36" t="s">
        <v>2161</v>
      </c>
      <c r="D135" s="381" t="s">
        <v>388</v>
      </c>
      <c r="E135" s="381"/>
      <c r="F135" s="385">
        <v>-500</v>
      </c>
      <c r="G135" s="484"/>
    </row>
    <row r="136" spans="1:7" ht="15" hidden="1">
      <c r="A136" s="375"/>
      <c r="B136" s="530" t="s">
        <v>306</v>
      </c>
      <c r="C136" s="530"/>
      <c r="D136" s="530"/>
      <c r="E136" s="384">
        <f>SUM(E137:E142)</f>
        <v>28995841.210000001</v>
      </c>
      <c r="F136" s="384">
        <f>SUM(F137:F142)</f>
        <v>30189753.589999996</v>
      </c>
      <c r="G136" s="483">
        <f t="shared" si="2"/>
        <v>104.11752972211836</v>
      </c>
    </row>
    <row r="137" spans="1:7" ht="25.5" hidden="1">
      <c r="A137" s="36" t="s">
        <v>252</v>
      </c>
      <c r="B137" s="36" t="s">
        <v>2186</v>
      </c>
      <c r="C137" s="36" t="s">
        <v>2158</v>
      </c>
      <c r="D137" s="381" t="s">
        <v>845</v>
      </c>
      <c r="E137" s="173">
        <f>19953100+3566196</f>
        <v>23519296</v>
      </c>
      <c r="F137" s="173">
        <v>24315179.829999998</v>
      </c>
      <c r="G137" s="484">
        <f t="shared" si="2"/>
        <v>103.38396111006043</v>
      </c>
    </row>
    <row r="138" spans="1:7" ht="38.25" hidden="1">
      <c r="A138" s="36" t="s">
        <v>252</v>
      </c>
      <c r="B138" s="36" t="s">
        <v>2187</v>
      </c>
      <c r="C138" s="36" t="s">
        <v>2158</v>
      </c>
      <c r="D138" s="381" t="s">
        <v>12</v>
      </c>
      <c r="E138" s="173">
        <f>4552600-965000</f>
        <v>3587600</v>
      </c>
      <c r="F138" s="173">
        <v>3644549.15</v>
      </c>
      <c r="G138" s="484">
        <f t="shared" si="2"/>
        <v>101.58738850485003</v>
      </c>
    </row>
    <row r="139" spans="1:7" ht="25.5" hidden="1">
      <c r="A139" s="36" t="s">
        <v>252</v>
      </c>
      <c r="B139" s="36" t="s">
        <v>2160</v>
      </c>
      <c r="C139" s="36" t="s">
        <v>2161</v>
      </c>
      <c r="D139" s="381" t="s">
        <v>388</v>
      </c>
      <c r="E139" s="381"/>
      <c r="F139" s="385">
        <v>2929.4</v>
      </c>
      <c r="G139" s="484"/>
    </row>
    <row r="140" spans="1:7" ht="25.5" hidden="1">
      <c r="A140" s="36" t="s">
        <v>252</v>
      </c>
      <c r="B140" s="36" t="s">
        <v>2740</v>
      </c>
      <c r="C140" s="36" t="s">
        <v>2161</v>
      </c>
      <c r="D140" s="381" t="s">
        <v>430</v>
      </c>
      <c r="E140" s="175">
        <v>45360.71</v>
      </c>
      <c r="F140" s="173">
        <v>45360.71</v>
      </c>
      <c r="G140" s="484">
        <f t="shared" si="2"/>
        <v>100</v>
      </c>
    </row>
    <row r="141" spans="1:7" ht="51" hidden="1">
      <c r="A141" s="36" t="s">
        <v>252</v>
      </c>
      <c r="B141" s="400" t="s">
        <v>2563</v>
      </c>
      <c r="C141" s="201" t="s">
        <v>2027</v>
      </c>
      <c r="D141" s="9" t="s">
        <v>687</v>
      </c>
      <c r="E141" s="173">
        <v>43584.5</v>
      </c>
      <c r="F141" s="173">
        <v>43584.5</v>
      </c>
      <c r="G141" s="484">
        <f t="shared" si="2"/>
        <v>100</v>
      </c>
    </row>
    <row r="142" spans="1:7" ht="63.75" hidden="1">
      <c r="A142" s="36" t="s">
        <v>252</v>
      </c>
      <c r="B142" s="36" t="s">
        <v>2188</v>
      </c>
      <c r="C142" s="36" t="s">
        <v>2161</v>
      </c>
      <c r="D142" s="158" t="s">
        <v>408</v>
      </c>
      <c r="E142" s="173">
        <v>1800000</v>
      </c>
      <c r="F142" s="173">
        <v>2138150</v>
      </c>
      <c r="G142" s="484">
        <f t="shared" si="2"/>
        <v>118.7861111111111</v>
      </c>
    </row>
    <row r="143" spans="1:7" ht="15" hidden="1">
      <c r="A143" s="379"/>
      <c r="B143" s="537" t="s">
        <v>1824</v>
      </c>
      <c r="C143" s="538"/>
      <c r="D143" s="539"/>
      <c r="E143" s="56">
        <f>SUM(E144:E145)</f>
        <v>4049306.25</v>
      </c>
      <c r="F143" s="56">
        <f>SUM(F144:F145)</f>
        <v>2904608.95</v>
      </c>
      <c r="G143" s="484">
        <f t="shared" si="2"/>
        <v>71.731026765387284</v>
      </c>
    </row>
    <row r="144" spans="1:7" ht="25.5" hidden="1">
      <c r="A144" s="376" t="s">
        <v>1164</v>
      </c>
      <c r="B144" s="376" t="s">
        <v>2164</v>
      </c>
      <c r="C144" s="376" t="s">
        <v>2189</v>
      </c>
      <c r="D144" s="148" t="s">
        <v>845</v>
      </c>
      <c r="E144" s="383">
        <v>3787500</v>
      </c>
      <c r="F144" s="392">
        <v>2642802.7000000002</v>
      </c>
      <c r="G144" s="484">
        <f t="shared" si="2"/>
        <v>69.776968976897692</v>
      </c>
    </row>
    <row r="145" spans="1:7" ht="25.5">
      <c r="A145" s="479" t="s">
        <v>1164</v>
      </c>
      <c r="B145" s="36" t="s">
        <v>2733</v>
      </c>
      <c r="C145" s="36" t="s">
        <v>2161</v>
      </c>
      <c r="D145" s="381" t="s">
        <v>1323</v>
      </c>
      <c r="E145" s="383">
        <v>261806.25</v>
      </c>
      <c r="F145" s="392">
        <v>261806.25</v>
      </c>
      <c r="G145" s="484">
        <f t="shared" si="2"/>
        <v>100</v>
      </c>
    </row>
    <row r="146" spans="1:7" ht="15" hidden="1">
      <c r="A146" s="375"/>
      <c r="B146" s="530" t="s">
        <v>43</v>
      </c>
      <c r="C146" s="530"/>
      <c r="D146" s="530"/>
      <c r="E146" s="384">
        <f>SUM(E147:E209)</f>
        <v>1699393829.1000001</v>
      </c>
      <c r="F146" s="384">
        <f>SUM(F147:F209)</f>
        <v>1681604093.3999999</v>
      </c>
      <c r="G146" s="483">
        <f t="shared" si="2"/>
        <v>98.953171690083067</v>
      </c>
    </row>
    <row r="147" spans="1:7" ht="25.5" hidden="1">
      <c r="A147" s="376" t="s">
        <v>253</v>
      </c>
      <c r="B147" s="400" t="s">
        <v>2459</v>
      </c>
      <c r="C147" s="36" t="s">
        <v>2190</v>
      </c>
      <c r="D147" s="148" t="s">
        <v>431</v>
      </c>
      <c r="E147" s="175">
        <v>412575900</v>
      </c>
      <c r="F147" s="175">
        <v>412575900</v>
      </c>
      <c r="G147" s="484">
        <f t="shared" si="2"/>
        <v>100</v>
      </c>
    </row>
    <row r="148" spans="1:7" ht="38.25" hidden="1">
      <c r="A148" s="376" t="s">
        <v>253</v>
      </c>
      <c r="B148" s="400" t="s">
        <v>2461</v>
      </c>
      <c r="C148" s="36" t="s">
        <v>2190</v>
      </c>
      <c r="D148" s="193" t="s">
        <v>432</v>
      </c>
      <c r="E148" s="175">
        <v>158176000</v>
      </c>
      <c r="F148" s="175">
        <v>158176000</v>
      </c>
      <c r="G148" s="484">
        <f t="shared" si="2"/>
        <v>100</v>
      </c>
    </row>
    <row r="149" spans="1:7" ht="25.5" hidden="1">
      <c r="A149" s="376" t="s">
        <v>253</v>
      </c>
      <c r="B149" s="400" t="s">
        <v>2496</v>
      </c>
      <c r="C149" s="201" t="s">
        <v>11</v>
      </c>
      <c r="D149" s="317" t="s">
        <v>799</v>
      </c>
      <c r="E149" s="175">
        <f>1453648.23+2702455.77</f>
        <v>4156104</v>
      </c>
      <c r="F149" s="175">
        <v>4156104</v>
      </c>
      <c r="G149" s="484">
        <f t="shared" si="2"/>
        <v>100</v>
      </c>
    </row>
    <row r="150" spans="1:7" ht="153" hidden="1">
      <c r="A150" s="376" t="s">
        <v>253</v>
      </c>
      <c r="B150" s="134" t="s">
        <v>2462</v>
      </c>
      <c r="C150" s="201" t="s">
        <v>11</v>
      </c>
      <c r="D150" s="317" t="s">
        <v>1692</v>
      </c>
      <c r="E150" s="175">
        <f>6058536.71-4123371.62</f>
        <v>1935165.0899999999</v>
      </c>
      <c r="F150" s="175">
        <v>1935165.09</v>
      </c>
      <c r="G150" s="484">
        <f t="shared" si="2"/>
        <v>100.00000000000003</v>
      </c>
    </row>
    <row r="151" spans="1:7" ht="51" hidden="1">
      <c r="A151" s="376" t="s">
        <v>253</v>
      </c>
      <c r="B151" s="134" t="s">
        <v>2463</v>
      </c>
      <c r="C151" s="201">
        <v>151</v>
      </c>
      <c r="D151" s="9" t="s">
        <v>1377</v>
      </c>
      <c r="E151" s="175">
        <v>2977209</v>
      </c>
      <c r="F151" s="175">
        <v>2977209</v>
      </c>
      <c r="G151" s="484">
        <f t="shared" si="2"/>
        <v>100</v>
      </c>
    </row>
    <row r="152" spans="1:7" ht="63.75" hidden="1">
      <c r="A152" s="376" t="s">
        <v>253</v>
      </c>
      <c r="B152" s="134" t="s">
        <v>2464</v>
      </c>
      <c r="C152" s="201">
        <v>151</v>
      </c>
      <c r="D152" s="9" t="s">
        <v>1696</v>
      </c>
      <c r="E152" s="175">
        <v>361700</v>
      </c>
      <c r="F152" s="175">
        <v>361700</v>
      </c>
      <c r="G152" s="484">
        <f t="shared" si="2"/>
        <v>100</v>
      </c>
    </row>
    <row r="153" spans="1:7" ht="76.5" hidden="1">
      <c r="A153" s="376" t="s">
        <v>253</v>
      </c>
      <c r="B153" s="134" t="s">
        <v>2465</v>
      </c>
      <c r="C153" s="201">
        <v>151</v>
      </c>
      <c r="D153" s="9" t="s">
        <v>1829</v>
      </c>
      <c r="E153" s="175">
        <v>611100</v>
      </c>
      <c r="F153" s="175">
        <v>611100</v>
      </c>
      <c r="G153" s="484">
        <f t="shared" si="2"/>
        <v>100</v>
      </c>
    </row>
    <row r="154" spans="1:7" ht="76.5" hidden="1">
      <c r="A154" s="376" t="s">
        <v>253</v>
      </c>
      <c r="B154" s="386" t="s">
        <v>2469</v>
      </c>
      <c r="C154" s="387">
        <v>151</v>
      </c>
      <c r="D154" s="9" t="s">
        <v>1841</v>
      </c>
      <c r="E154" s="175">
        <v>30772000</v>
      </c>
      <c r="F154" s="175">
        <v>30772000</v>
      </c>
      <c r="G154" s="484">
        <f t="shared" si="2"/>
        <v>100</v>
      </c>
    </row>
    <row r="155" spans="1:7" ht="89.25" hidden="1">
      <c r="A155" s="376" t="s">
        <v>253</v>
      </c>
      <c r="B155" s="386" t="s">
        <v>2470</v>
      </c>
      <c r="C155" s="387">
        <v>151</v>
      </c>
      <c r="D155" s="9" t="s">
        <v>1852</v>
      </c>
      <c r="E155" s="175">
        <v>503700</v>
      </c>
      <c r="F155" s="175">
        <v>503700</v>
      </c>
      <c r="G155" s="484">
        <f t="shared" si="2"/>
        <v>100</v>
      </c>
    </row>
    <row r="156" spans="1:7" ht="89.25" hidden="1">
      <c r="A156" s="376" t="s">
        <v>253</v>
      </c>
      <c r="B156" s="386" t="s">
        <v>2471</v>
      </c>
      <c r="C156" s="387">
        <v>151</v>
      </c>
      <c r="D156" s="9" t="s">
        <v>1910</v>
      </c>
      <c r="E156" s="175">
        <v>1660100</v>
      </c>
      <c r="F156" s="175">
        <v>1660100</v>
      </c>
      <c r="G156" s="484">
        <f t="shared" si="2"/>
        <v>100</v>
      </c>
    </row>
    <row r="157" spans="1:7" ht="89.25" hidden="1">
      <c r="A157" s="376" t="s">
        <v>253</v>
      </c>
      <c r="B157" s="386" t="s">
        <v>2472</v>
      </c>
      <c r="C157" s="387">
        <v>151</v>
      </c>
      <c r="D157" s="9" t="s">
        <v>1709</v>
      </c>
      <c r="E157" s="175">
        <v>675300</v>
      </c>
      <c r="F157" s="175">
        <v>675300</v>
      </c>
      <c r="G157" s="484">
        <f t="shared" si="2"/>
        <v>100</v>
      </c>
    </row>
    <row r="158" spans="1:7" ht="63.75" hidden="1">
      <c r="A158" s="376" t="s">
        <v>253</v>
      </c>
      <c r="B158" s="386" t="s">
        <v>2493</v>
      </c>
      <c r="C158" s="387">
        <v>151</v>
      </c>
      <c r="D158" s="9" t="s">
        <v>1718</v>
      </c>
      <c r="E158" s="173">
        <v>888000</v>
      </c>
      <c r="F158" s="175">
        <v>888000</v>
      </c>
      <c r="G158" s="484">
        <f t="shared" si="2"/>
        <v>100</v>
      </c>
    </row>
    <row r="159" spans="1:7" ht="127.5" hidden="1">
      <c r="A159" s="376" t="s">
        <v>253</v>
      </c>
      <c r="B159" s="386" t="s">
        <v>2494</v>
      </c>
      <c r="C159" s="387">
        <v>151</v>
      </c>
      <c r="D159" s="9" t="s">
        <v>1912</v>
      </c>
      <c r="E159" s="173">
        <v>434100</v>
      </c>
      <c r="F159" s="175">
        <v>434100</v>
      </c>
      <c r="G159" s="484">
        <f t="shared" si="2"/>
        <v>100</v>
      </c>
    </row>
    <row r="160" spans="1:7" ht="89.25" hidden="1">
      <c r="A160" s="376" t="s">
        <v>253</v>
      </c>
      <c r="B160" s="386" t="s">
        <v>2473</v>
      </c>
      <c r="C160" s="387">
        <v>151</v>
      </c>
      <c r="D160" s="9" t="s">
        <v>1914</v>
      </c>
      <c r="E160" s="173">
        <v>12531000</v>
      </c>
      <c r="F160" s="175">
        <v>12531000</v>
      </c>
      <c r="G160" s="484">
        <f t="shared" si="2"/>
        <v>100</v>
      </c>
    </row>
    <row r="161" spans="1:7" ht="63.75" hidden="1">
      <c r="A161" s="376" t="s">
        <v>253</v>
      </c>
      <c r="B161" s="386" t="s">
        <v>2474</v>
      </c>
      <c r="C161" s="387">
        <v>151</v>
      </c>
      <c r="D161" s="9" t="s">
        <v>1688</v>
      </c>
      <c r="E161" s="173">
        <v>6423600</v>
      </c>
      <c r="F161" s="175">
        <v>6423599.8200000003</v>
      </c>
      <c r="G161" s="484">
        <f t="shared" si="2"/>
        <v>99.999997197832997</v>
      </c>
    </row>
    <row r="162" spans="1:7" ht="76.5" hidden="1">
      <c r="A162" s="376" t="s">
        <v>253</v>
      </c>
      <c r="B162" s="386" t="s">
        <v>2475</v>
      </c>
      <c r="C162" s="387">
        <v>151</v>
      </c>
      <c r="D162" s="9" t="s">
        <v>1790</v>
      </c>
      <c r="E162" s="173">
        <v>11940</v>
      </c>
      <c r="F162" s="175">
        <v>10203.700000000001</v>
      </c>
      <c r="G162" s="484">
        <f t="shared" si="2"/>
        <v>85.458123953098834</v>
      </c>
    </row>
    <row r="163" spans="1:7" ht="89.25" hidden="1">
      <c r="A163" s="376" t="s">
        <v>253</v>
      </c>
      <c r="B163" s="386" t="s">
        <v>2476</v>
      </c>
      <c r="C163" s="387">
        <v>151</v>
      </c>
      <c r="D163" s="9" t="s">
        <v>1650</v>
      </c>
      <c r="E163" s="173">
        <v>1176000</v>
      </c>
      <c r="F163" s="175">
        <v>1176000</v>
      </c>
      <c r="G163" s="484">
        <f t="shared" si="2"/>
        <v>100</v>
      </c>
    </row>
    <row r="164" spans="1:7" ht="114.75" hidden="1">
      <c r="A164" s="376" t="s">
        <v>253</v>
      </c>
      <c r="B164" s="386" t="s">
        <v>2477</v>
      </c>
      <c r="C164" s="387">
        <v>151</v>
      </c>
      <c r="D164" s="9" t="s">
        <v>1651</v>
      </c>
      <c r="E164" s="173">
        <v>343400</v>
      </c>
      <c r="F164" s="175">
        <v>343400.00000000012</v>
      </c>
      <c r="G164" s="484">
        <f t="shared" si="2"/>
        <v>100.00000000000004</v>
      </c>
    </row>
    <row r="165" spans="1:7" ht="76.5" hidden="1">
      <c r="A165" s="376" t="s">
        <v>253</v>
      </c>
      <c r="B165" s="386" t="s">
        <v>2478</v>
      </c>
      <c r="C165" s="387">
        <v>151</v>
      </c>
      <c r="D165" s="9" t="s">
        <v>1916</v>
      </c>
      <c r="E165" s="173">
        <v>97297</v>
      </c>
      <c r="F165" s="175">
        <v>97297</v>
      </c>
      <c r="G165" s="484">
        <f t="shared" si="2"/>
        <v>100</v>
      </c>
    </row>
    <row r="166" spans="1:7" ht="76.5" hidden="1">
      <c r="A166" s="376" t="s">
        <v>253</v>
      </c>
      <c r="B166" s="386" t="s">
        <v>2479</v>
      </c>
      <c r="C166" s="387">
        <v>151</v>
      </c>
      <c r="D166" s="9" t="s">
        <v>818</v>
      </c>
      <c r="E166" s="173">
        <v>794700</v>
      </c>
      <c r="F166" s="175">
        <v>794700</v>
      </c>
      <c r="G166" s="484">
        <f t="shared" si="2"/>
        <v>100</v>
      </c>
    </row>
    <row r="167" spans="1:7" ht="204" hidden="1">
      <c r="A167" s="376" t="s">
        <v>253</v>
      </c>
      <c r="B167" s="386" t="s">
        <v>2480</v>
      </c>
      <c r="C167" s="387">
        <v>151</v>
      </c>
      <c r="D167" s="9" t="s">
        <v>1965</v>
      </c>
      <c r="E167" s="173">
        <v>5756900</v>
      </c>
      <c r="F167" s="175">
        <v>5399994.2800000003</v>
      </c>
      <c r="G167" s="484">
        <f t="shared" si="2"/>
        <v>93.800383539752303</v>
      </c>
    </row>
    <row r="168" spans="1:7" ht="76.5" hidden="1">
      <c r="A168" s="376" t="s">
        <v>253</v>
      </c>
      <c r="B168" s="386" t="s">
        <v>2482</v>
      </c>
      <c r="C168" s="387">
        <v>151</v>
      </c>
      <c r="D168" s="9" t="s">
        <v>1700</v>
      </c>
      <c r="E168" s="173">
        <v>278800</v>
      </c>
      <c r="F168" s="175">
        <v>278800</v>
      </c>
      <c r="G168" s="484">
        <f t="shared" si="2"/>
        <v>100</v>
      </c>
    </row>
    <row r="169" spans="1:7" ht="76.5" hidden="1">
      <c r="A169" s="376" t="s">
        <v>253</v>
      </c>
      <c r="B169" s="386" t="s">
        <v>2495</v>
      </c>
      <c r="C169" s="387">
        <v>151</v>
      </c>
      <c r="D169" s="9" t="s">
        <v>1702</v>
      </c>
      <c r="E169" s="173">
        <v>5912130</v>
      </c>
      <c r="F169" s="175">
        <v>5912130</v>
      </c>
      <c r="G169" s="484">
        <f t="shared" si="2"/>
        <v>100</v>
      </c>
    </row>
    <row r="170" spans="1:7" ht="89.25" hidden="1">
      <c r="A170" s="376" t="s">
        <v>253</v>
      </c>
      <c r="B170" s="386" t="s">
        <v>2483</v>
      </c>
      <c r="C170" s="387">
        <v>151</v>
      </c>
      <c r="D170" s="9" t="s">
        <v>1707</v>
      </c>
      <c r="E170" s="173">
        <v>29068700</v>
      </c>
      <c r="F170" s="175">
        <v>28817536.649999999</v>
      </c>
      <c r="G170" s="484">
        <f t="shared" si="2"/>
        <v>99.13596634868432</v>
      </c>
    </row>
    <row r="171" spans="1:7" ht="114.75" hidden="1">
      <c r="A171" s="376" t="s">
        <v>253</v>
      </c>
      <c r="B171" s="386" t="s">
        <v>2484</v>
      </c>
      <c r="C171" s="387">
        <v>151</v>
      </c>
      <c r="D171" s="9" t="s">
        <v>829</v>
      </c>
      <c r="E171" s="173">
        <v>64000</v>
      </c>
      <c r="F171" s="175">
        <v>64000</v>
      </c>
      <c r="G171" s="484">
        <f t="shared" si="2"/>
        <v>100</v>
      </c>
    </row>
    <row r="172" spans="1:7" ht="76.5" hidden="1">
      <c r="A172" s="376" t="s">
        <v>253</v>
      </c>
      <c r="B172" s="386" t="s">
        <v>2485</v>
      </c>
      <c r="C172" s="387">
        <v>151</v>
      </c>
      <c r="D172" s="9" t="s">
        <v>1788</v>
      </c>
      <c r="E172" s="173">
        <v>5782800</v>
      </c>
      <c r="F172" s="175">
        <v>5782800</v>
      </c>
      <c r="G172" s="484">
        <f t="shared" si="2"/>
        <v>100</v>
      </c>
    </row>
    <row r="173" spans="1:7" ht="216.75" hidden="1">
      <c r="A173" s="376" t="s">
        <v>253</v>
      </c>
      <c r="B173" s="386" t="s">
        <v>2486</v>
      </c>
      <c r="C173" s="387">
        <v>151</v>
      </c>
      <c r="D173" s="9" t="s">
        <v>1830</v>
      </c>
      <c r="E173" s="173">
        <v>8200000</v>
      </c>
      <c r="F173" s="175">
        <v>7794423.0600000005</v>
      </c>
      <c r="G173" s="484">
        <f t="shared" si="2"/>
        <v>95.053939756097577</v>
      </c>
    </row>
    <row r="174" spans="1:7" ht="102" hidden="1">
      <c r="A174" s="376" t="s">
        <v>253</v>
      </c>
      <c r="B174" s="386" t="s">
        <v>2487</v>
      </c>
      <c r="C174" s="387">
        <v>151</v>
      </c>
      <c r="D174" s="9" t="s">
        <v>1934</v>
      </c>
      <c r="E174" s="173">
        <v>2761000</v>
      </c>
      <c r="F174" s="175">
        <v>0</v>
      </c>
      <c r="G174" s="484">
        <f t="shared" si="2"/>
        <v>0</v>
      </c>
    </row>
    <row r="175" spans="1:7" ht="102" hidden="1">
      <c r="A175" s="376" t="s">
        <v>253</v>
      </c>
      <c r="B175" s="386" t="s">
        <v>2488</v>
      </c>
      <c r="C175" s="387">
        <v>151</v>
      </c>
      <c r="D175" s="9" t="s">
        <v>1938</v>
      </c>
      <c r="E175" s="173">
        <v>1500000</v>
      </c>
      <c r="F175" s="175">
        <v>1500000</v>
      </c>
      <c r="G175" s="484">
        <f t="shared" si="2"/>
        <v>100</v>
      </c>
    </row>
    <row r="176" spans="1:7" ht="102" hidden="1">
      <c r="A176" s="376" t="s">
        <v>253</v>
      </c>
      <c r="B176" s="386" t="s">
        <v>2489</v>
      </c>
      <c r="C176" s="387">
        <v>151</v>
      </c>
      <c r="D176" s="9" t="s">
        <v>1919</v>
      </c>
      <c r="E176" s="173">
        <v>112700</v>
      </c>
      <c r="F176" s="175">
        <v>92307.6</v>
      </c>
      <c r="G176" s="484">
        <f t="shared" si="2"/>
        <v>81.905590062111813</v>
      </c>
    </row>
    <row r="177" spans="1:7" ht="102" hidden="1">
      <c r="A177" s="376" t="s">
        <v>253</v>
      </c>
      <c r="B177" s="386" t="s">
        <v>2490</v>
      </c>
      <c r="C177" s="387">
        <v>151</v>
      </c>
      <c r="D177" s="9" t="s">
        <v>1854</v>
      </c>
      <c r="E177" s="173">
        <v>3780740</v>
      </c>
      <c r="F177" s="175">
        <v>3431421.54</v>
      </c>
      <c r="G177" s="484">
        <f t="shared" si="2"/>
        <v>90.760579674878457</v>
      </c>
    </row>
    <row r="178" spans="1:7" ht="102" hidden="1">
      <c r="A178" s="376" t="s">
        <v>253</v>
      </c>
      <c r="B178" s="386" t="s">
        <v>2491</v>
      </c>
      <c r="C178" s="387">
        <v>151</v>
      </c>
      <c r="D178" s="9" t="s">
        <v>1847</v>
      </c>
      <c r="E178" s="173">
        <v>350000</v>
      </c>
      <c r="F178" s="175">
        <v>350000</v>
      </c>
      <c r="G178" s="484">
        <f t="shared" si="2"/>
        <v>100</v>
      </c>
    </row>
    <row r="179" spans="1:7" ht="127.5" hidden="1">
      <c r="A179" s="376" t="s">
        <v>253</v>
      </c>
      <c r="B179" s="386" t="s">
        <v>2492</v>
      </c>
      <c r="C179" s="387">
        <v>151</v>
      </c>
      <c r="D179" s="9" t="s">
        <v>1844</v>
      </c>
      <c r="E179" s="173">
        <v>3100000</v>
      </c>
      <c r="F179" s="175">
        <v>2283749.8200000003</v>
      </c>
      <c r="G179" s="484">
        <f t="shared" si="2"/>
        <v>73.669349032258069</v>
      </c>
    </row>
    <row r="180" spans="1:7" ht="140.25" hidden="1">
      <c r="A180" s="376" t="s">
        <v>253</v>
      </c>
      <c r="B180" s="386" t="s">
        <v>2500</v>
      </c>
      <c r="C180" s="203">
        <v>151</v>
      </c>
      <c r="D180" s="317" t="s">
        <v>819</v>
      </c>
      <c r="E180" s="173">
        <v>46039251</v>
      </c>
      <c r="F180" s="173">
        <v>46039251</v>
      </c>
      <c r="G180" s="484">
        <f t="shared" si="2"/>
        <v>100</v>
      </c>
    </row>
    <row r="181" spans="1:7" ht="140.25" hidden="1">
      <c r="A181" s="376" t="s">
        <v>253</v>
      </c>
      <c r="B181" s="386" t="s">
        <v>2501</v>
      </c>
      <c r="C181" s="203">
        <v>151</v>
      </c>
      <c r="D181" s="193" t="s">
        <v>1305</v>
      </c>
      <c r="E181" s="173">
        <v>337500</v>
      </c>
      <c r="F181" s="173">
        <v>337500</v>
      </c>
      <c r="G181" s="484">
        <f t="shared" si="2"/>
        <v>100</v>
      </c>
    </row>
    <row r="182" spans="1:7" ht="102" hidden="1">
      <c r="A182" s="376" t="s">
        <v>253</v>
      </c>
      <c r="B182" s="386" t="s">
        <v>2502</v>
      </c>
      <c r="C182" s="203">
        <v>151</v>
      </c>
      <c r="D182" s="193" t="s">
        <v>820</v>
      </c>
      <c r="E182" s="173">
        <v>55000</v>
      </c>
      <c r="F182" s="173">
        <v>55000</v>
      </c>
      <c r="G182" s="484">
        <f t="shared" si="2"/>
        <v>100</v>
      </c>
    </row>
    <row r="183" spans="1:7" ht="140.25" hidden="1">
      <c r="A183" s="376" t="s">
        <v>253</v>
      </c>
      <c r="B183" s="386" t="s">
        <v>2503</v>
      </c>
      <c r="C183" s="203">
        <v>151</v>
      </c>
      <c r="D183" s="193" t="s">
        <v>821</v>
      </c>
      <c r="E183" s="173">
        <v>524300</v>
      </c>
      <c r="F183" s="173">
        <v>524299.99999999988</v>
      </c>
      <c r="G183" s="484">
        <f t="shared" si="2"/>
        <v>99.999999999999972</v>
      </c>
    </row>
    <row r="184" spans="1:7" ht="178.5" hidden="1">
      <c r="A184" s="376" t="s">
        <v>253</v>
      </c>
      <c r="B184" s="386" t="s">
        <v>2504</v>
      </c>
      <c r="C184" s="203">
        <v>151</v>
      </c>
      <c r="D184" s="269" t="s">
        <v>822</v>
      </c>
      <c r="E184" s="173">
        <v>19004049</v>
      </c>
      <c r="F184" s="173">
        <v>19004049</v>
      </c>
      <c r="G184" s="484">
        <f t="shared" si="2"/>
        <v>100</v>
      </c>
    </row>
    <row r="185" spans="1:7" ht="63.75" hidden="1">
      <c r="A185" s="376" t="s">
        <v>253</v>
      </c>
      <c r="B185" s="386" t="s">
        <v>2505</v>
      </c>
      <c r="C185" s="203">
        <v>151</v>
      </c>
      <c r="D185" s="269" t="s">
        <v>823</v>
      </c>
      <c r="E185" s="173">
        <v>178100</v>
      </c>
      <c r="F185" s="173">
        <v>178100</v>
      </c>
      <c r="G185" s="484">
        <f t="shared" si="2"/>
        <v>100</v>
      </c>
    </row>
    <row r="186" spans="1:7" ht="114.75" hidden="1">
      <c r="A186" s="376" t="s">
        <v>253</v>
      </c>
      <c r="B186" s="386" t="s">
        <v>2506</v>
      </c>
      <c r="C186" s="203">
        <v>151</v>
      </c>
      <c r="D186" s="9" t="s">
        <v>824</v>
      </c>
      <c r="E186" s="173">
        <v>1160800</v>
      </c>
      <c r="F186" s="173">
        <v>1160800</v>
      </c>
      <c r="G186" s="484">
        <f t="shared" si="2"/>
        <v>100</v>
      </c>
    </row>
    <row r="187" spans="1:7" ht="127.5" hidden="1">
      <c r="A187" s="376" t="s">
        <v>253</v>
      </c>
      <c r="B187" s="386" t="s">
        <v>2507</v>
      </c>
      <c r="C187" s="203">
        <v>151</v>
      </c>
      <c r="D187" s="269" t="s">
        <v>825</v>
      </c>
      <c r="E187" s="173">
        <v>617800</v>
      </c>
      <c r="F187" s="173">
        <v>617800</v>
      </c>
      <c r="G187" s="484">
        <f t="shared" si="2"/>
        <v>100</v>
      </c>
    </row>
    <row r="188" spans="1:7" ht="89.25" hidden="1">
      <c r="A188" s="376" t="s">
        <v>253</v>
      </c>
      <c r="B188" s="386" t="s">
        <v>2508</v>
      </c>
      <c r="C188" s="203">
        <v>151</v>
      </c>
      <c r="D188" s="269" t="s">
        <v>826</v>
      </c>
      <c r="E188" s="173">
        <v>69600</v>
      </c>
      <c r="F188" s="173">
        <v>69600</v>
      </c>
      <c r="G188" s="484">
        <f t="shared" si="2"/>
        <v>100</v>
      </c>
    </row>
    <row r="189" spans="1:7" ht="102" hidden="1">
      <c r="A189" s="376" t="s">
        <v>253</v>
      </c>
      <c r="B189" s="386" t="s">
        <v>2509</v>
      </c>
      <c r="C189" s="203">
        <v>151</v>
      </c>
      <c r="D189" s="269" t="s">
        <v>827</v>
      </c>
      <c r="E189" s="173">
        <v>1362700</v>
      </c>
      <c r="F189" s="173">
        <v>1271020</v>
      </c>
      <c r="G189" s="484">
        <f t="shared" si="2"/>
        <v>93.272180230424894</v>
      </c>
    </row>
    <row r="190" spans="1:7" ht="153" hidden="1">
      <c r="A190" s="376" t="s">
        <v>253</v>
      </c>
      <c r="B190" s="386" t="s">
        <v>2510</v>
      </c>
      <c r="C190" s="203">
        <v>151</v>
      </c>
      <c r="D190" s="269" t="s">
        <v>828</v>
      </c>
      <c r="E190" s="173">
        <v>382100</v>
      </c>
      <c r="F190" s="173">
        <v>382100</v>
      </c>
      <c r="G190" s="484">
        <f t="shared" si="2"/>
        <v>100</v>
      </c>
    </row>
    <row r="191" spans="1:7" ht="178.5" hidden="1">
      <c r="A191" s="376" t="s">
        <v>253</v>
      </c>
      <c r="B191" s="386" t="s">
        <v>2511</v>
      </c>
      <c r="C191" s="203">
        <v>151</v>
      </c>
      <c r="D191" s="269" t="s">
        <v>830</v>
      </c>
      <c r="E191" s="173">
        <v>356835600</v>
      </c>
      <c r="F191" s="173">
        <v>356821900</v>
      </c>
      <c r="G191" s="484">
        <f t="shared" si="2"/>
        <v>99.996160696970819</v>
      </c>
    </row>
    <row r="192" spans="1:7" ht="102" hidden="1">
      <c r="A192" s="376" t="s">
        <v>253</v>
      </c>
      <c r="B192" s="386" t="s">
        <v>2512</v>
      </c>
      <c r="C192" s="203">
        <v>151</v>
      </c>
      <c r="D192" s="269" t="s">
        <v>831</v>
      </c>
      <c r="E192" s="173">
        <v>25003900</v>
      </c>
      <c r="F192" s="173">
        <v>25003900</v>
      </c>
      <c r="G192" s="484">
        <f t="shared" si="2"/>
        <v>100</v>
      </c>
    </row>
    <row r="193" spans="1:7" ht="89.25" hidden="1">
      <c r="A193" s="376" t="s">
        <v>253</v>
      </c>
      <c r="B193" s="386" t="s">
        <v>2513</v>
      </c>
      <c r="C193" s="203">
        <v>151</v>
      </c>
      <c r="D193" s="269" t="s">
        <v>832</v>
      </c>
      <c r="E193" s="173">
        <v>190198400</v>
      </c>
      <c r="F193" s="173">
        <v>187391971</v>
      </c>
      <c r="G193" s="484">
        <f t="shared" si="2"/>
        <v>98.524472866228109</v>
      </c>
    </row>
    <row r="194" spans="1:7" ht="127.5" hidden="1">
      <c r="A194" s="376" t="s">
        <v>253</v>
      </c>
      <c r="B194" s="386" t="s">
        <v>2514</v>
      </c>
      <c r="C194" s="203">
        <v>151</v>
      </c>
      <c r="D194" s="193" t="s">
        <v>833</v>
      </c>
      <c r="E194" s="173">
        <v>15624400</v>
      </c>
      <c r="F194" s="173">
        <v>15556100</v>
      </c>
      <c r="G194" s="484">
        <f t="shared" si="2"/>
        <v>99.562863213947423</v>
      </c>
    </row>
    <row r="195" spans="1:7" ht="178.5" hidden="1">
      <c r="A195" s="376" t="s">
        <v>253</v>
      </c>
      <c r="B195" s="386" t="s">
        <v>2515</v>
      </c>
      <c r="C195" s="203">
        <v>151</v>
      </c>
      <c r="D195" s="193" t="s">
        <v>834</v>
      </c>
      <c r="E195" s="173">
        <v>121757800</v>
      </c>
      <c r="F195" s="173">
        <v>121757800</v>
      </c>
      <c r="G195" s="484">
        <f t="shared" si="2"/>
        <v>100</v>
      </c>
    </row>
    <row r="196" spans="1:7" ht="127.5" hidden="1">
      <c r="A196" s="376" t="s">
        <v>253</v>
      </c>
      <c r="B196" s="386" t="s">
        <v>2516</v>
      </c>
      <c r="C196" s="203">
        <v>151</v>
      </c>
      <c r="D196" s="193" t="s">
        <v>835</v>
      </c>
      <c r="E196" s="173">
        <v>26666200</v>
      </c>
      <c r="F196" s="173">
        <v>26666200</v>
      </c>
      <c r="G196" s="484">
        <f t="shared" si="2"/>
        <v>100</v>
      </c>
    </row>
    <row r="197" spans="1:7" ht="89.25" hidden="1">
      <c r="A197" s="376" t="s">
        <v>253</v>
      </c>
      <c r="B197" s="386" t="s">
        <v>2517</v>
      </c>
      <c r="C197" s="203">
        <v>151</v>
      </c>
      <c r="D197" s="193" t="s">
        <v>836</v>
      </c>
      <c r="E197" s="173">
        <v>1024000</v>
      </c>
      <c r="F197" s="173">
        <v>968530</v>
      </c>
      <c r="G197" s="484">
        <f t="shared" ref="G197:G210" si="3">F197/E197*100</f>
        <v>94.5830078125</v>
      </c>
    </row>
    <row r="198" spans="1:7" ht="89.25" hidden="1">
      <c r="A198" s="376" t="s">
        <v>253</v>
      </c>
      <c r="B198" s="386" t="s">
        <v>2539</v>
      </c>
      <c r="C198" s="203">
        <v>151</v>
      </c>
      <c r="D198" s="193" t="s">
        <v>838</v>
      </c>
      <c r="E198" s="173">
        <v>10359400</v>
      </c>
      <c r="F198" s="173">
        <v>7685044.6500000004</v>
      </c>
      <c r="G198" s="484">
        <f t="shared" si="3"/>
        <v>74.18426405004152</v>
      </c>
    </row>
    <row r="199" spans="1:7" ht="102" hidden="1">
      <c r="A199" s="376" t="s">
        <v>253</v>
      </c>
      <c r="B199" s="386" t="s">
        <v>2541</v>
      </c>
      <c r="C199" s="203">
        <v>151</v>
      </c>
      <c r="D199" s="269" t="s">
        <v>785</v>
      </c>
      <c r="E199" s="173">
        <v>4131005</v>
      </c>
      <c r="F199" s="173">
        <v>4076645.37</v>
      </c>
      <c r="G199" s="484">
        <f t="shared" si="3"/>
        <v>98.684106409941407</v>
      </c>
    </row>
    <row r="200" spans="1:7" ht="102" hidden="1">
      <c r="A200" s="376" t="s">
        <v>253</v>
      </c>
      <c r="B200" s="386" t="s">
        <v>2543</v>
      </c>
      <c r="C200" s="203">
        <v>151</v>
      </c>
      <c r="D200" s="269" t="s">
        <v>1690</v>
      </c>
      <c r="E200" s="173">
        <v>22012.98</v>
      </c>
      <c r="F200" s="173">
        <v>22012.98</v>
      </c>
      <c r="G200" s="484">
        <f t="shared" si="3"/>
        <v>100</v>
      </c>
    </row>
    <row r="201" spans="1:7" ht="178.5" hidden="1">
      <c r="A201" s="376" t="s">
        <v>253</v>
      </c>
      <c r="B201" s="400" t="s">
        <v>2546</v>
      </c>
      <c r="C201" s="203">
        <v>151</v>
      </c>
      <c r="D201" s="9" t="s">
        <v>841</v>
      </c>
      <c r="E201" s="173">
        <v>67629160</v>
      </c>
      <c r="F201" s="173">
        <v>67629159.670000002</v>
      </c>
      <c r="G201" s="484">
        <f t="shared" si="3"/>
        <v>99.999999512044795</v>
      </c>
    </row>
    <row r="202" spans="1:7" ht="165.75" hidden="1">
      <c r="A202" s="376" t="s">
        <v>253</v>
      </c>
      <c r="B202" s="400" t="s">
        <v>2547</v>
      </c>
      <c r="C202" s="203">
        <v>151</v>
      </c>
      <c r="D202" s="9" t="s">
        <v>843</v>
      </c>
      <c r="E202" s="173">
        <v>71891700</v>
      </c>
      <c r="F202" s="173">
        <v>70030899.329999998</v>
      </c>
      <c r="G202" s="484">
        <f t="shared" si="3"/>
        <v>97.411661332253928</v>
      </c>
    </row>
    <row r="203" spans="1:7" ht="63.75" hidden="1">
      <c r="A203" s="376" t="s">
        <v>253</v>
      </c>
      <c r="B203" s="400" t="s">
        <v>2519</v>
      </c>
      <c r="C203" s="203">
        <v>151</v>
      </c>
      <c r="D203" s="9" t="s">
        <v>266</v>
      </c>
      <c r="E203" s="173">
        <v>34112977</v>
      </c>
      <c r="F203" s="173">
        <v>34700679.810000002</v>
      </c>
      <c r="G203" s="484">
        <f t="shared" si="3"/>
        <v>101.72281302215285</v>
      </c>
    </row>
    <row r="204" spans="1:7" ht="25.5" hidden="1">
      <c r="A204" s="36" t="s">
        <v>253</v>
      </c>
      <c r="B204" s="400" t="s">
        <v>2536</v>
      </c>
      <c r="C204" s="203" t="s">
        <v>11</v>
      </c>
      <c r="D204" s="9" t="s">
        <v>2537</v>
      </c>
      <c r="E204" s="173">
        <v>11870000</v>
      </c>
      <c r="F204" s="173">
        <v>6080000</v>
      </c>
      <c r="G204" s="484">
        <f t="shared" si="3"/>
        <v>51.221566975568656</v>
      </c>
    </row>
    <row r="205" spans="1:7" ht="153" hidden="1">
      <c r="A205" s="36" t="s">
        <v>253</v>
      </c>
      <c r="B205" s="400" t="s">
        <v>2521</v>
      </c>
      <c r="C205" s="203">
        <v>151</v>
      </c>
      <c r="D205" s="9" t="s">
        <v>1976</v>
      </c>
      <c r="E205" s="173">
        <v>3312132</v>
      </c>
      <c r="F205" s="173">
        <v>3312132</v>
      </c>
      <c r="G205" s="484">
        <f t="shared" si="3"/>
        <v>100</v>
      </c>
    </row>
    <row r="206" spans="1:7" ht="89.25" hidden="1">
      <c r="A206" s="36" t="s">
        <v>253</v>
      </c>
      <c r="B206" s="400" t="s">
        <v>2522</v>
      </c>
      <c r="C206" s="203">
        <v>151</v>
      </c>
      <c r="D206" s="9" t="s">
        <v>1931</v>
      </c>
      <c r="E206" s="173">
        <v>3171900</v>
      </c>
      <c r="F206" s="173">
        <v>3171900</v>
      </c>
      <c r="G206" s="484">
        <f t="shared" si="3"/>
        <v>100</v>
      </c>
    </row>
    <row r="207" spans="1:7" ht="51" hidden="1">
      <c r="A207" s="36" t="s">
        <v>253</v>
      </c>
      <c r="B207" s="400" t="s">
        <v>2525</v>
      </c>
      <c r="C207" s="203">
        <v>151</v>
      </c>
      <c r="D207" s="412" t="s">
        <v>1566</v>
      </c>
      <c r="E207" s="173">
        <v>11.45</v>
      </c>
      <c r="F207" s="173">
        <v>11.45</v>
      </c>
      <c r="G207" s="484">
        <f t="shared" si="3"/>
        <v>100</v>
      </c>
    </row>
    <row r="208" spans="1:7" ht="51" hidden="1">
      <c r="A208" s="36" t="s">
        <v>253</v>
      </c>
      <c r="B208" s="400" t="s">
        <v>2526</v>
      </c>
      <c r="C208" s="203">
        <v>151</v>
      </c>
      <c r="D208" s="412" t="s">
        <v>1566</v>
      </c>
      <c r="E208" s="173">
        <v>10000</v>
      </c>
      <c r="F208" s="173">
        <v>10000</v>
      </c>
      <c r="G208" s="484">
        <f t="shared" si="3"/>
        <v>100</v>
      </c>
    </row>
    <row r="209" spans="1:7" ht="51" hidden="1">
      <c r="A209" s="36" t="s">
        <v>253</v>
      </c>
      <c r="B209" s="400" t="s">
        <v>2535</v>
      </c>
      <c r="C209" s="8">
        <v>151</v>
      </c>
      <c r="D209" s="9" t="s">
        <v>1582</v>
      </c>
      <c r="E209" s="420">
        <v>-17730054.420000002</v>
      </c>
      <c r="F209" s="420">
        <v>-17730054.420000002</v>
      </c>
      <c r="G209" s="484">
        <f t="shared" si="3"/>
        <v>100</v>
      </c>
    </row>
    <row r="210" spans="1:7" ht="33.75" hidden="1" customHeight="1">
      <c r="A210" s="36"/>
      <c r="B210" s="36"/>
      <c r="C210" s="36"/>
      <c r="D210" s="381"/>
      <c r="E210" s="380">
        <f>E5+E7+E9+E15+E17+E20+E24+E29+E38+E40+E42+E81+E87+E90+E93+E95+E106+E111+E114+E136+E143+E146+E36</f>
        <v>2116114650.5300002</v>
      </c>
      <c r="F210" s="380">
        <f>F5+F7+F9+F15+F17+F20+F24+F29+F38+F40+F42+F81+F87+F90+F93+F95+F106+F111+F114+F136+F143+F146+F36</f>
        <v>2065497528.6999998</v>
      </c>
      <c r="G210" s="483">
        <f t="shared" si="3"/>
        <v>97.608016096040785</v>
      </c>
    </row>
  </sheetData>
  <autoFilter ref="B5:D210">
    <filterColumn colId="0">
      <filters>
        <filter val="2 18 05 03 0 05 9 933"/>
        <filter val="2 18 05 03 0 05 9 934"/>
        <filter val="2 18 05 03 0 05 9 943"/>
        <filter val="2 18 05 03 0 05 9 944"/>
        <filter val="2 18 05 03 0 05 9 964"/>
      </filters>
    </filterColumn>
  </autoFilter>
  <mergeCells count="24">
    <mergeCell ref="B146:D146"/>
    <mergeCell ref="B95:D95"/>
    <mergeCell ref="B106:D106"/>
    <mergeCell ref="B111:D111"/>
    <mergeCell ref="B114:D114"/>
    <mergeCell ref="B136:D136"/>
    <mergeCell ref="B143:D143"/>
    <mergeCell ref="B93:D93"/>
    <mergeCell ref="B17:D17"/>
    <mergeCell ref="B20:D20"/>
    <mergeCell ref="B24:D24"/>
    <mergeCell ref="B29:D29"/>
    <mergeCell ref="B38:D38"/>
    <mergeCell ref="B40:D40"/>
    <mergeCell ref="B42:D42"/>
    <mergeCell ref="B81:D81"/>
    <mergeCell ref="B87:D87"/>
    <mergeCell ref="B90:D90"/>
    <mergeCell ref="B36:D36"/>
    <mergeCell ref="B15:D15"/>
    <mergeCell ref="B9:D9"/>
    <mergeCell ref="B7:D7"/>
    <mergeCell ref="A1:G1"/>
    <mergeCell ref="A2:G2"/>
  </mergeCells>
  <pageMargins left="0.70866141732283472" right="0.70866141732283472" top="0.8" bottom="0.25" header="0.31496062992125984" footer="0.31496062992125984"/>
  <pageSetup paperSize="9" scale="95" orientation="landscape" r:id="rId1"/>
</worksheet>
</file>

<file path=xl/worksheets/sheet9.xml><?xml version="1.0" encoding="utf-8"?>
<worksheet xmlns="http://schemas.openxmlformats.org/spreadsheetml/2006/main" xmlns:r="http://schemas.openxmlformats.org/officeDocument/2006/relationships">
  <sheetPr>
    <tabColor rgb="FF92D050"/>
  </sheetPr>
  <dimension ref="A1:H301"/>
  <sheetViews>
    <sheetView topLeftCell="A270" workbookViewId="0">
      <selection activeCell="E272" sqref="E272"/>
    </sheetView>
  </sheetViews>
  <sheetFormatPr defaultRowHeight="12.75"/>
  <cols>
    <col min="1" max="1" width="20" style="124" customWidth="1"/>
    <col min="2" max="2" width="5.85546875" style="124" customWidth="1"/>
    <col min="3" max="3" width="46.85546875" style="124" customWidth="1"/>
    <col min="4" max="4" width="17.5703125" style="124" customWidth="1"/>
    <col min="5" max="5" width="17" style="124" customWidth="1"/>
    <col min="6" max="6" width="11.140625" style="124" customWidth="1"/>
    <col min="7" max="7" width="19.85546875" style="124" customWidth="1"/>
    <col min="8" max="8" width="18.42578125" style="124" customWidth="1"/>
    <col min="9" max="256" width="9.140625" style="124"/>
    <col min="257" max="257" width="20" style="124" customWidth="1"/>
    <col min="258" max="258" width="5.85546875" style="124" customWidth="1"/>
    <col min="259" max="259" width="46.85546875" style="124" customWidth="1"/>
    <col min="260" max="260" width="17.5703125" style="124" customWidth="1"/>
    <col min="261" max="261" width="17" style="124" customWidth="1"/>
    <col min="262" max="262" width="11.140625" style="124" customWidth="1"/>
    <col min="263" max="263" width="19.85546875" style="124" customWidth="1"/>
    <col min="264" max="264" width="18.42578125" style="124" customWidth="1"/>
    <col min="265" max="512" width="9.140625" style="124"/>
    <col min="513" max="513" width="20" style="124" customWidth="1"/>
    <col min="514" max="514" width="5.85546875" style="124" customWidth="1"/>
    <col min="515" max="515" width="46.85546875" style="124" customWidth="1"/>
    <col min="516" max="516" width="17.5703125" style="124" customWidth="1"/>
    <col min="517" max="517" width="17" style="124" customWidth="1"/>
    <col min="518" max="518" width="11.140625" style="124" customWidth="1"/>
    <col min="519" max="519" width="19.85546875" style="124" customWidth="1"/>
    <col min="520" max="520" width="18.42578125" style="124" customWidth="1"/>
    <col min="521" max="768" width="9.140625" style="124"/>
    <col min="769" max="769" width="20" style="124" customWidth="1"/>
    <col min="770" max="770" width="5.85546875" style="124" customWidth="1"/>
    <col min="771" max="771" width="46.85546875" style="124" customWidth="1"/>
    <col min="772" max="772" width="17.5703125" style="124" customWidth="1"/>
    <col min="773" max="773" width="17" style="124" customWidth="1"/>
    <col min="774" max="774" width="11.140625" style="124" customWidth="1"/>
    <col min="775" max="775" width="19.85546875" style="124" customWidth="1"/>
    <col min="776" max="776" width="18.42578125" style="124" customWidth="1"/>
    <col min="777" max="1024" width="9.140625" style="124"/>
    <col min="1025" max="1025" width="20" style="124" customWidth="1"/>
    <col min="1026" max="1026" width="5.85546875" style="124" customWidth="1"/>
    <col min="1027" max="1027" width="46.85546875" style="124" customWidth="1"/>
    <col min="1028" max="1028" width="17.5703125" style="124" customWidth="1"/>
    <col min="1029" max="1029" width="17" style="124" customWidth="1"/>
    <col min="1030" max="1030" width="11.140625" style="124" customWidth="1"/>
    <col min="1031" max="1031" width="19.85546875" style="124" customWidth="1"/>
    <col min="1032" max="1032" width="18.42578125" style="124" customWidth="1"/>
    <col min="1033" max="1280" width="9.140625" style="124"/>
    <col min="1281" max="1281" width="20" style="124" customWidth="1"/>
    <col min="1282" max="1282" width="5.85546875" style="124" customWidth="1"/>
    <col min="1283" max="1283" width="46.85546875" style="124" customWidth="1"/>
    <col min="1284" max="1284" width="17.5703125" style="124" customWidth="1"/>
    <col min="1285" max="1285" width="17" style="124" customWidth="1"/>
    <col min="1286" max="1286" width="11.140625" style="124" customWidth="1"/>
    <col min="1287" max="1287" width="19.85546875" style="124" customWidth="1"/>
    <col min="1288" max="1288" width="18.42578125" style="124" customWidth="1"/>
    <col min="1289" max="1536" width="9.140625" style="124"/>
    <col min="1537" max="1537" width="20" style="124" customWidth="1"/>
    <col min="1538" max="1538" width="5.85546875" style="124" customWidth="1"/>
    <col min="1539" max="1539" width="46.85546875" style="124" customWidth="1"/>
    <col min="1540" max="1540" width="17.5703125" style="124" customWidth="1"/>
    <col min="1541" max="1541" width="17" style="124" customWidth="1"/>
    <col min="1542" max="1542" width="11.140625" style="124" customWidth="1"/>
    <col min="1543" max="1543" width="19.85546875" style="124" customWidth="1"/>
    <col min="1544" max="1544" width="18.42578125" style="124" customWidth="1"/>
    <col min="1545" max="1792" width="9.140625" style="124"/>
    <col min="1793" max="1793" width="20" style="124" customWidth="1"/>
    <col min="1794" max="1794" width="5.85546875" style="124" customWidth="1"/>
    <col min="1795" max="1795" width="46.85546875" style="124" customWidth="1"/>
    <col min="1796" max="1796" width="17.5703125" style="124" customWidth="1"/>
    <col min="1797" max="1797" width="17" style="124" customWidth="1"/>
    <col min="1798" max="1798" width="11.140625" style="124" customWidth="1"/>
    <col min="1799" max="1799" width="19.85546875" style="124" customWidth="1"/>
    <col min="1800" max="1800" width="18.42578125" style="124" customWidth="1"/>
    <col min="1801" max="2048" width="9.140625" style="124"/>
    <col min="2049" max="2049" width="20" style="124" customWidth="1"/>
    <col min="2050" max="2050" width="5.85546875" style="124" customWidth="1"/>
    <col min="2051" max="2051" width="46.85546875" style="124" customWidth="1"/>
    <col min="2052" max="2052" width="17.5703125" style="124" customWidth="1"/>
    <col min="2053" max="2053" width="17" style="124" customWidth="1"/>
    <col min="2054" max="2054" width="11.140625" style="124" customWidth="1"/>
    <col min="2055" max="2055" width="19.85546875" style="124" customWidth="1"/>
    <col min="2056" max="2056" width="18.42578125" style="124" customWidth="1"/>
    <col min="2057" max="2304" width="9.140625" style="124"/>
    <col min="2305" max="2305" width="20" style="124" customWidth="1"/>
    <col min="2306" max="2306" width="5.85546875" style="124" customWidth="1"/>
    <col min="2307" max="2307" width="46.85546875" style="124" customWidth="1"/>
    <col min="2308" max="2308" width="17.5703125" style="124" customWidth="1"/>
    <col min="2309" max="2309" width="17" style="124" customWidth="1"/>
    <col min="2310" max="2310" width="11.140625" style="124" customWidth="1"/>
    <col min="2311" max="2311" width="19.85546875" style="124" customWidth="1"/>
    <col min="2312" max="2312" width="18.42578125" style="124" customWidth="1"/>
    <col min="2313" max="2560" width="9.140625" style="124"/>
    <col min="2561" max="2561" width="20" style="124" customWidth="1"/>
    <col min="2562" max="2562" width="5.85546875" style="124" customWidth="1"/>
    <col min="2563" max="2563" width="46.85546875" style="124" customWidth="1"/>
    <col min="2564" max="2564" width="17.5703125" style="124" customWidth="1"/>
    <col min="2565" max="2565" width="17" style="124" customWidth="1"/>
    <col min="2566" max="2566" width="11.140625" style="124" customWidth="1"/>
    <col min="2567" max="2567" width="19.85546875" style="124" customWidth="1"/>
    <col min="2568" max="2568" width="18.42578125" style="124" customWidth="1"/>
    <col min="2569" max="2816" width="9.140625" style="124"/>
    <col min="2817" max="2817" width="20" style="124" customWidth="1"/>
    <col min="2818" max="2818" width="5.85546875" style="124" customWidth="1"/>
    <col min="2819" max="2819" width="46.85546875" style="124" customWidth="1"/>
    <col min="2820" max="2820" width="17.5703125" style="124" customWidth="1"/>
    <col min="2821" max="2821" width="17" style="124" customWidth="1"/>
    <col min="2822" max="2822" width="11.140625" style="124" customWidth="1"/>
    <col min="2823" max="2823" width="19.85546875" style="124" customWidth="1"/>
    <col min="2824" max="2824" width="18.42578125" style="124" customWidth="1"/>
    <col min="2825" max="3072" width="9.140625" style="124"/>
    <col min="3073" max="3073" width="20" style="124" customWidth="1"/>
    <col min="3074" max="3074" width="5.85546875" style="124" customWidth="1"/>
    <col min="3075" max="3075" width="46.85546875" style="124" customWidth="1"/>
    <col min="3076" max="3076" width="17.5703125" style="124" customWidth="1"/>
    <col min="3077" max="3077" width="17" style="124" customWidth="1"/>
    <col min="3078" max="3078" width="11.140625" style="124" customWidth="1"/>
    <col min="3079" max="3079" width="19.85546875" style="124" customWidth="1"/>
    <col min="3080" max="3080" width="18.42578125" style="124" customWidth="1"/>
    <col min="3081" max="3328" width="9.140625" style="124"/>
    <col min="3329" max="3329" width="20" style="124" customWidth="1"/>
    <col min="3330" max="3330" width="5.85546875" style="124" customWidth="1"/>
    <col min="3331" max="3331" width="46.85546875" style="124" customWidth="1"/>
    <col min="3332" max="3332" width="17.5703125" style="124" customWidth="1"/>
    <col min="3333" max="3333" width="17" style="124" customWidth="1"/>
    <col min="3334" max="3334" width="11.140625" style="124" customWidth="1"/>
    <col min="3335" max="3335" width="19.85546875" style="124" customWidth="1"/>
    <col min="3336" max="3336" width="18.42578125" style="124" customWidth="1"/>
    <col min="3337" max="3584" width="9.140625" style="124"/>
    <col min="3585" max="3585" width="20" style="124" customWidth="1"/>
    <col min="3586" max="3586" width="5.85546875" style="124" customWidth="1"/>
    <col min="3587" max="3587" width="46.85546875" style="124" customWidth="1"/>
    <col min="3588" max="3588" width="17.5703125" style="124" customWidth="1"/>
    <col min="3589" max="3589" width="17" style="124" customWidth="1"/>
    <col min="3590" max="3590" width="11.140625" style="124" customWidth="1"/>
    <col min="3591" max="3591" width="19.85546875" style="124" customWidth="1"/>
    <col min="3592" max="3592" width="18.42578125" style="124" customWidth="1"/>
    <col min="3593" max="3840" width="9.140625" style="124"/>
    <col min="3841" max="3841" width="20" style="124" customWidth="1"/>
    <col min="3842" max="3842" width="5.85546875" style="124" customWidth="1"/>
    <col min="3843" max="3843" width="46.85546875" style="124" customWidth="1"/>
    <col min="3844" max="3844" width="17.5703125" style="124" customWidth="1"/>
    <col min="3845" max="3845" width="17" style="124" customWidth="1"/>
    <col min="3846" max="3846" width="11.140625" style="124" customWidth="1"/>
    <col min="3847" max="3847" width="19.85546875" style="124" customWidth="1"/>
    <col min="3848" max="3848" width="18.42578125" style="124" customWidth="1"/>
    <col min="3849" max="4096" width="9.140625" style="124"/>
    <col min="4097" max="4097" width="20" style="124" customWidth="1"/>
    <col min="4098" max="4098" width="5.85546875" style="124" customWidth="1"/>
    <col min="4099" max="4099" width="46.85546875" style="124" customWidth="1"/>
    <col min="4100" max="4100" width="17.5703125" style="124" customWidth="1"/>
    <col min="4101" max="4101" width="17" style="124" customWidth="1"/>
    <col min="4102" max="4102" width="11.140625" style="124" customWidth="1"/>
    <col min="4103" max="4103" width="19.85546875" style="124" customWidth="1"/>
    <col min="4104" max="4104" width="18.42578125" style="124" customWidth="1"/>
    <col min="4105" max="4352" width="9.140625" style="124"/>
    <col min="4353" max="4353" width="20" style="124" customWidth="1"/>
    <col min="4354" max="4354" width="5.85546875" style="124" customWidth="1"/>
    <col min="4355" max="4355" width="46.85546875" style="124" customWidth="1"/>
    <col min="4356" max="4356" width="17.5703125" style="124" customWidth="1"/>
    <col min="4357" max="4357" width="17" style="124" customWidth="1"/>
    <col min="4358" max="4358" width="11.140625" style="124" customWidth="1"/>
    <col min="4359" max="4359" width="19.85546875" style="124" customWidth="1"/>
    <col min="4360" max="4360" width="18.42578125" style="124" customWidth="1"/>
    <col min="4361" max="4608" width="9.140625" style="124"/>
    <col min="4609" max="4609" width="20" style="124" customWidth="1"/>
    <col min="4610" max="4610" width="5.85546875" style="124" customWidth="1"/>
    <col min="4611" max="4611" width="46.85546875" style="124" customWidth="1"/>
    <col min="4612" max="4612" width="17.5703125" style="124" customWidth="1"/>
    <col min="4613" max="4613" width="17" style="124" customWidth="1"/>
    <col min="4614" max="4614" width="11.140625" style="124" customWidth="1"/>
    <col min="4615" max="4615" width="19.85546875" style="124" customWidth="1"/>
    <col min="4616" max="4616" width="18.42578125" style="124" customWidth="1"/>
    <col min="4617" max="4864" width="9.140625" style="124"/>
    <col min="4865" max="4865" width="20" style="124" customWidth="1"/>
    <col min="4866" max="4866" width="5.85546875" style="124" customWidth="1"/>
    <col min="4867" max="4867" width="46.85546875" style="124" customWidth="1"/>
    <col min="4868" max="4868" width="17.5703125" style="124" customWidth="1"/>
    <col min="4869" max="4869" width="17" style="124" customWidth="1"/>
    <col min="4870" max="4870" width="11.140625" style="124" customWidth="1"/>
    <col min="4871" max="4871" width="19.85546875" style="124" customWidth="1"/>
    <col min="4872" max="4872" width="18.42578125" style="124" customWidth="1"/>
    <col min="4873" max="5120" width="9.140625" style="124"/>
    <col min="5121" max="5121" width="20" style="124" customWidth="1"/>
    <col min="5122" max="5122" width="5.85546875" style="124" customWidth="1"/>
    <col min="5123" max="5123" width="46.85546875" style="124" customWidth="1"/>
    <col min="5124" max="5124" width="17.5703125" style="124" customWidth="1"/>
    <col min="5125" max="5125" width="17" style="124" customWidth="1"/>
    <col min="5126" max="5126" width="11.140625" style="124" customWidth="1"/>
    <col min="5127" max="5127" width="19.85546875" style="124" customWidth="1"/>
    <col min="5128" max="5128" width="18.42578125" style="124" customWidth="1"/>
    <col min="5129" max="5376" width="9.140625" style="124"/>
    <col min="5377" max="5377" width="20" style="124" customWidth="1"/>
    <col min="5378" max="5378" width="5.85546875" style="124" customWidth="1"/>
    <col min="5379" max="5379" width="46.85546875" style="124" customWidth="1"/>
    <col min="5380" max="5380" width="17.5703125" style="124" customWidth="1"/>
    <col min="5381" max="5381" width="17" style="124" customWidth="1"/>
    <col min="5382" max="5382" width="11.140625" style="124" customWidth="1"/>
    <col min="5383" max="5383" width="19.85546875" style="124" customWidth="1"/>
    <col min="5384" max="5384" width="18.42578125" style="124" customWidth="1"/>
    <col min="5385" max="5632" width="9.140625" style="124"/>
    <col min="5633" max="5633" width="20" style="124" customWidth="1"/>
    <col min="5634" max="5634" width="5.85546875" style="124" customWidth="1"/>
    <col min="5635" max="5635" width="46.85546875" style="124" customWidth="1"/>
    <col min="5636" max="5636" width="17.5703125" style="124" customWidth="1"/>
    <col min="5637" max="5637" width="17" style="124" customWidth="1"/>
    <col min="5638" max="5638" width="11.140625" style="124" customWidth="1"/>
    <col min="5639" max="5639" width="19.85546875" style="124" customWidth="1"/>
    <col min="5640" max="5640" width="18.42578125" style="124" customWidth="1"/>
    <col min="5641" max="5888" width="9.140625" style="124"/>
    <col min="5889" max="5889" width="20" style="124" customWidth="1"/>
    <col min="5890" max="5890" width="5.85546875" style="124" customWidth="1"/>
    <col min="5891" max="5891" width="46.85546875" style="124" customWidth="1"/>
    <col min="5892" max="5892" width="17.5703125" style="124" customWidth="1"/>
    <col min="5893" max="5893" width="17" style="124" customWidth="1"/>
    <col min="5894" max="5894" width="11.140625" style="124" customWidth="1"/>
    <col min="5895" max="5895" width="19.85546875" style="124" customWidth="1"/>
    <col min="5896" max="5896" width="18.42578125" style="124" customWidth="1"/>
    <col min="5897" max="6144" width="9.140625" style="124"/>
    <col min="6145" max="6145" width="20" style="124" customWidth="1"/>
    <col min="6146" max="6146" width="5.85546875" style="124" customWidth="1"/>
    <col min="6147" max="6147" width="46.85546875" style="124" customWidth="1"/>
    <col min="6148" max="6148" width="17.5703125" style="124" customWidth="1"/>
    <col min="6149" max="6149" width="17" style="124" customWidth="1"/>
    <col min="6150" max="6150" width="11.140625" style="124" customWidth="1"/>
    <col min="6151" max="6151" width="19.85546875" style="124" customWidth="1"/>
    <col min="6152" max="6152" width="18.42578125" style="124" customWidth="1"/>
    <col min="6153" max="6400" width="9.140625" style="124"/>
    <col min="6401" max="6401" width="20" style="124" customWidth="1"/>
    <col min="6402" max="6402" width="5.85546875" style="124" customWidth="1"/>
    <col min="6403" max="6403" width="46.85546875" style="124" customWidth="1"/>
    <col min="6404" max="6404" width="17.5703125" style="124" customWidth="1"/>
    <col min="6405" max="6405" width="17" style="124" customWidth="1"/>
    <col min="6406" max="6406" width="11.140625" style="124" customWidth="1"/>
    <col min="6407" max="6407" width="19.85546875" style="124" customWidth="1"/>
    <col min="6408" max="6408" width="18.42578125" style="124" customWidth="1"/>
    <col min="6409" max="6656" width="9.140625" style="124"/>
    <col min="6657" max="6657" width="20" style="124" customWidth="1"/>
    <col min="6658" max="6658" width="5.85546875" style="124" customWidth="1"/>
    <col min="6659" max="6659" width="46.85546875" style="124" customWidth="1"/>
    <col min="6660" max="6660" width="17.5703125" style="124" customWidth="1"/>
    <col min="6661" max="6661" width="17" style="124" customWidth="1"/>
    <col min="6662" max="6662" width="11.140625" style="124" customWidth="1"/>
    <col min="6663" max="6663" width="19.85546875" style="124" customWidth="1"/>
    <col min="6664" max="6664" width="18.42578125" style="124" customWidth="1"/>
    <col min="6665" max="6912" width="9.140625" style="124"/>
    <col min="6913" max="6913" width="20" style="124" customWidth="1"/>
    <col min="6914" max="6914" width="5.85546875" style="124" customWidth="1"/>
    <col min="6915" max="6915" width="46.85546875" style="124" customWidth="1"/>
    <col min="6916" max="6916" width="17.5703125" style="124" customWidth="1"/>
    <col min="6917" max="6917" width="17" style="124" customWidth="1"/>
    <col min="6918" max="6918" width="11.140625" style="124" customWidth="1"/>
    <col min="6919" max="6919" width="19.85546875" style="124" customWidth="1"/>
    <col min="6920" max="6920" width="18.42578125" style="124" customWidth="1"/>
    <col min="6921" max="7168" width="9.140625" style="124"/>
    <col min="7169" max="7169" width="20" style="124" customWidth="1"/>
    <col min="7170" max="7170" width="5.85546875" style="124" customWidth="1"/>
    <col min="7171" max="7171" width="46.85546875" style="124" customWidth="1"/>
    <col min="7172" max="7172" width="17.5703125" style="124" customWidth="1"/>
    <col min="7173" max="7173" width="17" style="124" customWidth="1"/>
    <col min="7174" max="7174" width="11.140625" style="124" customWidth="1"/>
    <col min="7175" max="7175" width="19.85546875" style="124" customWidth="1"/>
    <col min="7176" max="7176" width="18.42578125" style="124" customWidth="1"/>
    <col min="7177" max="7424" width="9.140625" style="124"/>
    <col min="7425" max="7425" width="20" style="124" customWidth="1"/>
    <col min="7426" max="7426" width="5.85546875" style="124" customWidth="1"/>
    <col min="7427" max="7427" width="46.85546875" style="124" customWidth="1"/>
    <col min="7428" max="7428" width="17.5703125" style="124" customWidth="1"/>
    <col min="7429" max="7429" width="17" style="124" customWidth="1"/>
    <col min="7430" max="7430" width="11.140625" style="124" customWidth="1"/>
    <col min="7431" max="7431" width="19.85546875" style="124" customWidth="1"/>
    <col min="7432" max="7432" width="18.42578125" style="124" customWidth="1"/>
    <col min="7433" max="7680" width="9.140625" style="124"/>
    <col min="7681" max="7681" width="20" style="124" customWidth="1"/>
    <col min="7682" max="7682" width="5.85546875" style="124" customWidth="1"/>
    <col min="7683" max="7683" width="46.85546875" style="124" customWidth="1"/>
    <col min="7684" max="7684" width="17.5703125" style="124" customWidth="1"/>
    <col min="7685" max="7685" width="17" style="124" customWidth="1"/>
    <col min="7686" max="7686" width="11.140625" style="124" customWidth="1"/>
    <col min="7687" max="7687" width="19.85546875" style="124" customWidth="1"/>
    <col min="7688" max="7688" width="18.42578125" style="124" customWidth="1"/>
    <col min="7689" max="7936" width="9.140625" style="124"/>
    <col min="7937" max="7937" width="20" style="124" customWidth="1"/>
    <col min="7938" max="7938" width="5.85546875" style="124" customWidth="1"/>
    <col min="7939" max="7939" width="46.85546875" style="124" customWidth="1"/>
    <col min="7940" max="7940" width="17.5703125" style="124" customWidth="1"/>
    <col min="7941" max="7941" width="17" style="124" customWidth="1"/>
    <col min="7942" max="7942" width="11.140625" style="124" customWidth="1"/>
    <col min="7943" max="7943" width="19.85546875" style="124" customWidth="1"/>
    <col min="7944" max="7944" width="18.42578125" style="124" customWidth="1"/>
    <col min="7945" max="8192" width="9.140625" style="124"/>
    <col min="8193" max="8193" width="20" style="124" customWidth="1"/>
    <col min="8194" max="8194" width="5.85546875" style="124" customWidth="1"/>
    <col min="8195" max="8195" width="46.85546875" style="124" customWidth="1"/>
    <col min="8196" max="8196" width="17.5703125" style="124" customWidth="1"/>
    <col min="8197" max="8197" width="17" style="124" customWidth="1"/>
    <col min="8198" max="8198" width="11.140625" style="124" customWidth="1"/>
    <col min="8199" max="8199" width="19.85546875" style="124" customWidth="1"/>
    <col min="8200" max="8200" width="18.42578125" style="124" customWidth="1"/>
    <col min="8201" max="8448" width="9.140625" style="124"/>
    <col min="8449" max="8449" width="20" style="124" customWidth="1"/>
    <col min="8450" max="8450" width="5.85546875" style="124" customWidth="1"/>
    <col min="8451" max="8451" width="46.85546875" style="124" customWidth="1"/>
    <col min="8452" max="8452" width="17.5703125" style="124" customWidth="1"/>
    <col min="8453" max="8453" width="17" style="124" customWidth="1"/>
    <col min="8454" max="8454" width="11.140625" style="124" customWidth="1"/>
    <col min="8455" max="8455" width="19.85546875" style="124" customWidth="1"/>
    <col min="8456" max="8456" width="18.42578125" style="124" customWidth="1"/>
    <col min="8457" max="8704" width="9.140625" style="124"/>
    <col min="8705" max="8705" width="20" style="124" customWidth="1"/>
    <col min="8706" max="8706" width="5.85546875" style="124" customWidth="1"/>
    <col min="8707" max="8707" width="46.85546875" style="124" customWidth="1"/>
    <col min="8708" max="8708" width="17.5703125" style="124" customWidth="1"/>
    <col min="8709" max="8709" width="17" style="124" customWidth="1"/>
    <col min="8710" max="8710" width="11.140625" style="124" customWidth="1"/>
    <col min="8711" max="8711" width="19.85546875" style="124" customWidth="1"/>
    <col min="8712" max="8712" width="18.42578125" style="124" customWidth="1"/>
    <col min="8713" max="8960" width="9.140625" style="124"/>
    <col min="8961" max="8961" width="20" style="124" customWidth="1"/>
    <col min="8962" max="8962" width="5.85546875" style="124" customWidth="1"/>
    <col min="8963" max="8963" width="46.85546875" style="124" customWidth="1"/>
    <col min="8964" max="8964" width="17.5703125" style="124" customWidth="1"/>
    <col min="8965" max="8965" width="17" style="124" customWidth="1"/>
    <col min="8966" max="8966" width="11.140625" style="124" customWidth="1"/>
    <col min="8967" max="8967" width="19.85546875" style="124" customWidth="1"/>
    <col min="8968" max="8968" width="18.42578125" style="124" customWidth="1"/>
    <col min="8969" max="9216" width="9.140625" style="124"/>
    <col min="9217" max="9217" width="20" style="124" customWidth="1"/>
    <col min="9218" max="9218" width="5.85546875" style="124" customWidth="1"/>
    <col min="9219" max="9219" width="46.85546875" style="124" customWidth="1"/>
    <col min="9220" max="9220" width="17.5703125" style="124" customWidth="1"/>
    <col min="9221" max="9221" width="17" style="124" customWidth="1"/>
    <col min="9222" max="9222" width="11.140625" style="124" customWidth="1"/>
    <col min="9223" max="9223" width="19.85546875" style="124" customWidth="1"/>
    <col min="9224" max="9224" width="18.42578125" style="124" customWidth="1"/>
    <col min="9225" max="9472" width="9.140625" style="124"/>
    <col min="9473" max="9473" width="20" style="124" customWidth="1"/>
    <col min="9474" max="9474" width="5.85546875" style="124" customWidth="1"/>
    <col min="9475" max="9475" width="46.85546875" style="124" customWidth="1"/>
    <col min="9476" max="9476" width="17.5703125" style="124" customWidth="1"/>
    <col min="9477" max="9477" width="17" style="124" customWidth="1"/>
    <col min="9478" max="9478" width="11.140625" style="124" customWidth="1"/>
    <col min="9479" max="9479" width="19.85546875" style="124" customWidth="1"/>
    <col min="9480" max="9480" width="18.42578125" style="124" customWidth="1"/>
    <col min="9481" max="9728" width="9.140625" style="124"/>
    <col min="9729" max="9729" width="20" style="124" customWidth="1"/>
    <col min="9730" max="9730" width="5.85546875" style="124" customWidth="1"/>
    <col min="9731" max="9731" width="46.85546875" style="124" customWidth="1"/>
    <col min="9732" max="9732" width="17.5703125" style="124" customWidth="1"/>
    <col min="9733" max="9733" width="17" style="124" customWidth="1"/>
    <col min="9734" max="9734" width="11.140625" style="124" customWidth="1"/>
    <col min="9735" max="9735" width="19.85546875" style="124" customWidth="1"/>
    <col min="9736" max="9736" width="18.42578125" style="124" customWidth="1"/>
    <col min="9737" max="9984" width="9.140625" style="124"/>
    <col min="9985" max="9985" width="20" style="124" customWidth="1"/>
    <col min="9986" max="9986" width="5.85546875" style="124" customWidth="1"/>
    <col min="9987" max="9987" width="46.85546875" style="124" customWidth="1"/>
    <col min="9988" max="9988" width="17.5703125" style="124" customWidth="1"/>
    <col min="9989" max="9989" width="17" style="124" customWidth="1"/>
    <col min="9990" max="9990" width="11.140625" style="124" customWidth="1"/>
    <col min="9991" max="9991" width="19.85546875" style="124" customWidth="1"/>
    <col min="9992" max="9992" width="18.42578125" style="124" customWidth="1"/>
    <col min="9993" max="10240" width="9.140625" style="124"/>
    <col min="10241" max="10241" width="20" style="124" customWidth="1"/>
    <col min="10242" max="10242" width="5.85546875" style="124" customWidth="1"/>
    <col min="10243" max="10243" width="46.85546875" style="124" customWidth="1"/>
    <col min="10244" max="10244" width="17.5703125" style="124" customWidth="1"/>
    <col min="10245" max="10245" width="17" style="124" customWidth="1"/>
    <col min="10246" max="10246" width="11.140625" style="124" customWidth="1"/>
    <col min="10247" max="10247" width="19.85546875" style="124" customWidth="1"/>
    <col min="10248" max="10248" width="18.42578125" style="124" customWidth="1"/>
    <col min="10249" max="10496" width="9.140625" style="124"/>
    <col min="10497" max="10497" width="20" style="124" customWidth="1"/>
    <col min="10498" max="10498" width="5.85546875" style="124" customWidth="1"/>
    <col min="10499" max="10499" width="46.85546875" style="124" customWidth="1"/>
    <col min="10500" max="10500" width="17.5703125" style="124" customWidth="1"/>
    <col min="10501" max="10501" width="17" style="124" customWidth="1"/>
    <col min="10502" max="10502" width="11.140625" style="124" customWidth="1"/>
    <col min="10503" max="10503" width="19.85546875" style="124" customWidth="1"/>
    <col min="10504" max="10504" width="18.42578125" style="124" customWidth="1"/>
    <col min="10505" max="10752" width="9.140625" style="124"/>
    <col min="10753" max="10753" width="20" style="124" customWidth="1"/>
    <col min="10754" max="10754" width="5.85546875" style="124" customWidth="1"/>
    <col min="10755" max="10755" width="46.85546875" style="124" customWidth="1"/>
    <col min="10756" max="10756" width="17.5703125" style="124" customWidth="1"/>
    <col min="10757" max="10757" width="17" style="124" customWidth="1"/>
    <col min="10758" max="10758" width="11.140625" style="124" customWidth="1"/>
    <col min="10759" max="10759" width="19.85546875" style="124" customWidth="1"/>
    <col min="10760" max="10760" width="18.42578125" style="124" customWidth="1"/>
    <col min="10761" max="11008" width="9.140625" style="124"/>
    <col min="11009" max="11009" width="20" style="124" customWidth="1"/>
    <col min="11010" max="11010" width="5.85546875" style="124" customWidth="1"/>
    <col min="11011" max="11011" width="46.85546875" style="124" customWidth="1"/>
    <col min="11012" max="11012" width="17.5703125" style="124" customWidth="1"/>
    <col min="11013" max="11013" width="17" style="124" customWidth="1"/>
    <col min="11014" max="11014" width="11.140625" style="124" customWidth="1"/>
    <col min="11015" max="11015" width="19.85546875" style="124" customWidth="1"/>
    <col min="11016" max="11016" width="18.42578125" style="124" customWidth="1"/>
    <col min="11017" max="11264" width="9.140625" style="124"/>
    <col min="11265" max="11265" width="20" style="124" customWidth="1"/>
    <col min="11266" max="11266" width="5.85546875" style="124" customWidth="1"/>
    <col min="11267" max="11267" width="46.85546875" style="124" customWidth="1"/>
    <col min="11268" max="11268" width="17.5703125" style="124" customWidth="1"/>
    <col min="11269" max="11269" width="17" style="124" customWidth="1"/>
    <col min="11270" max="11270" width="11.140625" style="124" customWidth="1"/>
    <col min="11271" max="11271" width="19.85546875" style="124" customWidth="1"/>
    <col min="11272" max="11272" width="18.42578125" style="124" customWidth="1"/>
    <col min="11273" max="11520" width="9.140625" style="124"/>
    <col min="11521" max="11521" width="20" style="124" customWidth="1"/>
    <col min="11522" max="11522" width="5.85546875" style="124" customWidth="1"/>
    <col min="11523" max="11523" width="46.85546875" style="124" customWidth="1"/>
    <col min="11524" max="11524" width="17.5703125" style="124" customWidth="1"/>
    <col min="11525" max="11525" width="17" style="124" customWidth="1"/>
    <col min="11526" max="11526" width="11.140625" style="124" customWidth="1"/>
    <col min="11527" max="11527" width="19.85546875" style="124" customWidth="1"/>
    <col min="11528" max="11528" width="18.42578125" style="124" customWidth="1"/>
    <col min="11529" max="11776" width="9.140625" style="124"/>
    <col min="11777" max="11777" width="20" style="124" customWidth="1"/>
    <col min="11778" max="11778" width="5.85546875" style="124" customWidth="1"/>
    <col min="11779" max="11779" width="46.85546875" style="124" customWidth="1"/>
    <col min="11780" max="11780" width="17.5703125" style="124" customWidth="1"/>
    <col min="11781" max="11781" width="17" style="124" customWidth="1"/>
    <col min="11782" max="11782" width="11.140625" style="124" customWidth="1"/>
    <col min="11783" max="11783" width="19.85546875" style="124" customWidth="1"/>
    <col min="11784" max="11784" width="18.42578125" style="124" customWidth="1"/>
    <col min="11785" max="12032" width="9.140625" style="124"/>
    <col min="12033" max="12033" width="20" style="124" customWidth="1"/>
    <col min="12034" max="12034" width="5.85546875" style="124" customWidth="1"/>
    <col min="12035" max="12035" width="46.85546875" style="124" customWidth="1"/>
    <col min="12036" max="12036" width="17.5703125" style="124" customWidth="1"/>
    <col min="12037" max="12037" width="17" style="124" customWidth="1"/>
    <col min="12038" max="12038" width="11.140625" style="124" customWidth="1"/>
    <col min="12039" max="12039" width="19.85546875" style="124" customWidth="1"/>
    <col min="12040" max="12040" width="18.42578125" style="124" customWidth="1"/>
    <col min="12041" max="12288" width="9.140625" style="124"/>
    <col min="12289" max="12289" width="20" style="124" customWidth="1"/>
    <col min="12290" max="12290" width="5.85546875" style="124" customWidth="1"/>
    <col min="12291" max="12291" width="46.85546875" style="124" customWidth="1"/>
    <col min="12292" max="12292" width="17.5703125" style="124" customWidth="1"/>
    <col min="12293" max="12293" width="17" style="124" customWidth="1"/>
    <col min="12294" max="12294" width="11.140625" style="124" customWidth="1"/>
    <col min="12295" max="12295" width="19.85546875" style="124" customWidth="1"/>
    <col min="12296" max="12296" width="18.42578125" style="124" customWidth="1"/>
    <col min="12297" max="12544" width="9.140625" style="124"/>
    <col min="12545" max="12545" width="20" style="124" customWidth="1"/>
    <col min="12546" max="12546" width="5.85546875" style="124" customWidth="1"/>
    <col min="12547" max="12547" width="46.85546875" style="124" customWidth="1"/>
    <col min="12548" max="12548" width="17.5703125" style="124" customWidth="1"/>
    <col min="12549" max="12549" width="17" style="124" customWidth="1"/>
    <col min="12550" max="12550" width="11.140625" style="124" customWidth="1"/>
    <col min="12551" max="12551" width="19.85546875" style="124" customWidth="1"/>
    <col min="12552" max="12552" width="18.42578125" style="124" customWidth="1"/>
    <col min="12553" max="12800" width="9.140625" style="124"/>
    <col min="12801" max="12801" width="20" style="124" customWidth="1"/>
    <col min="12802" max="12802" width="5.85546875" style="124" customWidth="1"/>
    <col min="12803" max="12803" width="46.85546875" style="124" customWidth="1"/>
    <col min="12804" max="12804" width="17.5703125" style="124" customWidth="1"/>
    <col min="12805" max="12805" width="17" style="124" customWidth="1"/>
    <col min="12806" max="12806" width="11.140625" style="124" customWidth="1"/>
    <col min="12807" max="12807" width="19.85546875" style="124" customWidth="1"/>
    <col min="12808" max="12808" width="18.42578125" style="124" customWidth="1"/>
    <col min="12809" max="13056" width="9.140625" style="124"/>
    <col min="13057" max="13057" width="20" style="124" customWidth="1"/>
    <col min="13058" max="13058" width="5.85546875" style="124" customWidth="1"/>
    <col min="13059" max="13059" width="46.85546875" style="124" customWidth="1"/>
    <col min="13060" max="13060" width="17.5703125" style="124" customWidth="1"/>
    <col min="13061" max="13061" width="17" style="124" customWidth="1"/>
    <col min="13062" max="13062" width="11.140625" style="124" customWidth="1"/>
    <col min="13063" max="13063" width="19.85546875" style="124" customWidth="1"/>
    <col min="13064" max="13064" width="18.42578125" style="124" customWidth="1"/>
    <col min="13065" max="13312" width="9.140625" style="124"/>
    <col min="13313" max="13313" width="20" style="124" customWidth="1"/>
    <col min="13314" max="13314" width="5.85546875" style="124" customWidth="1"/>
    <col min="13315" max="13315" width="46.85546875" style="124" customWidth="1"/>
    <col min="13316" max="13316" width="17.5703125" style="124" customWidth="1"/>
    <col min="13317" max="13317" width="17" style="124" customWidth="1"/>
    <col min="13318" max="13318" width="11.140625" style="124" customWidth="1"/>
    <col min="13319" max="13319" width="19.85546875" style="124" customWidth="1"/>
    <col min="13320" max="13320" width="18.42578125" style="124" customWidth="1"/>
    <col min="13321" max="13568" width="9.140625" style="124"/>
    <col min="13569" max="13569" width="20" style="124" customWidth="1"/>
    <col min="13570" max="13570" width="5.85546875" style="124" customWidth="1"/>
    <col min="13571" max="13571" width="46.85546875" style="124" customWidth="1"/>
    <col min="13572" max="13572" width="17.5703125" style="124" customWidth="1"/>
    <col min="13573" max="13573" width="17" style="124" customWidth="1"/>
    <col min="13574" max="13574" width="11.140625" style="124" customWidth="1"/>
    <col min="13575" max="13575" width="19.85546875" style="124" customWidth="1"/>
    <col min="13576" max="13576" width="18.42578125" style="124" customWidth="1"/>
    <col min="13577" max="13824" width="9.140625" style="124"/>
    <col min="13825" max="13825" width="20" style="124" customWidth="1"/>
    <col min="13826" max="13826" width="5.85546875" style="124" customWidth="1"/>
    <col min="13827" max="13827" width="46.85546875" style="124" customWidth="1"/>
    <col min="13828" max="13828" width="17.5703125" style="124" customWidth="1"/>
    <col min="13829" max="13829" width="17" style="124" customWidth="1"/>
    <col min="13830" max="13830" width="11.140625" style="124" customWidth="1"/>
    <col min="13831" max="13831" width="19.85546875" style="124" customWidth="1"/>
    <col min="13832" max="13832" width="18.42578125" style="124" customWidth="1"/>
    <col min="13833" max="14080" width="9.140625" style="124"/>
    <col min="14081" max="14081" width="20" style="124" customWidth="1"/>
    <col min="14082" max="14082" width="5.85546875" style="124" customWidth="1"/>
    <col min="14083" max="14083" width="46.85546875" style="124" customWidth="1"/>
    <col min="14084" max="14084" width="17.5703125" style="124" customWidth="1"/>
    <col min="14085" max="14085" width="17" style="124" customWidth="1"/>
    <col min="14086" max="14086" width="11.140625" style="124" customWidth="1"/>
    <col min="14087" max="14087" width="19.85546875" style="124" customWidth="1"/>
    <col min="14088" max="14088" width="18.42578125" style="124" customWidth="1"/>
    <col min="14089" max="14336" width="9.140625" style="124"/>
    <col min="14337" max="14337" width="20" style="124" customWidth="1"/>
    <col min="14338" max="14338" width="5.85546875" style="124" customWidth="1"/>
    <col min="14339" max="14339" width="46.85546875" style="124" customWidth="1"/>
    <col min="14340" max="14340" width="17.5703125" style="124" customWidth="1"/>
    <col min="14341" max="14341" width="17" style="124" customWidth="1"/>
    <col min="14342" max="14342" width="11.140625" style="124" customWidth="1"/>
    <col min="14343" max="14343" width="19.85546875" style="124" customWidth="1"/>
    <col min="14344" max="14344" width="18.42578125" style="124" customWidth="1"/>
    <col min="14345" max="14592" width="9.140625" style="124"/>
    <col min="14593" max="14593" width="20" style="124" customWidth="1"/>
    <col min="14594" max="14594" width="5.85546875" style="124" customWidth="1"/>
    <col min="14595" max="14595" width="46.85546875" style="124" customWidth="1"/>
    <col min="14596" max="14596" width="17.5703125" style="124" customWidth="1"/>
    <col min="14597" max="14597" width="17" style="124" customWidth="1"/>
    <col min="14598" max="14598" width="11.140625" style="124" customWidth="1"/>
    <col min="14599" max="14599" width="19.85546875" style="124" customWidth="1"/>
    <col min="14600" max="14600" width="18.42578125" style="124" customWidth="1"/>
    <col min="14601" max="14848" width="9.140625" style="124"/>
    <col min="14849" max="14849" width="20" style="124" customWidth="1"/>
    <col min="14850" max="14850" width="5.85546875" style="124" customWidth="1"/>
    <col min="14851" max="14851" width="46.85546875" style="124" customWidth="1"/>
    <col min="14852" max="14852" width="17.5703125" style="124" customWidth="1"/>
    <col min="14853" max="14853" width="17" style="124" customWidth="1"/>
    <col min="14854" max="14854" width="11.140625" style="124" customWidth="1"/>
    <col min="14855" max="14855" width="19.85546875" style="124" customWidth="1"/>
    <col min="14856" max="14856" width="18.42578125" style="124" customWidth="1"/>
    <col min="14857" max="15104" width="9.140625" style="124"/>
    <col min="15105" max="15105" width="20" style="124" customWidth="1"/>
    <col min="15106" max="15106" width="5.85546875" style="124" customWidth="1"/>
    <col min="15107" max="15107" width="46.85546875" style="124" customWidth="1"/>
    <col min="15108" max="15108" width="17.5703125" style="124" customWidth="1"/>
    <col min="15109" max="15109" width="17" style="124" customWidth="1"/>
    <col min="15110" max="15110" width="11.140625" style="124" customWidth="1"/>
    <col min="15111" max="15111" width="19.85546875" style="124" customWidth="1"/>
    <col min="15112" max="15112" width="18.42578125" style="124" customWidth="1"/>
    <col min="15113" max="15360" width="9.140625" style="124"/>
    <col min="15361" max="15361" width="20" style="124" customWidth="1"/>
    <col min="15362" max="15362" width="5.85546875" style="124" customWidth="1"/>
    <col min="15363" max="15363" width="46.85546875" style="124" customWidth="1"/>
    <col min="15364" max="15364" width="17.5703125" style="124" customWidth="1"/>
    <col min="15365" max="15365" width="17" style="124" customWidth="1"/>
    <col min="15366" max="15366" width="11.140625" style="124" customWidth="1"/>
    <col min="15367" max="15367" width="19.85546875" style="124" customWidth="1"/>
    <col min="15368" max="15368" width="18.42578125" style="124" customWidth="1"/>
    <col min="15369" max="15616" width="9.140625" style="124"/>
    <col min="15617" max="15617" width="20" style="124" customWidth="1"/>
    <col min="15618" max="15618" width="5.85546875" style="124" customWidth="1"/>
    <col min="15619" max="15619" width="46.85546875" style="124" customWidth="1"/>
    <col min="15620" max="15620" width="17.5703125" style="124" customWidth="1"/>
    <col min="15621" max="15621" width="17" style="124" customWidth="1"/>
    <col min="15622" max="15622" width="11.140625" style="124" customWidth="1"/>
    <col min="15623" max="15623" width="19.85546875" style="124" customWidth="1"/>
    <col min="15624" max="15624" width="18.42578125" style="124" customWidth="1"/>
    <col min="15625" max="15872" width="9.140625" style="124"/>
    <col min="15873" max="15873" width="20" style="124" customWidth="1"/>
    <col min="15874" max="15874" width="5.85546875" style="124" customWidth="1"/>
    <col min="15875" max="15875" width="46.85546875" style="124" customWidth="1"/>
    <col min="15876" max="15876" width="17.5703125" style="124" customWidth="1"/>
    <col min="15877" max="15877" width="17" style="124" customWidth="1"/>
    <col min="15878" max="15878" width="11.140625" style="124" customWidth="1"/>
    <col min="15879" max="15879" width="19.85546875" style="124" customWidth="1"/>
    <col min="15880" max="15880" width="18.42578125" style="124" customWidth="1"/>
    <col min="15881" max="16128" width="9.140625" style="124"/>
    <col min="16129" max="16129" width="20" style="124" customWidth="1"/>
    <col min="16130" max="16130" width="5.85546875" style="124" customWidth="1"/>
    <col min="16131" max="16131" width="46.85546875" style="124" customWidth="1"/>
    <col min="16132" max="16132" width="17.5703125" style="124" customWidth="1"/>
    <col min="16133" max="16133" width="17" style="124" customWidth="1"/>
    <col min="16134" max="16134" width="11.140625" style="124" customWidth="1"/>
    <col min="16135" max="16135" width="19.85546875" style="124" customWidth="1"/>
    <col min="16136" max="16136" width="18.42578125" style="124" customWidth="1"/>
    <col min="16137" max="16384" width="9.140625" style="124"/>
  </cols>
  <sheetData>
    <row r="1" spans="1:8" ht="41.25" customHeight="1">
      <c r="C1" s="525"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 " 2018 года №</v>
      </c>
      <c r="D1" s="525"/>
      <c r="E1" s="525"/>
      <c r="F1" s="525"/>
    </row>
    <row r="2" spans="1:8" s="397" customFormat="1" ht="44.25" customHeight="1">
      <c r="A2" s="540" t="str">
        <f>"Доходы районного бюджета по кодам видов доходов, подвидов доходов, относящихся к доходам бюджета, за  "&amp;год&amp;" год"</f>
        <v>Доходы районного бюджета по кодам видов доходов, подвидов доходов, относящихся к доходам бюджета, за  2017 год</v>
      </c>
      <c r="B2" s="540"/>
      <c r="C2" s="540"/>
      <c r="D2" s="540"/>
      <c r="E2" s="540"/>
      <c r="F2" s="540"/>
    </row>
    <row r="3" spans="1:8">
      <c r="E3" s="125"/>
      <c r="F3" s="125" t="s">
        <v>94</v>
      </c>
    </row>
    <row r="4" spans="1:8">
      <c r="A4" s="541" t="s">
        <v>2192</v>
      </c>
      <c r="B4" s="541"/>
      <c r="C4" s="544" t="s">
        <v>2193</v>
      </c>
      <c r="D4" s="545" t="s">
        <v>2456</v>
      </c>
      <c r="E4" s="545" t="s">
        <v>2457</v>
      </c>
      <c r="F4" s="545" t="s">
        <v>2194</v>
      </c>
    </row>
    <row r="5" spans="1:8">
      <c r="A5" s="542"/>
      <c r="B5" s="542"/>
      <c r="C5" s="544"/>
      <c r="D5" s="545"/>
      <c r="E5" s="545"/>
      <c r="F5" s="545"/>
    </row>
    <row r="6" spans="1:8">
      <c r="A6" s="543"/>
      <c r="B6" s="543"/>
      <c r="C6" s="544"/>
      <c r="D6" s="545"/>
      <c r="E6" s="545"/>
      <c r="F6" s="545"/>
      <c r="G6" s="398"/>
      <c r="H6" s="127"/>
    </row>
    <row r="7" spans="1:8">
      <c r="C7" s="373">
        <v>1</v>
      </c>
      <c r="D7" s="399" t="s">
        <v>237</v>
      </c>
      <c r="E7" s="399" t="s">
        <v>35</v>
      </c>
      <c r="F7" s="399" t="s">
        <v>244</v>
      </c>
      <c r="G7" s="128"/>
    </row>
    <row r="8" spans="1:8">
      <c r="A8" s="400" t="s">
        <v>2195</v>
      </c>
      <c r="B8" s="205" t="s">
        <v>197</v>
      </c>
      <c r="C8" s="372" t="s">
        <v>33</v>
      </c>
      <c r="D8" s="172">
        <f>D9+D203</f>
        <v>2116114650.5300002</v>
      </c>
      <c r="E8" s="172">
        <f>E9+E203</f>
        <v>2065497528.6999998</v>
      </c>
      <c r="F8" s="172">
        <f>E8/D8*100</f>
        <v>97.608016096040785</v>
      </c>
      <c r="G8" s="401"/>
    </row>
    <row r="9" spans="1:8">
      <c r="A9" s="400" t="s">
        <v>2196</v>
      </c>
      <c r="B9" s="305" t="s">
        <v>197</v>
      </c>
      <c r="C9" s="186" t="s">
        <v>41</v>
      </c>
      <c r="D9" s="174">
        <f>D10+D35+D40+D62+D76+D82+D113+D123+D130+D146+D189</f>
        <v>395535096.94999993</v>
      </c>
      <c r="E9" s="174">
        <f>E10+E35+E40+E62+E76+E82+E113+E123+E130+E146+E189</f>
        <v>362348968.14999998</v>
      </c>
      <c r="F9" s="172">
        <f t="shared" ref="F9:F80" si="0">E9/D9*100</f>
        <v>91.609814386662364</v>
      </c>
    </row>
    <row r="10" spans="1:8">
      <c r="A10" s="400" t="s">
        <v>2197</v>
      </c>
      <c r="B10" s="305" t="s">
        <v>197</v>
      </c>
      <c r="C10" s="186" t="s">
        <v>42</v>
      </c>
      <c r="D10" s="174">
        <f>D11+D18</f>
        <v>227422479.44999999</v>
      </c>
      <c r="E10" s="174">
        <f>E11+E18</f>
        <v>228722033.54000002</v>
      </c>
      <c r="F10" s="172">
        <f t="shared" si="0"/>
        <v>100.57142728069049</v>
      </c>
    </row>
    <row r="11" spans="1:8">
      <c r="A11" s="400" t="s">
        <v>2198</v>
      </c>
      <c r="B11" s="305" t="s">
        <v>165</v>
      </c>
      <c r="C11" s="186" t="s">
        <v>2199</v>
      </c>
      <c r="D11" s="174">
        <f>D12</f>
        <v>25500000</v>
      </c>
      <c r="E11" s="174">
        <f>E12</f>
        <v>27004861.949999999</v>
      </c>
      <c r="F11" s="172">
        <f t="shared" si="0"/>
        <v>105.90141941176469</v>
      </c>
    </row>
    <row r="12" spans="1:8" ht="38.25">
      <c r="A12" s="400" t="s">
        <v>2200</v>
      </c>
      <c r="B12" s="305" t="s">
        <v>165</v>
      </c>
      <c r="C12" s="186" t="s">
        <v>268</v>
      </c>
      <c r="D12" s="174">
        <f>D13</f>
        <v>25500000</v>
      </c>
      <c r="E12" s="172">
        <f>E13</f>
        <v>27004861.949999999</v>
      </c>
      <c r="F12" s="172">
        <f t="shared" si="0"/>
        <v>105.90141941176469</v>
      </c>
    </row>
    <row r="13" spans="1:8" ht="25.5">
      <c r="A13" s="402" t="s">
        <v>2201</v>
      </c>
      <c r="B13" s="305" t="s">
        <v>165</v>
      </c>
      <c r="C13" s="186" t="s">
        <v>2202</v>
      </c>
      <c r="D13" s="174">
        <f>D14+D15+D16+D17</f>
        <v>25500000</v>
      </c>
      <c r="E13" s="172">
        <f>E14+E15+E16+E17</f>
        <v>27004861.949999999</v>
      </c>
      <c r="F13" s="172">
        <f t="shared" si="0"/>
        <v>105.90141941176469</v>
      </c>
    </row>
    <row r="14" spans="1:8" ht="51">
      <c r="A14" s="400" t="s">
        <v>2203</v>
      </c>
      <c r="B14" s="201" t="s">
        <v>165</v>
      </c>
      <c r="C14" s="381" t="s">
        <v>2426</v>
      </c>
      <c r="D14" s="175">
        <v>25466999.260000002</v>
      </c>
      <c r="E14" s="173">
        <v>26971861.210000001</v>
      </c>
      <c r="F14" s="173">
        <f t="shared" si="0"/>
        <v>105.90906661062196</v>
      </c>
    </row>
    <row r="15" spans="1:8" ht="51">
      <c r="A15" s="400" t="s">
        <v>2204</v>
      </c>
      <c r="B15" s="201" t="s">
        <v>165</v>
      </c>
      <c r="C15" s="381" t="s">
        <v>2427</v>
      </c>
      <c r="D15" s="175">
        <v>23985.83</v>
      </c>
      <c r="E15" s="173">
        <v>23985.83</v>
      </c>
      <c r="F15" s="173">
        <f t="shared" si="0"/>
        <v>100</v>
      </c>
    </row>
    <row r="16" spans="1:8" ht="51">
      <c r="A16" s="400" t="s">
        <v>2205</v>
      </c>
      <c r="B16" s="201" t="s">
        <v>165</v>
      </c>
      <c r="C16" s="381" t="s">
        <v>2428</v>
      </c>
      <c r="D16" s="175">
        <v>572.82000000000005</v>
      </c>
      <c r="E16" s="173">
        <v>572.82000000000005</v>
      </c>
      <c r="F16" s="173">
        <f t="shared" si="0"/>
        <v>100</v>
      </c>
    </row>
    <row r="17" spans="1:6" ht="51">
      <c r="A17" s="400" t="s">
        <v>2425</v>
      </c>
      <c r="B17" s="201" t="s">
        <v>165</v>
      </c>
      <c r="C17" s="381" t="s">
        <v>2429</v>
      </c>
      <c r="D17" s="175">
        <v>8442.09</v>
      </c>
      <c r="E17" s="173">
        <v>8442.09</v>
      </c>
      <c r="F17" s="173">
        <f t="shared" si="0"/>
        <v>100</v>
      </c>
    </row>
    <row r="18" spans="1:6" s="129" customFormat="1">
      <c r="A18" s="402" t="s">
        <v>2206</v>
      </c>
      <c r="B18" s="305" t="s">
        <v>165</v>
      </c>
      <c r="C18" s="186" t="s">
        <v>2207</v>
      </c>
      <c r="D18" s="174">
        <f>D19+D24+D28+D33</f>
        <v>201922479.44999999</v>
      </c>
      <c r="E18" s="172">
        <f>E19+E24+E28+E33</f>
        <v>201717171.59000003</v>
      </c>
      <c r="F18" s="172">
        <f t="shared" si="0"/>
        <v>99.898323425623943</v>
      </c>
    </row>
    <row r="19" spans="1:6" ht="76.5">
      <c r="A19" s="402" t="s">
        <v>2208</v>
      </c>
      <c r="B19" s="305" t="s">
        <v>165</v>
      </c>
      <c r="C19" s="403" t="s">
        <v>2209</v>
      </c>
      <c r="D19" s="174">
        <f>D20+D21+D22+D23</f>
        <v>197767279.44999999</v>
      </c>
      <c r="E19" s="172">
        <f>E20+E21+E22+E23</f>
        <v>197171210.14000002</v>
      </c>
      <c r="F19" s="172">
        <f t="shared" si="0"/>
        <v>99.698600642301557</v>
      </c>
    </row>
    <row r="20" spans="1:6" ht="76.5">
      <c r="A20" s="36" t="s">
        <v>2210</v>
      </c>
      <c r="B20" s="201" t="s">
        <v>165</v>
      </c>
      <c r="C20" s="148" t="s">
        <v>2211</v>
      </c>
      <c r="D20" s="175">
        <v>196132672.63999999</v>
      </c>
      <c r="E20" s="173">
        <v>195536603.33000001</v>
      </c>
      <c r="F20" s="173">
        <f t="shared" si="0"/>
        <v>99.696088723017581</v>
      </c>
    </row>
    <row r="21" spans="1:6" ht="76.5">
      <c r="A21" s="36" t="s">
        <v>2212</v>
      </c>
      <c r="B21" s="201" t="s">
        <v>165</v>
      </c>
      <c r="C21" s="148" t="s">
        <v>2213</v>
      </c>
      <c r="D21" s="175">
        <v>1266693.26</v>
      </c>
      <c r="E21" s="173">
        <v>1266693.26</v>
      </c>
      <c r="F21" s="173">
        <f t="shared" si="0"/>
        <v>100</v>
      </c>
    </row>
    <row r="22" spans="1:6" ht="76.5">
      <c r="A22" s="36" t="s">
        <v>2214</v>
      </c>
      <c r="B22" s="201" t="s">
        <v>165</v>
      </c>
      <c r="C22" s="148" t="s">
        <v>2215</v>
      </c>
      <c r="D22" s="175">
        <v>364845.22</v>
      </c>
      <c r="E22" s="173">
        <v>364845.22</v>
      </c>
      <c r="F22" s="173">
        <f t="shared" si="0"/>
        <v>100</v>
      </c>
    </row>
    <row r="23" spans="1:6" ht="89.25">
      <c r="A23" s="36" t="s">
        <v>2216</v>
      </c>
      <c r="B23" s="201" t="s">
        <v>165</v>
      </c>
      <c r="C23" s="389" t="s">
        <v>2084</v>
      </c>
      <c r="D23" s="175">
        <v>3068.33</v>
      </c>
      <c r="E23" s="173">
        <v>3068.33</v>
      </c>
      <c r="F23" s="173">
        <f t="shared" si="0"/>
        <v>100</v>
      </c>
    </row>
    <row r="24" spans="1:6" ht="114.75">
      <c r="A24" s="402" t="s">
        <v>2217</v>
      </c>
      <c r="B24" s="305" t="s">
        <v>165</v>
      </c>
      <c r="C24" s="304" t="s">
        <v>314</v>
      </c>
      <c r="D24" s="174">
        <f>D25+D26+D27</f>
        <v>174999.99999999997</v>
      </c>
      <c r="E24" s="172">
        <f>E25+E26+E27</f>
        <v>192405.8</v>
      </c>
      <c r="F24" s="172">
        <f t="shared" si="0"/>
        <v>109.94617142857143</v>
      </c>
    </row>
    <row r="25" spans="1:6" ht="102">
      <c r="A25" s="36" t="s">
        <v>2218</v>
      </c>
      <c r="B25" s="201" t="s">
        <v>165</v>
      </c>
      <c r="C25" s="390" t="s">
        <v>2219</v>
      </c>
      <c r="D25" s="175">
        <v>161088.76999999999</v>
      </c>
      <c r="E25" s="173">
        <v>178494.57</v>
      </c>
      <c r="F25" s="173">
        <f t="shared" si="0"/>
        <v>110.80509833180801</v>
      </c>
    </row>
    <row r="26" spans="1:6" ht="102">
      <c r="A26" s="36" t="s">
        <v>2220</v>
      </c>
      <c r="B26" s="201" t="s">
        <v>165</v>
      </c>
      <c r="C26" s="390" t="s">
        <v>2221</v>
      </c>
      <c r="D26" s="175">
        <v>10386.83</v>
      </c>
      <c r="E26" s="173">
        <v>10386.83</v>
      </c>
      <c r="F26" s="173">
        <f t="shared" si="0"/>
        <v>100</v>
      </c>
    </row>
    <row r="27" spans="1:6" ht="102">
      <c r="A27" s="36" t="s">
        <v>2222</v>
      </c>
      <c r="B27" s="201" t="s">
        <v>165</v>
      </c>
      <c r="C27" s="390" t="s">
        <v>2223</v>
      </c>
      <c r="D27" s="175">
        <v>3524.4</v>
      </c>
      <c r="E27" s="173">
        <v>3524.4</v>
      </c>
      <c r="F27" s="173">
        <f t="shared" si="0"/>
        <v>100</v>
      </c>
    </row>
    <row r="28" spans="1:6" ht="38.25">
      <c r="A28" s="402" t="s">
        <v>2224</v>
      </c>
      <c r="B28" s="305" t="s">
        <v>165</v>
      </c>
      <c r="C28" s="304" t="s">
        <v>315</v>
      </c>
      <c r="D28" s="174">
        <f>D29+D30+D31+D32</f>
        <v>280200.00000000006</v>
      </c>
      <c r="E28" s="172">
        <f>E29+E30+E31+E32</f>
        <v>281156.87000000005</v>
      </c>
      <c r="F28" s="172">
        <f t="shared" si="0"/>
        <v>100.34149536045682</v>
      </c>
    </row>
    <row r="29" spans="1:6" ht="51">
      <c r="A29" s="36" t="s">
        <v>2225</v>
      </c>
      <c r="B29" s="201" t="s">
        <v>165</v>
      </c>
      <c r="C29" s="381" t="s">
        <v>2226</v>
      </c>
      <c r="D29" s="175">
        <v>272964.84000000003</v>
      </c>
      <c r="E29" s="173">
        <v>274249.71000000002</v>
      </c>
      <c r="F29" s="173">
        <f t="shared" si="0"/>
        <v>100.47070897482622</v>
      </c>
    </row>
    <row r="30" spans="1:6" ht="51">
      <c r="A30" s="36" t="s">
        <v>2227</v>
      </c>
      <c r="B30" s="201" t="s">
        <v>165</v>
      </c>
      <c r="C30" s="381" t="s">
        <v>2228</v>
      </c>
      <c r="D30" s="175">
        <v>3465.08</v>
      </c>
      <c r="E30" s="173">
        <v>3465.08</v>
      </c>
      <c r="F30" s="173">
        <f t="shared" si="0"/>
        <v>100</v>
      </c>
    </row>
    <row r="31" spans="1:6" ht="51">
      <c r="A31" s="36" t="s">
        <v>2229</v>
      </c>
      <c r="B31" s="201" t="s">
        <v>165</v>
      </c>
      <c r="C31" s="381" t="s">
        <v>2230</v>
      </c>
      <c r="D31" s="175">
        <v>3770.08</v>
      </c>
      <c r="E31" s="173">
        <v>3770.08</v>
      </c>
      <c r="F31" s="173">
        <f t="shared" si="0"/>
        <v>100</v>
      </c>
    </row>
    <row r="32" spans="1:6" ht="51">
      <c r="A32" s="36" t="s">
        <v>2231</v>
      </c>
      <c r="B32" s="201" t="s">
        <v>165</v>
      </c>
      <c r="C32" s="381" t="s">
        <v>2232</v>
      </c>
      <c r="D32" s="175">
        <v>0</v>
      </c>
      <c r="E32" s="173">
        <v>-328</v>
      </c>
      <c r="F32" s="173" t="e">
        <f t="shared" si="0"/>
        <v>#DIV/0!</v>
      </c>
    </row>
    <row r="33" spans="1:6" ht="140.25">
      <c r="A33" s="375" t="s">
        <v>2233</v>
      </c>
      <c r="B33" s="305" t="s">
        <v>165</v>
      </c>
      <c r="C33" s="404" t="s">
        <v>2100</v>
      </c>
      <c r="D33" s="174">
        <f>D34</f>
        <v>3700000</v>
      </c>
      <c r="E33" s="172">
        <f>E34</f>
        <v>4072398.78</v>
      </c>
      <c r="F33" s="173">
        <f t="shared" si="0"/>
        <v>110.06483189189188</v>
      </c>
    </row>
    <row r="34" spans="1:6" ht="127.5">
      <c r="A34" s="36" t="s">
        <v>2233</v>
      </c>
      <c r="B34" s="201" t="s">
        <v>165</v>
      </c>
      <c r="C34" s="405" t="s">
        <v>2100</v>
      </c>
      <c r="D34" s="175">
        <v>3700000</v>
      </c>
      <c r="E34" s="173">
        <v>4072398.78</v>
      </c>
      <c r="F34" s="173">
        <f t="shared" si="0"/>
        <v>110.06483189189188</v>
      </c>
    </row>
    <row r="35" spans="1:6" ht="25.5">
      <c r="A35" s="402" t="s">
        <v>2234</v>
      </c>
      <c r="B35" s="305" t="s">
        <v>165</v>
      </c>
      <c r="C35" s="304" t="s">
        <v>329</v>
      </c>
      <c r="D35" s="174">
        <f>SUM(D36:D39)</f>
        <v>32700</v>
      </c>
      <c r="E35" s="172">
        <f>SUM(E36:E39)</f>
        <v>29232.219999999998</v>
      </c>
      <c r="F35" s="172">
        <f t="shared" si="0"/>
        <v>89.395168195718639</v>
      </c>
    </row>
    <row r="36" spans="1:6" ht="76.5">
      <c r="A36" s="400" t="s">
        <v>2235</v>
      </c>
      <c r="B36" s="201" t="s">
        <v>165</v>
      </c>
      <c r="C36" s="189" t="s">
        <v>331</v>
      </c>
      <c r="D36" s="175">
        <v>13000</v>
      </c>
      <c r="E36" s="173">
        <v>12011.46</v>
      </c>
      <c r="F36" s="173">
        <f t="shared" si="0"/>
        <v>92.395846153846151</v>
      </c>
    </row>
    <row r="37" spans="1:6" ht="89.25">
      <c r="A37" s="400" t="s">
        <v>2236</v>
      </c>
      <c r="B37" s="201" t="s">
        <v>165</v>
      </c>
      <c r="C37" s="189" t="s">
        <v>333</v>
      </c>
      <c r="D37" s="175">
        <v>200</v>
      </c>
      <c r="E37" s="173">
        <v>121.97</v>
      </c>
      <c r="F37" s="173">
        <f t="shared" si="0"/>
        <v>60.984999999999999</v>
      </c>
    </row>
    <row r="38" spans="1:6" ht="89.25">
      <c r="A38" s="400" t="s">
        <v>2237</v>
      </c>
      <c r="B38" s="201" t="s">
        <v>165</v>
      </c>
      <c r="C38" s="189" t="s">
        <v>335</v>
      </c>
      <c r="D38" s="175">
        <v>22300</v>
      </c>
      <c r="E38" s="173">
        <v>19425.16</v>
      </c>
      <c r="F38" s="173">
        <f t="shared" si="0"/>
        <v>87.108340807174883</v>
      </c>
    </row>
    <row r="39" spans="1:6" ht="89.25">
      <c r="A39" s="400" t="s">
        <v>2238</v>
      </c>
      <c r="B39" s="201" t="s">
        <v>165</v>
      </c>
      <c r="C39" s="189" t="s">
        <v>337</v>
      </c>
      <c r="D39" s="175">
        <v>-2800</v>
      </c>
      <c r="E39" s="173">
        <v>-2326.37</v>
      </c>
      <c r="F39" s="173">
        <f t="shared" si="0"/>
        <v>83.084642857142853</v>
      </c>
    </row>
    <row r="40" spans="1:6">
      <c r="A40" s="402" t="s">
        <v>2239</v>
      </c>
      <c r="B40" s="305" t="s">
        <v>197</v>
      </c>
      <c r="C40" s="186" t="s">
        <v>116</v>
      </c>
      <c r="D40" s="174">
        <f>D41+D52+D59</f>
        <v>28159760.999999996</v>
      </c>
      <c r="E40" s="172">
        <f>E41+E52+E59</f>
        <v>27790676.829999998</v>
      </c>
      <c r="F40" s="172">
        <f t="shared" si="0"/>
        <v>98.689320658651909</v>
      </c>
    </row>
    <row r="41" spans="1:6" ht="25.5">
      <c r="A41" s="402" t="s">
        <v>2240</v>
      </c>
      <c r="B41" s="305" t="s">
        <v>165</v>
      </c>
      <c r="C41" s="186" t="s">
        <v>117</v>
      </c>
      <c r="D41" s="174">
        <f>D42</f>
        <v>28069999.999999996</v>
      </c>
      <c r="E41" s="172">
        <f>E42</f>
        <v>27700915.329999998</v>
      </c>
      <c r="F41" s="172">
        <f t="shared" si="0"/>
        <v>98.685127645172784</v>
      </c>
    </row>
    <row r="42" spans="1:6" ht="38.25">
      <c r="A42" s="402" t="s">
        <v>2241</v>
      </c>
      <c r="B42" s="305" t="s">
        <v>165</v>
      </c>
      <c r="C42" s="198" t="s">
        <v>2242</v>
      </c>
      <c r="D42" s="174">
        <f>D43+D44+D45+D46+D47</f>
        <v>28069999.999999996</v>
      </c>
      <c r="E42" s="172">
        <f>E43+E44+E45+E46+E47</f>
        <v>27700915.329999998</v>
      </c>
      <c r="F42" s="172">
        <f t="shared" si="0"/>
        <v>98.685127645172784</v>
      </c>
    </row>
    <row r="43" spans="1:6" ht="25.5">
      <c r="A43" s="36" t="s">
        <v>2243</v>
      </c>
      <c r="B43" s="201" t="s">
        <v>165</v>
      </c>
      <c r="C43" s="406" t="s">
        <v>2242</v>
      </c>
      <c r="D43" s="175">
        <v>27741785.329999998</v>
      </c>
      <c r="E43" s="173">
        <v>27341199.469999999</v>
      </c>
      <c r="F43" s="173">
        <f t="shared" si="0"/>
        <v>98.556019898377613</v>
      </c>
    </row>
    <row r="44" spans="1:6" ht="25.5">
      <c r="A44" s="36" t="s">
        <v>2244</v>
      </c>
      <c r="B44" s="201" t="s">
        <v>165</v>
      </c>
      <c r="C44" s="406" t="s">
        <v>2245</v>
      </c>
      <c r="D44" s="175">
        <v>238519.16</v>
      </c>
      <c r="E44" s="173">
        <v>238519.16</v>
      </c>
      <c r="F44" s="173">
        <f t="shared" si="0"/>
        <v>100</v>
      </c>
    </row>
    <row r="45" spans="1:6" ht="25.5">
      <c r="A45" s="36" t="s">
        <v>2246</v>
      </c>
      <c r="B45" s="201" t="s">
        <v>165</v>
      </c>
      <c r="C45" s="406" t="s">
        <v>2247</v>
      </c>
      <c r="D45" s="175">
        <v>86584.38</v>
      </c>
      <c r="E45" s="173">
        <v>86584.38</v>
      </c>
      <c r="F45" s="173">
        <f t="shared" si="0"/>
        <v>100</v>
      </c>
    </row>
    <row r="46" spans="1:6" ht="25.5">
      <c r="A46" s="36" t="s">
        <v>2248</v>
      </c>
      <c r="B46" s="201" t="s">
        <v>165</v>
      </c>
      <c r="C46" s="148" t="s">
        <v>2108</v>
      </c>
      <c r="D46" s="175">
        <v>3111.13</v>
      </c>
      <c r="E46" s="173">
        <v>3111.13</v>
      </c>
      <c r="F46" s="173">
        <f t="shared" si="0"/>
        <v>100</v>
      </c>
    </row>
    <row r="47" spans="1:6" ht="38.25">
      <c r="A47" s="402" t="s">
        <v>2249</v>
      </c>
      <c r="B47" s="305" t="s">
        <v>165</v>
      </c>
      <c r="C47" s="372" t="s">
        <v>2250</v>
      </c>
      <c r="D47" s="174">
        <f>D48+D49+D50</f>
        <v>0</v>
      </c>
      <c r="E47" s="172">
        <f>E48+E49+E50+E51</f>
        <v>31501.19</v>
      </c>
      <c r="F47" s="173"/>
    </row>
    <row r="48" spans="1:6" ht="38.25">
      <c r="A48" s="36" t="s">
        <v>2251</v>
      </c>
      <c r="B48" s="201" t="s">
        <v>165</v>
      </c>
      <c r="C48" s="393" t="s">
        <v>2252</v>
      </c>
      <c r="D48" s="175">
        <v>0</v>
      </c>
      <c r="E48" s="173">
        <v>26490.6</v>
      </c>
      <c r="F48" s="173"/>
    </row>
    <row r="49" spans="1:6" ht="38.25">
      <c r="A49" s="36" t="s">
        <v>2253</v>
      </c>
      <c r="B49" s="201" t="s">
        <v>165</v>
      </c>
      <c r="C49" s="393" t="s">
        <v>2432</v>
      </c>
      <c r="D49" s="175">
        <v>0</v>
      </c>
      <c r="E49" s="173">
        <v>3840.6</v>
      </c>
      <c r="F49" s="173"/>
    </row>
    <row r="50" spans="1:6" ht="38.25">
      <c r="A50" s="36" t="s">
        <v>2254</v>
      </c>
      <c r="B50" s="201" t="s">
        <v>165</v>
      </c>
      <c r="C50" s="393" t="s">
        <v>2433</v>
      </c>
      <c r="D50" s="175">
        <v>0</v>
      </c>
      <c r="E50" s="173">
        <v>1170</v>
      </c>
      <c r="F50" s="173"/>
    </row>
    <row r="51" spans="1:6" ht="51">
      <c r="A51" s="36" t="s">
        <v>2430</v>
      </c>
      <c r="B51" s="201" t="s">
        <v>165</v>
      </c>
      <c r="C51" s="393" t="s">
        <v>2431</v>
      </c>
      <c r="D51" s="175"/>
      <c r="E51" s="173">
        <v>-0.01</v>
      </c>
      <c r="F51" s="173"/>
    </row>
    <row r="52" spans="1:6">
      <c r="A52" s="402" t="s">
        <v>2255</v>
      </c>
      <c r="B52" s="305" t="s">
        <v>165</v>
      </c>
      <c r="C52" s="186" t="s">
        <v>26</v>
      </c>
      <c r="D52" s="174">
        <f>D53+D56</f>
        <v>10812</v>
      </c>
      <c r="E52" s="172">
        <f>E53+E56</f>
        <v>10812.5</v>
      </c>
      <c r="F52" s="174">
        <f>F53</f>
        <v>100.00462449130596</v>
      </c>
    </row>
    <row r="53" spans="1:6">
      <c r="A53" s="402" t="s">
        <v>2256</v>
      </c>
      <c r="B53" s="305" t="s">
        <v>165</v>
      </c>
      <c r="C53" s="186" t="s">
        <v>26</v>
      </c>
      <c r="D53" s="174">
        <f>D54+D55</f>
        <v>10812</v>
      </c>
      <c r="E53" s="172">
        <f>E54+E55</f>
        <v>10812.5</v>
      </c>
      <c r="F53" s="172">
        <f t="shared" si="0"/>
        <v>100.00462449130596</v>
      </c>
    </row>
    <row r="54" spans="1:6" ht="25.5">
      <c r="A54" s="36" t="s">
        <v>2257</v>
      </c>
      <c r="B54" s="201" t="s">
        <v>165</v>
      </c>
      <c r="C54" s="381" t="s">
        <v>2258</v>
      </c>
      <c r="D54" s="175">
        <v>10762</v>
      </c>
      <c r="E54" s="173">
        <v>10762.5</v>
      </c>
      <c r="F54" s="172">
        <f t="shared" si="0"/>
        <v>100.00464597658427</v>
      </c>
    </row>
    <row r="55" spans="1:6" ht="25.5">
      <c r="A55" s="36" t="s">
        <v>2434</v>
      </c>
      <c r="B55" s="201" t="s">
        <v>165</v>
      </c>
      <c r="C55" s="381" t="s">
        <v>2435</v>
      </c>
      <c r="D55" s="175">
        <v>50</v>
      </c>
      <c r="E55" s="220">
        <v>50</v>
      </c>
      <c r="F55" s="172">
        <f t="shared" si="0"/>
        <v>100</v>
      </c>
    </row>
    <row r="56" spans="1:6" ht="38.25" hidden="1">
      <c r="A56" s="375" t="s">
        <v>2259</v>
      </c>
      <c r="B56" s="305" t="s">
        <v>165</v>
      </c>
      <c r="C56" s="407" t="s">
        <v>2260</v>
      </c>
      <c r="D56" s="174">
        <f>D57</f>
        <v>0</v>
      </c>
      <c r="E56" s="485">
        <f>E57</f>
        <v>0</v>
      </c>
      <c r="F56" s="172"/>
    </row>
    <row r="57" spans="1:6" ht="38.25" hidden="1">
      <c r="A57" s="36" t="s">
        <v>2261</v>
      </c>
      <c r="B57" s="201" t="s">
        <v>165</v>
      </c>
      <c r="C57" s="381" t="s">
        <v>2117</v>
      </c>
      <c r="D57" s="175">
        <v>0</v>
      </c>
      <c r="E57" s="220"/>
      <c r="F57" s="172"/>
    </row>
    <row r="58" spans="1:6" ht="51">
      <c r="A58" s="402" t="s">
        <v>2262</v>
      </c>
      <c r="B58" s="305" t="s">
        <v>165</v>
      </c>
      <c r="C58" s="186" t="s">
        <v>339</v>
      </c>
      <c r="D58" s="174">
        <f>D59</f>
        <v>78949</v>
      </c>
      <c r="E58" s="172">
        <f>E59</f>
        <v>78949</v>
      </c>
      <c r="F58" s="172">
        <f t="shared" si="0"/>
        <v>100</v>
      </c>
    </row>
    <row r="59" spans="1:6" ht="51">
      <c r="A59" s="402" t="s">
        <v>2263</v>
      </c>
      <c r="B59" s="305" t="s">
        <v>165</v>
      </c>
      <c r="C59" s="186" t="s">
        <v>339</v>
      </c>
      <c r="D59" s="174">
        <f>D60+D61</f>
        <v>78949</v>
      </c>
      <c r="E59" s="172">
        <f>E60+E61</f>
        <v>78949</v>
      </c>
      <c r="F59" s="172">
        <f t="shared" si="0"/>
        <v>100</v>
      </c>
    </row>
    <row r="60" spans="1:6" ht="51">
      <c r="A60" s="400" t="s">
        <v>2264</v>
      </c>
      <c r="B60" s="201" t="s">
        <v>165</v>
      </c>
      <c r="C60" s="9" t="s">
        <v>2265</v>
      </c>
      <c r="D60" s="175">
        <v>78949</v>
      </c>
      <c r="E60" s="173">
        <v>78949</v>
      </c>
      <c r="F60" s="173">
        <f t="shared" si="0"/>
        <v>100</v>
      </c>
    </row>
    <row r="61" spans="1:6" ht="51" hidden="1">
      <c r="A61" s="400" t="s">
        <v>2266</v>
      </c>
      <c r="B61" s="201" t="s">
        <v>165</v>
      </c>
      <c r="C61" s="9" t="s">
        <v>2267</v>
      </c>
      <c r="D61" s="175"/>
      <c r="E61" s="173"/>
      <c r="F61" s="173"/>
    </row>
    <row r="62" spans="1:6">
      <c r="A62" s="402" t="s">
        <v>2268</v>
      </c>
      <c r="B62" s="305" t="s">
        <v>197</v>
      </c>
      <c r="C62" s="186" t="s">
        <v>118</v>
      </c>
      <c r="D62" s="174">
        <f>D67+D63</f>
        <v>577660</v>
      </c>
      <c r="E62" s="172">
        <f>E67+E63</f>
        <v>571044.91</v>
      </c>
      <c r="F62" s="172">
        <f t="shared" si="0"/>
        <v>98.854847141917404</v>
      </c>
    </row>
    <row r="63" spans="1:6">
      <c r="A63" s="402" t="s">
        <v>2269</v>
      </c>
      <c r="B63" s="305" t="s">
        <v>165</v>
      </c>
      <c r="C63" s="186" t="s">
        <v>288</v>
      </c>
      <c r="D63" s="174">
        <f>D64</f>
        <v>3000</v>
      </c>
      <c r="E63" s="172">
        <f>E64</f>
        <v>3074.16</v>
      </c>
      <c r="F63" s="172">
        <f t="shared" si="0"/>
        <v>102.47199999999998</v>
      </c>
    </row>
    <row r="64" spans="1:6" ht="51">
      <c r="A64" s="402" t="s">
        <v>2270</v>
      </c>
      <c r="B64" s="305" t="s">
        <v>165</v>
      </c>
      <c r="C64" s="186" t="s">
        <v>289</v>
      </c>
      <c r="D64" s="174">
        <f>D65+D66</f>
        <v>3000</v>
      </c>
      <c r="E64" s="172">
        <f>E65+E66</f>
        <v>3074.16</v>
      </c>
      <c r="F64" s="172">
        <f t="shared" si="0"/>
        <v>102.47199999999998</v>
      </c>
    </row>
    <row r="65" spans="1:6" ht="51">
      <c r="A65" s="400" t="s">
        <v>2271</v>
      </c>
      <c r="B65" s="201" t="s">
        <v>165</v>
      </c>
      <c r="C65" s="9" t="s">
        <v>2272</v>
      </c>
      <c r="D65" s="175">
        <v>3000</v>
      </c>
      <c r="E65" s="173">
        <v>3021.56</v>
      </c>
      <c r="F65" s="173">
        <f t="shared" si="0"/>
        <v>100.71866666666666</v>
      </c>
    </row>
    <row r="66" spans="1:6" ht="63.75">
      <c r="A66" s="400" t="s">
        <v>2273</v>
      </c>
      <c r="B66" s="201" t="s">
        <v>165</v>
      </c>
      <c r="C66" s="9" t="s">
        <v>2436</v>
      </c>
      <c r="D66" s="175"/>
      <c r="E66" s="173">
        <v>52.6</v>
      </c>
      <c r="F66" s="173"/>
    </row>
    <row r="67" spans="1:6">
      <c r="A67" s="402" t="s">
        <v>2274</v>
      </c>
      <c r="B67" s="305" t="s">
        <v>165</v>
      </c>
      <c r="C67" s="186" t="s">
        <v>119</v>
      </c>
      <c r="D67" s="174">
        <f>D68+D72</f>
        <v>574660</v>
      </c>
      <c r="E67" s="172">
        <f>E68+E72</f>
        <v>567970.75</v>
      </c>
      <c r="F67" s="172">
        <f t="shared" si="0"/>
        <v>98.835963874290883</v>
      </c>
    </row>
    <row r="68" spans="1:6" s="129" customFormat="1" ht="38.25">
      <c r="A68" s="402" t="s">
        <v>2275</v>
      </c>
      <c r="B68" s="305" t="s">
        <v>165</v>
      </c>
      <c r="C68" s="186" t="s">
        <v>787</v>
      </c>
      <c r="D68" s="174">
        <f>D69+D70+D71</f>
        <v>311970</v>
      </c>
      <c r="E68" s="172">
        <f>E69+E70+E71</f>
        <v>303463.51</v>
      </c>
      <c r="F68" s="172">
        <f t="shared" si="0"/>
        <v>97.273298714619997</v>
      </c>
    </row>
    <row r="69" spans="1:6" ht="38.25">
      <c r="A69" s="36" t="s">
        <v>2276</v>
      </c>
      <c r="B69" s="201" t="s">
        <v>165</v>
      </c>
      <c r="C69" s="148" t="s">
        <v>2277</v>
      </c>
      <c r="D69" s="175">
        <v>311466.82</v>
      </c>
      <c r="E69" s="173">
        <v>302960.33</v>
      </c>
      <c r="F69" s="173">
        <f t="shared" si="0"/>
        <v>97.26889368183744</v>
      </c>
    </row>
    <row r="70" spans="1:6" ht="38.25">
      <c r="A70" s="36" t="s">
        <v>2278</v>
      </c>
      <c r="B70" s="201" t="s">
        <v>165</v>
      </c>
      <c r="C70" s="148" t="s">
        <v>2279</v>
      </c>
      <c r="D70" s="175">
        <v>3.18</v>
      </c>
      <c r="E70" s="173">
        <v>3.18</v>
      </c>
      <c r="F70" s="173">
        <f t="shared" si="0"/>
        <v>100</v>
      </c>
    </row>
    <row r="71" spans="1:6" ht="38.25">
      <c r="A71" s="36" t="s">
        <v>2280</v>
      </c>
      <c r="B71" s="201" t="s">
        <v>165</v>
      </c>
      <c r="C71" s="148" t="s">
        <v>2281</v>
      </c>
      <c r="D71" s="175">
        <v>500</v>
      </c>
      <c r="E71" s="173">
        <v>500</v>
      </c>
      <c r="F71" s="173">
        <f t="shared" si="0"/>
        <v>100</v>
      </c>
    </row>
    <row r="72" spans="1:6" s="129" customFormat="1" ht="51">
      <c r="A72" s="402" t="s">
        <v>2282</v>
      </c>
      <c r="B72" s="305" t="s">
        <v>165</v>
      </c>
      <c r="C72" s="186" t="s">
        <v>2283</v>
      </c>
      <c r="D72" s="174">
        <f>D73+D74+D75</f>
        <v>262690.00000000006</v>
      </c>
      <c r="E72" s="172">
        <f>E73+E74+E75</f>
        <v>264507.24000000005</v>
      </c>
      <c r="F72" s="172">
        <f t="shared" si="0"/>
        <v>100.69178118695039</v>
      </c>
    </row>
    <row r="73" spans="1:6" ht="38.25">
      <c r="A73" s="400" t="s">
        <v>2284</v>
      </c>
      <c r="B73" s="201" t="s">
        <v>165</v>
      </c>
      <c r="C73" s="148" t="s">
        <v>2285</v>
      </c>
      <c r="D73" s="175">
        <v>276010.03000000003</v>
      </c>
      <c r="E73" s="173">
        <v>277827.27</v>
      </c>
      <c r="F73" s="173">
        <f t="shared" si="0"/>
        <v>100.65839636334954</v>
      </c>
    </row>
    <row r="74" spans="1:6" ht="38.25">
      <c r="A74" s="400" t="s">
        <v>2286</v>
      </c>
      <c r="B74" s="201" t="s">
        <v>165</v>
      </c>
      <c r="C74" s="148" t="s">
        <v>2287</v>
      </c>
      <c r="D74" s="175">
        <v>1809.33</v>
      </c>
      <c r="E74" s="173">
        <v>1809.33</v>
      </c>
      <c r="F74" s="173">
        <f t="shared" si="0"/>
        <v>100</v>
      </c>
    </row>
    <row r="75" spans="1:6" ht="38.25">
      <c r="A75" s="400" t="s">
        <v>2288</v>
      </c>
      <c r="B75" s="201"/>
      <c r="C75" s="148" t="s">
        <v>2289</v>
      </c>
      <c r="D75" s="175">
        <v>-15129.36</v>
      </c>
      <c r="E75" s="173">
        <v>-15129.36</v>
      </c>
      <c r="F75" s="173">
        <f t="shared" si="0"/>
        <v>100</v>
      </c>
    </row>
    <row r="76" spans="1:6">
      <c r="A76" s="402" t="s">
        <v>2290</v>
      </c>
      <c r="B76" s="305" t="s">
        <v>197</v>
      </c>
      <c r="C76" s="186" t="s">
        <v>27</v>
      </c>
      <c r="D76" s="174">
        <f>D77+D80</f>
        <v>4270450</v>
      </c>
      <c r="E76" s="172">
        <f>E77+E80</f>
        <v>4374092.9400000004</v>
      </c>
      <c r="F76" s="172">
        <f t="shared" si="0"/>
        <v>102.42697935814729</v>
      </c>
    </row>
    <row r="77" spans="1:6" ht="38.25">
      <c r="A77" s="400" t="s">
        <v>2291</v>
      </c>
      <c r="B77" s="305" t="s">
        <v>165</v>
      </c>
      <c r="C77" s="186" t="s">
        <v>120</v>
      </c>
      <c r="D77" s="174">
        <f t="shared" ref="D77:E78" si="1">D78</f>
        <v>4220450</v>
      </c>
      <c r="E77" s="172">
        <f t="shared" si="1"/>
        <v>4324092.9400000004</v>
      </c>
      <c r="F77" s="172">
        <f t="shared" si="0"/>
        <v>102.45573197170918</v>
      </c>
    </row>
    <row r="78" spans="1:6" ht="76.5">
      <c r="A78" s="402" t="s">
        <v>2292</v>
      </c>
      <c r="B78" s="305" t="s">
        <v>165</v>
      </c>
      <c r="C78" s="186" t="s">
        <v>2293</v>
      </c>
      <c r="D78" s="174">
        <f t="shared" si="1"/>
        <v>4220450</v>
      </c>
      <c r="E78" s="172">
        <f t="shared" si="1"/>
        <v>4324092.9400000004</v>
      </c>
      <c r="F78" s="172">
        <f t="shared" si="0"/>
        <v>102.45573197170918</v>
      </c>
    </row>
    <row r="79" spans="1:6" ht="76.5">
      <c r="A79" s="400" t="s">
        <v>2294</v>
      </c>
      <c r="B79" s="201" t="s">
        <v>165</v>
      </c>
      <c r="C79" s="9" t="s">
        <v>2295</v>
      </c>
      <c r="D79" s="175">
        <v>4220450</v>
      </c>
      <c r="E79" s="173">
        <v>4324092.9400000004</v>
      </c>
      <c r="F79" s="173">
        <f t="shared" si="0"/>
        <v>102.45573197170918</v>
      </c>
    </row>
    <row r="80" spans="1:6" ht="51">
      <c r="A80" s="400" t="s">
        <v>2437</v>
      </c>
      <c r="B80" s="201" t="s">
        <v>165</v>
      </c>
      <c r="C80" s="186" t="s">
        <v>2014</v>
      </c>
      <c r="D80" s="174">
        <f>D81</f>
        <v>50000</v>
      </c>
      <c r="E80" s="172">
        <f>E81</f>
        <v>50000</v>
      </c>
      <c r="F80" s="172">
        <f t="shared" si="0"/>
        <v>100</v>
      </c>
    </row>
    <row r="81" spans="1:6" ht="25.5">
      <c r="A81" s="400" t="s">
        <v>2438</v>
      </c>
      <c r="B81" s="201" t="s">
        <v>165</v>
      </c>
      <c r="C81" s="9" t="s">
        <v>2015</v>
      </c>
      <c r="D81" s="175">
        <v>50000</v>
      </c>
      <c r="E81" s="173">
        <v>50000</v>
      </c>
      <c r="F81" s="173">
        <f t="shared" ref="F81" si="2">E81/D81*100</f>
        <v>100</v>
      </c>
    </row>
    <row r="82" spans="1:6" ht="38.25">
      <c r="A82" s="402" t="s">
        <v>2296</v>
      </c>
      <c r="B82" s="305" t="s">
        <v>197</v>
      </c>
      <c r="C82" s="186" t="s">
        <v>129</v>
      </c>
      <c r="D82" s="174">
        <f>D83+D108+D111</f>
        <v>71550024.870000005</v>
      </c>
      <c r="E82" s="172">
        <f>E83+E108+E111</f>
        <v>38565775.140000001</v>
      </c>
      <c r="F82" s="172">
        <f t="shared" ref="F82:F147" si="3">E82/D82*100</f>
        <v>53.900435688276225</v>
      </c>
    </row>
    <row r="83" spans="1:6" ht="102">
      <c r="A83" s="402" t="s">
        <v>2297</v>
      </c>
      <c r="B83" s="305" t="s">
        <v>36</v>
      </c>
      <c r="C83" s="186" t="s">
        <v>2298</v>
      </c>
      <c r="D83" s="174">
        <f>D84+D94+D99+D105</f>
        <v>71423260.870000005</v>
      </c>
      <c r="E83" s="172">
        <f>E84+E94+E99+E105</f>
        <v>38439012.5</v>
      </c>
      <c r="F83" s="172">
        <f t="shared" si="3"/>
        <v>53.818618796982967</v>
      </c>
    </row>
    <row r="84" spans="1:6" ht="76.5">
      <c r="A84" s="402" t="s">
        <v>2299</v>
      </c>
      <c r="B84" s="305" t="s">
        <v>36</v>
      </c>
      <c r="C84" s="192" t="s">
        <v>261</v>
      </c>
      <c r="D84" s="174">
        <f>D85+D91+D92+D93</f>
        <v>33799130.869999997</v>
      </c>
      <c r="E84" s="172">
        <f>E85+E90</f>
        <v>26611711.419999998</v>
      </c>
      <c r="F84" s="172">
        <f t="shared" si="3"/>
        <v>78.734898605397191</v>
      </c>
    </row>
    <row r="85" spans="1:6" ht="102">
      <c r="A85" s="402" t="s">
        <v>2300</v>
      </c>
      <c r="B85" s="305" t="s">
        <v>36</v>
      </c>
      <c r="C85" s="192" t="s">
        <v>178</v>
      </c>
      <c r="D85" s="174">
        <f>D86+D87+D88+D89</f>
        <v>33799130.869999997</v>
      </c>
      <c r="E85" s="172">
        <f>E86+E87+E88+E89</f>
        <v>26322169.719999999</v>
      </c>
      <c r="F85" s="172">
        <f t="shared" si="3"/>
        <v>77.878244328949521</v>
      </c>
    </row>
    <row r="86" spans="1:6" ht="102">
      <c r="A86" s="400" t="s">
        <v>2300</v>
      </c>
      <c r="B86" s="201" t="s">
        <v>36</v>
      </c>
      <c r="C86" s="193" t="s">
        <v>1961</v>
      </c>
      <c r="D86" s="175">
        <v>1077436.77</v>
      </c>
      <c r="E86" s="220">
        <v>1077436.77</v>
      </c>
      <c r="F86" s="173">
        <f t="shared" si="3"/>
        <v>100</v>
      </c>
    </row>
    <row r="87" spans="1:6" ht="102">
      <c r="A87" s="400" t="s">
        <v>2301</v>
      </c>
      <c r="B87" s="201" t="s">
        <v>36</v>
      </c>
      <c r="C87" s="193" t="s">
        <v>2564</v>
      </c>
      <c r="D87" s="175">
        <v>31959954.859999999</v>
      </c>
      <c r="E87" s="220">
        <v>24482993.710000001</v>
      </c>
      <c r="F87" s="173">
        <f t="shared" si="3"/>
        <v>76.605219929900741</v>
      </c>
    </row>
    <row r="88" spans="1:6" ht="102">
      <c r="A88" s="400" t="s">
        <v>2302</v>
      </c>
      <c r="B88" s="201" t="s">
        <v>36</v>
      </c>
      <c r="C88" s="193" t="s">
        <v>2565</v>
      </c>
      <c r="D88" s="175">
        <v>761739.24</v>
      </c>
      <c r="E88" s="220">
        <v>761739.24</v>
      </c>
      <c r="F88" s="173">
        <f t="shared" si="3"/>
        <v>100</v>
      </c>
    </row>
    <row r="89" spans="1:6" ht="102" hidden="1">
      <c r="A89" s="400" t="s">
        <v>2304</v>
      </c>
      <c r="B89" s="201" t="s">
        <v>36</v>
      </c>
      <c r="C89" s="193" t="s">
        <v>2303</v>
      </c>
      <c r="D89" s="175"/>
      <c r="E89" s="220"/>
      <c r="F89" s="173" t="e">
        <f t="shared" si="3"/>
        <v>#DIV/0!</v>
      </c>
    </row>
    <row r="90" spans="1:6" ht="89.25">
      <c r="A90" s="402" t="s">
        <v>2305</v>
      </c>
      <c r="B90" s="305" t="s">
        <v>36</v>
      </c>
      <c r="C90" s="192" t="s">
        <v>262</v>
      </c>
      <c r="D90" s="174">
        <f>D91+D92+D93</f>
        <v>0</v>
      </c>
      <c r="E90" s="172">
        <f>E91+E92+E93</f>
        <v>289541.7</v>
      </c>
      <c r="F90" s="172"/>
    </row>
    <row r="91" spans="1:6" ht="76.5">
      <c r="A91" s="400" t="s">
        <v>2305</v>
      </c>
      <c r="B91" s="201" t="s">
        <v>36</v>
      </c>
      <c r="C91" s="193" t="s">
        <v>262</v>
      </c>
      <c r="D91" s="175">
        <v>0</v>
      </c>
      <c r="E91" s="173">
        <v>224906.79</v>
      </c>
      <c r="F91" s="173"/>
    </row>
    <row r="92" spans="1:6" ht="89.25">
      <c r="A92" s="400" t="s">
        <v>2306</v>
      </c>
      <c r="B92" s="201" t="s">
        <v>36</v>
      </c>
      <c r="C92" s="193" t="s">
        <v>2307</v>
      </c>
      <c r="D92" s="175">
        <v>0</v>
      </c>
      <c r="E92" s="173">
        <v>46691.86</v>
      </c>
      <c r="F92" s="173"/>
    </row>
    <row r="93" spans="1:6" ht="89.25">
      <c r="A93" s="400" t="s">
        <v>2308</v>
      </c>
      <c r="B93" s="201" t="s">
        <v>36</v>
      </c>
      <c r="C93" s="193" t="s">
        <v>2309</v>
      </c>
      <c r="D93" s="175">
        <v>0</v>
      </c>
      <c r="E93" s="173">
        <v>17943.05</v>
      </c>
      <c r="F93" s="173"/>
    </row>
    <row r="94" spans="1:6" ht="89.25">
      <c r="A94" s="402" t="s">
        <v>2310</v>
      </c>
      <c r="B94" s="305" t="s">
        <v>36</v>
      </c>
      <c r="C94" s="186" t="s">
        <v>179</v>
      </c>
      <c r="D94" s="174">
        <f>D95</f>
        <v>205210.00000000003</v>
      </c>
      <c r="E94" s="172">
        <f>E95</f>
        <v>198987.61000000004</v>
      </c>
      <c r="F94" s="172">
        <f t="shared" si="3"/>
        <v>96.9677939671556</v>
      </c>
    </row>
    <row r="95" spans="1:6" ht="89.25">
      <c r="A95" s="402" t="s">
        <v>2311</v>
      </c>
      <c r="B95" s="305" t="s">
        <v>36</v>
      </c>
      <c r="C95" s="186" t="s">
        <v>179</v>
      </c>
      <c r="D95" s="174">
        <f>SUM(D96:D98)</f>
        <v>205210.00000000003</v>
      </c>
      <c r="E95" s="172">
        <f>SUM(E96:E98)</f>
        <v>198987.61000000004</v>
      </c>
      <c r="F95" s="172">
        <f t="shared" si="3"/>
        <v>96.9677939671556</v>
      </c>
    </row>
    <row r="96" spans="1:6" ht="76.5">
      <c r="A96" s="400" t="s">
        <v>2311</v>
      </c>
      <c r="B96" s="201" t="s">
        <v>36</v>
      </c>
      <c r="C96" s="9" t="s">
        <v>179</v>
      </c>
      <c r="D96" s="175">
        <v>72984.100000000006</v>
      </c>
      <c r="E96" s="173">
        <v>66761.710000000006</v>
      </c>
      <c r="F96" s="173">
        <f t="shared" si="3"/>
        <v>91.474321119257482</v>
      </c>
    </row>
    <row r="97" spans="1:6" ht="76.5">
      <c r="A97" s="400" t="s">
        <v>2439</v>
      </c>
      <c r="B97" s="201" t="s">
        <v>36</v>
      </c>
      <c r="C97" s="9" t="s">
        <v>2440</v>
      </c>
      <c r="D97" s="175">
        <v>131516.89000000001</v>
      </c>
      <c r="E97" s="173">
        <v>131516.89000000001</v>
      </c>
      <c r="F97" s="173">
        <f t="shared" si="3"/>
        <v>100</v>
      </c>
    </row>
    <row r="98" spans="1:6" ht="76.5">
      <c r="A98" s="400" t="s">
        <v>2312</v>
      </c>
      <c r="B98" s="201" t="s">
        <v>36</v>
      </c>
      <c r="C98" s="9" t="s">
        <v>2313</v>
      </c>
      <c r="D98" s="175">
        <v>709.01</v>
      </c>
      <c r="E98" s="173">
        <v>709.01</v>
      </c>
      <c r="F98" s="173">
        <f t="shared" si="3"/>
        <v>100</v>
      </c>
    </row>
    <row r="99" spans="1:6" ht="89.25">
      <c r="A99" s="402" t="s">
        <v>2314</v>
      </c>
      <c r="B99" s="305" t="s">
        <v>36</v>
      </c>
      <c r="C99" s="186" t="s">
        <v>2315</v>
      </c>
      <c r="D99" s="174">
        <f>D100</f>
        <v>37418920</v>
      </c>
      <c r="E99" s="172">
        <f>E100</f>
        <v>11628297.33</v>
      </c>
      <c r="F99" s="172">
        <f t="shared" si="3"/>
        <v>31.075983299357652</v>
      </c>
    </row>
    <row r="100" spans="1:6" ht="76.5">
      <c r="A100" s="402" t="s">
        <v>2316</v>
      </c>
      <c r="B100" s="305" t="s">
        <v>36</v>
      </c>
      <c r="C100" s="186" t="s">
        <v>245</v>
      </c>
      <c r="D100" s="174">
        <f>D102+D103+D104+D101</f>
        <v>37418920</v>
      </c>
      <c r="E100" s="172">
        <f>E102+E103+E104+E101</f>
        <v>11628297.33</v>
      </c>
      <c r="F100" s="172">
        <f t="shared" si="3"/>
        <v>31.075983299357652</v>
      </c>
    </row>
    <row r="101" spans="1:6" ht="63.75">
      <c r="A101" s="400" t="s">
        <v>2316</v>
      </c>
      <c r="B101" s="201" t="s">
        <v>36</v>
      </c>
      <c r="C101" s="9" t="s">
        <v>245</v>
      </c>
      <c r="D101" s="175">
        <v>75820</v>
      </c>
      <c r="E101" s="173">
        <v>75820.320000000007</v>
      </c>
      <c r="F101" s="173">
        <f t="shared" si="3"/>
        <v>100.00042205222897</v>
      </c>
    </row>
    <row r="102" spans="1:6" ht="76.5">
      <c r="A102" s="400" t="s">
        <v>2317</v>
      </c>
      <c r="B102" s="201" t="s">
        <v>36</v>
      </c>
      <c r="C102" s="9" t="s">
        <v>2318</v>
      </c>
      <c r="D102" s="175">
        <v>36705093.079999998</v>
      </c>
      <c r="E102" s="220">
        <v>10914470.09</v>
      </c>
      <c r="F102" s="173">
        <f t="shared" si="3"/>
        <v>29.735573933054855</v>
      </c>
    </row>
    <row r="103" spans="1:6" ht="76.5">
      <c r="A103" s="400" t="s">
        <v>2319</v>
      </c>
      <c r="B103" s="201" t="s">
        <v>36</v>
      </c>
      <c r="C103" s="9" t="s">
        <v>2320</v>
      </c>
      <c r="D103" s="175">
        <v>198969.72</v>
      </c>
      <c r="E103" s="220">
        <v>198969.72</v>
      </c>
      <c r="F103" s="173">
        <f t="shared" si="3"/>
        <v>100</v>
      </c>
    </row>
    <row r="104" spans="1:6" ht="76.5">
      <c r="A104" s="400" t="s">
        <v>2321</v>
      </c>
      <c r="B104" s="201" t="s">
        <v>36</v>
      </c>
      <c r="C104" s="9" t="s">
        <v>2322</v>
      </c>
      <c r="D104" s="175">
        <v>439037.2</v>
      </c>
      <c r="E104" s="220">
        <v>439037.2</v>
      </c>
      <c r="F104" s="173">
        <f t="shared" si="3"/>
        <v>100</v>
      </c>
    </row>
    <row r="105" spans="1:6" ht="51">
      <c r="A105" s="402" t="s">
        <v>2441</v>
      </c>
      <c r="B105" s="305" t="s">
        <v>36</v>
      </c>
      <c r="C105" s="186" t="s">
        <v>2444</v>
      </c>
      <c r="D105" s="174">
        <f>D106</f>
        <v>0</v>
      </c>
      <c r="E105" s="172">
        <f t="shared" ref="E105:E106" si="4">E106</f>
        <v>16.14</v>
      </c>
      <c r="F105" s="173"/>
    </row>
    <row r="106" spans="1:6" ht="89.25">
      <c r="A106" s="402" t="s">
        <v>2442</v>
      </c>
      <c r="B106" s="305" t="s">
        <v>36</v>
      </c>
      <c r="C106" s="186" t="s">
        <v>2445</v>
      </c>
      <c r="D106" s="174">
        <f>D107</f>
        <v>0</v>
      </c>
      <c r="E106" s="172">
        <f t="shared" si="4"/>
        <v>16.14</v>
      </c>
      <c r="F106" s="173"/>
    </row>
    <row r="107" spans="1:6" ht="153">
      <c r="A107" s="400" t="s">
        <v>2443</v>
      </c>
      <c r="B107" s="201" t="s">
        <v>36</v>
      </c>
      <c r="C107" s="9" t="s">
        <v>2446</v>
      </c>
      <c r="D107" s="175">
        <v>0</v>
      </c>
      <c r="E107" s="220">
        <v>16.14</v>
      </c>
      <c r="F107" s="173"/>
    </row>
    <row r="108" spans="1:6" ht="25.5">
      <c r="A108" s="402" t="s">
        <v>2323</v>
      </c>
      <c r="B108" s="305" t="s">
        <v>36</v>
      </c>
      <c r="C108" s="186" t="s">
        <v>14</v>
      </c>
      <c r="D108" s="174">
        <f>D109</f>
        <v>85264</v>
      </c>
      <c r="E108" s="172">
        <f>E109</f>
        <v>85264</v>
      </c>
      <c r="F108" s="172">
        <f t="shared" si="3"/>
        <v>100</v>
      </c>
    </row>
    <row r="109" spans="1:6" ht="51">
      <c r="A109" s="400" t="s">
        <v>2324</v>
      </c>
      <c r="B109" s="305" t="s">
        <v>36</v>
      </c>
      <c r="C109" s="186" t="s">
        <v>15</v>
      </c>
      <c r="D109" s="174">
        <f>D110</f>
        <v>85264</v>
      </c>
      <c r="E109" s="172">
        <f>E110</f>
        <v>85264</v>
      </c>
      <c r="F109" s="172">
        <f t="shared" si="3"/>
        <v>100</v>
      </c>
    </row>
    <row r="110" spans="1:6" ht="63.75">
      <c r="A110" s="400" t="s">
        <v>2325</v>
      </c>
      <c r="B110" s="201" t="s">
        <v>36</v>
      </c>
      <c r="C110" s="9" t="s">
        <v>152</v>
      </c>
      <c r="D110" s="175">
        <v>85264</v>
      </c>
      <c r="E110" s="220">
        <v>85264</v>
      </c>
      <c r="F110" s="173">
        <f t="shared" si="3"/>
        <v>100</v>
      </c>
    </row>
    <row r="111" spans="1:6" ht="25.5">
      <c r="A111" s="402" t="s">
        <v>2326</v>
      </c>
      <c r="B111" s="305" t="s">
        <v>36</v>
      </c>
      <c r="C111" s="186" t="s">
        <v>2327</v>
      </c>
      <c r="D111" s="174">
        <f>D112</f>
        <v>41500</v>
      </c>
      <c r="E111" s="172">
        <f>E112</f>
        <v>41498.639999999999</v>
      </c>
      <c r="F111" s="172">
        <f t="shared" si="3"/>
        <v>99.996722891566264</v>
      </c>
    </row>
    <row r="112" spans="1:6" ht="89.25">
      <c r="A112" s="400" t="s">
        <v>2328</v>
      </c>
      <c r="B112" s="201" t="s">
        <v>36</v>
      </c>
      <c r="C112" s="9" t="s">
        <v>2329</v>
      </c>
      <c r="D112" s="175">
        <v>41500</v>
      </c>
      <c r="E112" s="220">
        <v>41498.639999999999</v>
      </c>
      <c r="F112" s="173">
        <f t="shared" si="3"/>
        <v>99.996722891566264</v>
      </c>
    </row>
    <row r="113" spans="1:6" ht="25.5">
      <c r="A113" s="402" t="s">
        <v>2330</v>
      </c>
      <c r="B113" s="305" t="s">
        <v>197</v>
      </c>
      <c r="C113" s="186" t="s">
        <v>153</v>
      </c>
      <c r="D113" s="174">
        <f>D114+D117+D119+D121</f>
        <v>3804100</v>
      </c>
      <c r="E113" s="172">
        <f>E114+E117+E119+E121</f>
        <v>3718039.5200000005</v>
      </c>
      <c r="F113" s="172">
        <f t="shared" si="3"/>
        <v>97.737691438185124</v>
      </c>
    </row>
    <row r="114" spans="1:6" ht="25.5">
      <c r="A114" s="402" t="s">
        <v>2331</v>
      </c>
      <c r="B114" s="305" t="s">
        <v>36</v>
      </c>
      <c r="C114" s="186" t="s">
        <v>1269</v>
      </c>
      <c r="D114" s="174">
        <f>D116+D115</f>
        <v>1004402.7000000001</v>
      </c>
      <c r="E114" s="172">
        <f>E116+E115</f>
        <v>667876.72</v>
      </c>
      <c r="F114" s="172">
        <f t="shared" si="3"/>
        <v>66.494914838440792</v>
      </c>
    </row>
    <row r="115" spans="1:6" ht="38.25">
      <c r="A115" s="400" t="s">
        <v>2447</v>
      </c>
      <c r="B115" s="201" t="s">
        <v>36</v>
      </c>
      <c r="C115" s="9" t="s">
        <v>2448</v>
      </c>
      <c r="D115" s="175">
        <v>12.53</v>
      </c>
      <c r="E115" s="173">
        <v>12.53</v>
      </c>
      <c r="F115" s="173">
        <f t="shared" si="3"/>
        <v>100</v>
      </c>
    </row>
    <row r="116" spans="1:6" ht="25.5">
      <c r="A116" s="400" t="s">
        <v>2332</v>
      </c>
      <c r="B116" s="201" t="s">
        <v>36</v>
      </c>
      <c r="C116" s="9" t="s">
        <v>1266</v>
      </c>
      <c r="D116" s="175">
        <v>1004390.17</v>
      </c>
      <c r="E116" s="173">
        <v>667864.18999999994</v>
      </c>
      <c r="F116" s="173">
        <f t="shared" si="3"/>
        <v>66.494496854743204</v>
      </c>
    </row>
    <row r="117" spans="1:6" ht="25.5">
      <c r="A117" s="402" t="s">
        <v>2333</v>
      </c>
      <c r="B117" s="305" t="s">
        <v>36</v>
      </c>
      <c r="C117" s="408" t="s">
        <v>1269</v>
      </c>
      <c r="D117" s="174">
        <f>D118</f>
        <v>29697.3</v>
      </c>
      <c r="E117" s="172">
        <f>E118</f>
        <v>29717.8</v>
      </c>
      <c r="F117" s="172">
        <f t="shared" si="3"/>
        <v>100.06902984446397</v>
      </c>
    </row>
    <row r="118" spans="1:6" ht="25.5">
      <c r="A118" s="400" t="s">
        <v>2334</v>
      </c>
      <c r="B118" s="201" t="s">
        <v>36</v>
      </c>
      <c r="C118" s="54" t="s">
        <v>1267</v>
      </c>
      <c r="D118" s="175">
        <v>29697.3</v>
      </c>
      <c r="E118" s="173">
        <v>29717.8</v>
      </c>
      <c r="F118" s="173">
        <f t="shared" si="3"/>
        <v>100.06902984446397</v>
      </c>
    </row>
    <row r="119" spans="1:6" ht="25.5">
      <c r="A119" s="402" t="s">
        <v>2335</v>
      </c>
      <c r="B119" s="305" t="s">
        <v>36</v>
      </c>
      <c r="C119" s="408" t="s">
        <v>1269</v>
      </c>
      <c r="D119" s="174">
        <f>D120</f>
        <v>1211900</v>
      </c>
      <c r="E119" s="172">
        <f>E120</f>
        <v>1417242.01</v>
      </c>
      <c r="F119" s="172">
        <f t="shared" si="3"/>
        <v>116.94380806997277</v>
      </c>
    </row>
    <row r="120" spans="1:6" ht="25.5">
      <c r="A120" s="400" t="s">
        <v>2336</v>
      </c>
      <c r="B120" s="201" t="s">
        <v>36</v>
      </c>
      <c r="C120" s="54" t="s">
        <v>1268</v>
      </c>
      <c r="D120" s="175">
        <v>1211900</v>
      </c>
      <c r="E120" s="173">
        <v>1417242.01</v>
      </c>
      <c r="F120" s="173">
        <f t="shared" si="3"/>
        <v>116.94380806997277</v>
      </c>
    </row>
    <row r="121" spans="1:6" ht="25.5">
      <c r="A121" s="402" t="s">
        <v>2337</v>
      </c>
      <c r="B121" s="305" t="s">
        <v>36</v>
      </c>
      <c r="C121" s="408" t="s">
        <v>1269</v>
      </c>
      <c r="D121" s="174">
        <f>D122</f>
        <v>1558100</v>
      </c>
      <c r="E121" s="172">
        <f>E122</f>
        <v>1603202.99</v>
      </c>
      <c r="F121" s="172">
        <f t="shared" si="3"/>
        <v>102.89474295616456</v>
      </c>
    </row>
    <row r="122" spans="1:6" ht="25.5">
      <c r="A122" s="400" t="s">
        <v>2338</v>
      </c>
      <c r="B122" s="201" t="s">
        <v>36</v>
      </c>
      <c r="C122" s="54" t="s">
        <v>810</v>
      </c>
      <c r="D122" s="175">
        <v>1558100</v>
      </c>
      <c r="E122" s="173">
        <v>1603202.99</v>
      </c>
      <c r="F122" s="173">
        <f t="shared" si="3"/>
        <v>102.89474295616456</v>
      </c>
    </row>
    <row r="123" spans="1:6" ht="25.5">
      <c r="A123" s="402" t="s">
        <v>2339</v>
      </c>
      <c r="B123" s="305" t="s">
        <v>197</v>
      </c>
      <c r="C123" s="186" t="s">
        <v>2340</v>
      </c>
      <c r="D123" s="174">
        <f>D124+D128</f>
        <v>33033439</v>
      </c>
      <c r="E123" s="172">
        <f>E124+E128</f>
        <v>32700761.909999996</v>
      </c>
      <c r="F123" s="172">
        <f t="shared" si="3"/>
        <v>98.992908095339388</v>
      </c>
    </row>
    <row r="124" spans="1:6" ht="25.5">
      <c r="A124" s="400" t="s">
        <v>2341</v>
      </c>
      <c r="B124" s="305" t="s">
        <v>97</v>
      </c>
      <c r="C124" s="186" t="s">
        <v>2342</v>
      </c>
      <c r="D124" s="174">
        <f>D126+D127+D125</f>
        <v>31630509</v>
      </c>
      <c r="E124" s="172">
        <f>E126+E127+E125</f>
        <v>31338645.079999998</v>
      </c>
      <c r="F124" s="172">
        <f t="shared" si="3"/>
        <v>99.077270871613223</v>
      </c>
    </row>
    <row r="125" spans="1:6" ht="38.25">
      <c r="A125" s="400" t="s">
        <v>2343</v>
      </c>
      <c r="B125" s="201" t="s">
        <v>97</v>
      </c>
      <c r="C125" s="9" t="s">
        <v>292</v>
      </c>
      <c r="D125" s="175">
        <v>4523613</v>
      </c>
      <c r="E125" s="220">
        <v>3378916.1</v>
      </c>
      <c r="F125" s="173">
        <f t="shared" si="3"/>
        <v>74.69507449023601</v>
      </c>
    </row>
    <row r="126" spans="1:6" ht="38.25">
      <c r="A126" s="400" t="s">
        <v>2344</v>
      </c>
      <c r="B126" s="201" t="s">
        <v>97</v>
      </c>
      <c r="C126" s="9" t="s">
        <v>292</v>
      </c>
      <c r="D126" s="173">
        <f>19953100+3566196</f>
        <v>23519296</v>
      </c>
      <c r="E126" s="173">
        <v>24315179.829999998</v>
      </c>
      <c r="F126" s="173">
        <f t="shared" si="3"/>
        <v>103.38396111006043</v>
      </c>
    </row>
    <row r="127" spans="1:6" ht="51">
      <c r="A127" s="400" t="s">
        <v>2345</v>
      </c>
      <c r="B127" s="201" t="s">
        <v>97</v>
      </c>
      <c r="C127" s="9" t="s">
        <v>12</v>
      </c>
      <c r="D127" s="173">
        <f>4552600-965000</f>
        <v>3587600</v>
      </c>
      <c r="E127" s="173">
        <v>3644549.15</v>
      </c>
      <c r="F127" s="173">
        <f t="shared" si="3"/>
        <v>101.58738850485003</v>
      </c>
    </row>
    <row r="128" spans="1:6" s="129" customFormat="1" ht="51">
      <c r="A128" s="402" t="s">
        <v>2346</v>
      </c>
      <c r="B128" s="305" t="s">
        <v>97</v>
      </c>
      <c r="C128" s="186" t="s">
        <v>673</v>
      </c>
      <c r="D128" s="172">
        <f>D129</f>
        <v>1402930</v>
      </c>
      <c r="E128" s="172">
        <f>E129</f>
        <v>1362116.83</v>
      </c>
      <c r="F128" s="172">
        <f t="shared" si="3"/>
        <v>97.090861981709708</v>
      </c>
    </row>
    <row r="129" spans="1:6" ht="51">
      <c r="A129" s="400" t="s">
        <v>2347</v>
      </c>
      <c r="B129" s="201" t="s">
        <v>97</v>
      </c>
      <c r="C129" s="9" t="s">
        <v>419</v>
      </c>
      <c r="D129" s="173">
        <v>1402930</v>
      </c>
      <c r="E129" s="220">
        <v>1362116.83</v>
      </c>
      <c r="F129" s="173">
        <f t="shared" si="3"/>
        <v>97.090861981709708</v>
      </c>
    </row>
    <row r="130" spans="1:6" ht="25.5">
      <c r="A130" s="402" t="s">
        <v>2348</v>
      </c>
      <c r="B130" s="305" t="s">
        <v>197</v>
      </c>
      <c r="C130" s="186" t="s">
        <v>154</v>
      </c>
      <c r="D130" s="174">
        <f>D134+D139+D131</f>
        <v>19557563.649999999</v>
      </c>
      <c r="E130" s="172">
        <f>E134+E139+E131</f>
        <v>19599075.009999998</v>
      </c>
      <c r="F130" s="172">
        <f t="shared" si="3"/>
        <v>100.21225220453265</v>
      </c>
    </row>
    <row r="131" spans="1:6" ht="25.5">
      <c r="A131" s="402" t="s">
        <v>2349</v>
      </c>
      <c r="B131" s="305" t="s">
        <v>197</v>
      </c>
      <c r="C131" s="186" t="s">
        <v>696</v>
      </c>
      <c r="D131" s="174">
        <f>D132</f>
        <v>5718.07</v>
      </c>
      <c r="E131" s="172">
        <f>E132</f>
        <v>5718.07</v>
      </c>
      <c r="F131" s="172">
        <f t="shared" si="3"/>
        <v>100</v>
      </c>
    </row>
    <row r="132" spans="1:6" ht="25.5">
      <c r="A132" s="402" t="s">
        <v>2350</v>
      </c>
      <c r="B132" s="305" t="s">
        <v>197</v>
      </c>
      <c r="C132" s="186" t="s">
        <v>696</v>
      </c>
      <c r="D132" s="174">
        <f>D133</f>
        <v>5718.07</v>
      </c>
      <c r="E132" s="172">
        <f>E133</f>
        <v>5718.07</v>
      </c>
      <c r="F132" s="172">
        <f t="shared" si="3"/>
        <v>100</v>
      </c>
    </row>
    <row r="133" spans="1:6" ht="25.5">
      <c r="A133" s="400" t="s">
        <v>2351</v>
      </c>
      <c r="B133" s="201" t="s">
        <v>100</v>
      </c>
      <c r="C133" s="9" t="s">
        <v>696</v>
      </c>
      <c r="D133" s="175">
        <v>5718.07</v>
      </c>
      <c r="E133" s="173">
        <v>5718.07</v>
      </c>
      <c r="F133" s="173">
        <f t="shared" si="3"/>
        <v>100</v>
      </c>
    </row>
    <row r="134" spans="1:6" ht="102">
      <c r="A134" s="402" t="s">
        <v>2352</v>
      </c>
      <c r="B134" s="305" t="s">
        <v>197</v>
      </c>
      <c r="C134" s="186" t="s">
        <v>2353</v>
      </c>
      <c r="D134" s="174">
        <f>D135</f>
        <v>8793922.75</v>
      </c>
      <c r="E134" s="172">
        <f>E135</f>
        <v>8789897.75</v>
      </c>
      <c r="F134" s="172">
        <f t="shared" si="3"/>
        <v>99.954229754861103</v>
      </c>
    </row>
    <row r="135" spans="1:6" ht="51">
      <c r="A135" s="402" t="s">
        <v>2354</v>
      </c>
      <c r="B135" s="305" t="s">
        <v>100</v>
      </c>
      <c r="C135" s="186" t="s">
        <v>99</v>
      </c>
      <c r="D135" s="174">
        <f>D136</f>
        <v>8793922.75</v>
      </c>
      <c r="E135" s="172">
        <f>E136</f>
        <v>8789897.75</v>
      </c>
      <c r="F135" s="172">
        <f t="shared" si="3"/>
        <v>99.954229754861103</v>
      </c>
    </row>
    <row r="136" spans="1:6" ht="102">
      <c r="A136" s="402" t="s">
        <v>2355</v>
      </c>
      <c r="B136" s="305" t="s">
        <v>100</v>
      </c>
      <c r="C136" s="186" t="s">
        <v>2356</v>
      </c>
      <c r="D136" s="174">
        <f>D137+D138</f>
        <v>8793922.75</v>
      </c>
      <c r="E136" s="172">
        <f>E137+E138</f>
        <v>8789897.75</v>
      </c>
      <c r="F136" s="172">
        <f t="shared" si="3"/>
        <v>99.954229754861103</v>
      </c>
    </row>
    <row r="137" spans="1:6" ht="102">
      <c r="A137" s="400" t="s">
        <v>2355</v>
      </c>
      <c r="B137" s="201" t="s">
        <v>100</v>
      </c>
      <c r="C137" s="9" t="s">
        <v>2356</v>
      </c>
      <c r="D137" s="175">
        <v>1173589.5</v>
      </c>
      <c r="E137" s="173">
        <v>1173589.5</v>
      </c>
      <c r="F137" s="173">
        <f t="shared" si="3"/>
        <v>100</v>
      </c>
    </row>
    <row r="138" spans="1:6" ht="102">
      <c r="A138" s="400" t="s">
        <v>2357</v>
      </c>
      <c r="B138" s="201" t="s">
        <v>100</v>
      </c>
      <c r="C138" s="9" t="s">
        <v>2358</v>
      </c>
      <c r="D138" s="175">
        <v>7620333.25</v>
      </c>
      <c r="E138" s="173">
        <v>7616308.25</v>
      </c>
      <c r="F138" s="173">
        <f t="shared" si="3"/>
        <v>99.947180787664365</v>
      </c>
    </row>
    <row r="139" spans="1:6" ht="63.75">
      <c r="A139" s="402" t="s">
        <v>2359</v>
      </c>
      <c r="B139" s="305" t="s">
        <v>1</v>
      </c>
      <c r="C139" s="186" t="s">
        <v>2360</v>
      </c>
      <c r="D139" s="174">
        <f>D140+D144</f>
        <v>10757922.83</v>
      </c>
      <c r="E139" s="172">
        <f>E140+E144</f>
        <v>10803459.189999999</v>
      </c>
      <c r="F139" s="172">
        <f t="shared" si="3"/>
        <v>100.42328208446536</v>
      </c>
    </row>
    <row r="140" spans="1:6" ht="38.25">
      <c r="A140" s="402" t="s">
        <v>2361</v>
      </c>
      <c r="B140" s="305" t="s">
        <v>1</v>
      </c>
      <c r="C140" s="186" t="s">
        <v>2362</v>
      </c>
      <c r="D140" s="174">
        <f>D141+D143+D142</f>
        <v>10754389.41</v>
      </c>
      <c r="E140" s="172">
        <f>E141+E143+E142</f>
        <v>10799925.77</v>
      </c>
      <c r="F140" s="172">
        <f t="shared" si="3"/>
        <v>100.42342115636669</v>
      </c>
    </row>
    <row r="141" spans="1:6" ht="51" hidden="1">
      <c r="A141" s="134" t="s">
        <v>2363</v>
      </c>
      <c r="B141" s="36" t="s">
        <v>1</v>
      </c>
      <c r="C141" s="391" t="s">
        <v>2183</v>
      </c>
      <c r="D141" s="175"/>
      <c r="E141" s="173"/>
      <c r="F141" s="173" t="e">
        <f t="shared" si="3"/>
        <v>#DIV/0!</v>
      </c>
    </row>
    <row r="142" spans="1:6" ht="63.75">
      <c r="A142" s="134" t="s">
        <v>2364</v>
      </c>
      <c r="B142" s="36" t="s">
        <v>1</v>
      </c>
      <c r="C142" s="391" t="s">
        <v>1962</v>
      </c>
      <c r="D142" s="175">
        <v>10754389.41</v>
      </c>
      <c r="E142" s="173">
        <v>10781613.609999999</v>
      </c>
      <c r="F142" s="173">
        <f t="shared" si="3"/>
        <v>100.25314500862955</v>
      </c>
    </row>
    <row r="143" spans="1:6" ht="51">
      <c r="A143" s="400" t="s">
        <v>2365</v>
      </c>
      <c r="B143" s="201" t="s">
        <v>1</v>
      </c>
      <c r="C143" s="9" t="s">
        <v>155</v>
      </c>
      <c r="D143" s="175">
        <v>0</v>
      </c>
      <c r="E143" s="173">
        <v>18312.16</v>
      </c>
      <c r="F143" s="173"/>
    </row>
    <row r="144" spans="1:6" ht="63.75">
      <c r="A144" s="402" t="s">
        <v>2449</v>
      </c>
      <c r="B144" s="305" t="s">
        <v>1</v>
      </c>
      <c r="C144" s="186" t="s">
        <v>1480</v>
      </c>
      <c r="D144" s="174">
        <f>D145</f>
        <v>3533.42</v>
      </c>
      <c r="E144" s="172">
        <f>E145</f>
        <v>3533.42</v>
      </c>
      <c r="F144" s="172">
        <f t="shared" si="3"/>
        <v>100</v>
      </c>
    </row>
    <row r="145" spans="1:6" ht="63.75">
      <c r="A145" s="400" t="s">
        <v>2450</v>
      </c>
      <c r="B145" s="201" t="s">
        <v>1</v>
      </c>
      <c r="C145" s="9" t="s">
        <v>1530</v>
      </c>
      <c r="D145" s="175">
        <v>3533.42</v>
      </c>
      <c r="E145" s="173">
        <v>3533.42</v>
      </c>
      <c r="F145" s="173">
        <f t="shared" si="3"/>
        <v>100</v>
      </c>
    </row>
    <row r="146" spans="1:6">
      <c r="A146" s="402" t="s">
        <v>2366</v>
      </c>
      <c r="B146" s="305" t="s">
        <v>197</v>
      </c>
      <c r="C146" s="186" t="s">
        <v>2</v>
      </c>
      <c r="D146" s="174">
        <f>D147+D150+D152+D154+D172+D158+D160+D162+D164+D166+D170+D175+D177+D179+D182+D184+D168+D156</f>
        <v>7081558.2699999996</v>
      </c>
      <c r="E146" s="172">
        <f>E147+E150+E152+E154+E172+E158+E160+E162+E164+E166+E170+E175+E177+E179+E182+E184+E168+E156</f>
        <v>6010524.8300000001</v>
      </c>
      <c r="F146" s="172">
        <f t="shared" si="3"/>
        <v>84.875737808480963</v>
      </c>
    </row>
    <row r="147" spans="1:6" ht="76.5">
      <c r="A147" s="402" t="s">
        <v>2367</v>
      </c>
      <c r="B147" s="305" t="s">
        <v>157</v>
      </c>
      <c r="C147" s="186" t="s">
        <v>2368</v>
      </c>
      <c r="D147" s="174">
        <f>D149+D148</f>
        <v>2000</v>
      </c>
      <c r="E147" s="172">
        <f>E149+E148</f>
        <v>5000</v>
      </c>
      <c r="F147" s="172">
        <f t="shared" si="3"/>
        <v>250</v>
      </c>
    </row>
    <row r="148" spans="1:6" ht="76.5" hidden="1">
      <c r="A148" s="400" t="s">
        <v>2367</v>
      </c>
      <c r="B148" s="201" t="s">
        <v>157</v>
      </c>
      <c r="C148" s="9" t="s">
        <v>2368</v>
      </c>
      <c r="D148" s="175"/>
      <c r="E148" s="173"/>
      <c r="F148" s="173" t="e">
        <f t="shared" ref="F148:F211" si="5">E148/D148*100</f>
        <v>#DIV/0!</v>
      </c>
    </row>
    <row r="149" spans="1:6" ht="76.5">
      <c r="A149" s="400" t="s">
        <v>2369</v>
      </c>
      <c r="B149" s="201" t="s">
        <v>157</v>
      </c>
      <c r="C149" s="9" t="s">
        <v>2368</v>
      </c>
      <c r="D149" s="175">
        <v>2000</v>
      </c>
      <c r="E149" s="173">
        <v>5000</v>
      </c>
      <c r="F149" s="173">
        <f t="shared" si="5"/>
        <v>250</v>
      </c>
    </row>
    <row r="150" spans="1:6" ht="63.75">
      <c r="A150" s="402" t="s">
        <v>2370</v>
      </c>
      <c r="B150" s="305" t="s">
        <v>157</v>
      </c>
      <c r="C150" s="186" t="s">
        <v>13</v>
      </c>
      <c r="D150" s="174">
        <f>D151</f>
        <v>10000</v>
      </c>
      <c r="E150" s="172">
        <f>E151</f>
        <v>725</v>
      </c>
      <c r="F150" s="172">
        <f t="shared" si="5"/>
        <v>7.2499999999999991</v>
      </c>
    </row>
    <row r="151" spans="1:6" ht="63.75">
      <c r="A151" s="400" t="s">
        <v>2371</v>
      </c>
      <c r="B151" s="201" t="s">
        <v>157</v>
      </c>
      <c r="C151" s="9" t="s">
        <v>13</v>
      </c>
      <c r="D151" s="175">
        <v>10000</v>
      </c>
      <c r="E151" s="173">
        <v>725</v>
      </c>
      <c r="F151" s="173">
        <f t="shared" si="5"/>
        <v>7.2499999999999991</v>
      </c>
    </row>
    <row r="152" spans="1:6" ht="63.75">
      <c r="A152" s="402" t="s">
        <v>2372</v>
      </c>
      <c r="B152" s="305" t="s">
        <v>157</v>
      </c>
      <c r="C152" s="186" t="s">
        <v>2373</v>
      </c>
      <c r="D152" s="174">
        <f>D153</f>
        <v>380500</v>
      </c>
      <c r="E152" s="172">
        <f>E153</f>
        <v>395500</v>
      </c>
      <c r="F152" s="172">
        <f t="shared" si="5"/>
        <v>103.94218134034165</v>
      </c>
    </row>
    <row r="153" spans="1:6" ht="63.75">
      <c r="A153" s="400" t="s">
        <v>2374</v>
      </c>
      <c r="B153" s="201" t="s">
        <v>157</v>
      </c>
      <c r="C153" s="9" t="s">
        <v>2373</v>
      </c>
      <c r="D153" s="175">
        <v>380500</v>
      </c>
      <c r="E153" s="173">
        <v>395500</v>
      </c>
      <c r="F153" s="173">
        <f t="shared" si="5"/>
        <v>103.94218134034165</v>
      </c>
    </row>
    <row r="154" spans="1:6" ht="51" hidden="1">
      <c r="A154" s="402" t="s">
        <v>2375</v>
      </c>
      <c r="B154" s="305" t="s">
        <v>157</v>
      </c>
      <c r="C154" s="186" t="s">
        <v>2376</v>
      </c>
      <c r="D154" s="174">
        <f>D155</f>
        <v>0</v>
      </c>
      <c r="E154" s="172">
        <f>E155</f>
        <v>0</v>
      </c>
      <c r="F154" s="173" t="e">
        <f t="shared" si="5"/>
        <v>#DIV/0!</v>
      </c>
    </row>
    <row r="155" spans="1:6" ht="51" hidden="1">
      <c r="A155" s="400" t="s">
        <v>2377</v>
      </c>
      <c r="B155" s="201" t="s">
        <v>157</v>
      </c>
      <c r="C155" s="9" t="s">
        <v>2376</v>
      </c>
      <c r="D155" s="175">
        <v>0</v>
      </c>
      <c r="E155" s="173"/>
      <c r="F155" s="173" t="e">
        <f t="shared" si="5"/>
        <v>#DIV/0!</v>
      </c>
    </row>
    <row r="156" spans="1:6" ht="51">
      <c r="A156" s="402" t="s">
        <v>2452</v>
      </c>
      <c r="B156" s="305" t="s">
        <v>157</v>
      </c>
      <c r="C156" s="186" t="s">
        <v>2020</v>
      </c>
      <c r="D156" s="174">
        <f>D157</f>
        <v>43584.5</v>
      </c>
      <c r="E156" s="172">
        <f>E157</f>
        <v>43584.5</v>
      </c>
      <c r="F156" s="172">
        <f t="shared" si="5"/>
        <v>100</v>
      </c>
    </row>
    <row r="157" spans="1:6" ht="63.75">
      <c r="A157" s="400" t="s">
        <v>2451</v>
      </c>
      <c r="B157" s="201" t="s">
        <v>157</v>
      </c>
      <c r="C157" s="9" t="s">
        <v>687</v>
      </c>
      <c r="D157" s="175">
        <v>43584.5</v>
      </c>
      <c r="E157" s="173">
        <v>43584.5</v>
      </c>
      <c r="F157" s="173">
        <f t="shared" si="5"/>
        <v>100</v>
      </c>
    </row>
    <row r="158" spans="1:6" ht="38.25" hidden="1">
      <c r="A158" s="402" t="s">
        <v>2378</v>
      </c>
      <c r="B158" s="305" t="s">
        <v>157</v>
      </c>
      <c r="C158" s="186" t="s">
        <v>812</v>
      </c>
      <c r="D158" s="174">
        <f>D159</f>
        <v>0</v>
      </c>
      <c r="E158" s="172">
        <f>E159</f>
        <v>0</v>
      </c>
      <c r="F158" s="173" t="e">
        <f t="shared" si="5"/>
        <v>#DIV/0!</v>
      </c>
    </row>
    <row r="159" spans="1:6" ht="38.25" hidden="1">
      <c r="A159" s="400" t="s">
        <v>2378</v>
      </c>
      <c r="B159" s="201" t="s">
        <v>157</v>
      </c>
      <c r="C159" s="9" t="s">
        <v>812</v>
      </c>
      <c r="D159" s="175"/>
      <c r="E159" s="173"/>
      <c r="F159" s="173" t="e">
        <f t="shared" si="5"/>
        <v>#DIV/0!</v>
      </c>
    </row>
    <row r="160" spans="1:6" ht="38.25">
      <c r="A160" s="402" t="s">
        <v>2379</v>
      </c>
      <c r="B160" s="305" t="s">
        <v>157</v>
      </c>
      <c r="C160" s="186" t="s">
        <v>401</v>
      </c>
      <c r="D160" s="174">
        <f>D161</f>
        <v>1000</v>
      </c>
      <c r="E160" s="172">
        <f>E161</f>
        <v>1000</v>
      </c>
      <c r="F160" s="172">
        <f t="shared" si="5"/>
        <v>100</v>
      </c>
    </row>
    <row r="161" spans="1:6" ht="38.25">
      <c r="A161" s="400" t="s">
        <v>2380</v>
      </c>
      <c r="B161" s="201" t="s">
        <v>157</v>
      </c>
      <c r="C161" s="9" t="s">
        <v>401</v>
      </c>
      <c r="D161" s="175">
        <v>1000</v>
      </c>
      <c r="E161" s="173">
        <v>1000</v>
      </c>
      <c r="F161" s="173">
        <f t="shared" si="5"/>
        <v>100</v>
      </c>
    </row>
    <row r="162" spans="1:6" ht="25.5">
      <c r="A162" s="402" t="s">
        <v>2381</v>
      </c>
      <c r="B162" s="305" t="s">
        <v>157</v>
      </c>
      <c r="C162" s="186" t="s">
        <v>813</v>
      </c>
      <c r="D162" s="174">
        <f>D163</f>
        <v>244300</v>
      </c>
      <c r="E162" s="172">
        <f>E163</f>
        <v>249300</v>
      </c>
      <c r="F162" s="172">
        <f t="shared" si="5"/>
        <v>102.04666393778142</v>
      </c>
    </row>
    <row r="163" spans="1:6" ht="25.5">
      <c r="A163" s="400" t="s">
        <v>2382</v>
      </c>
      <c r="B163" s="201" t="s">
        <v>157</v>
      </c>
      <c r="C163" s="9" t="s">
        <v>813</v>
      </c>
      <c r="D163" s="175">
        <v>244300</v>
      </c>
      <c r="E163" s="173">
        <v>249300</v>
      </c>
      <c r="F163" s="173">
        <f t="shared" si="5"/>
        <v>102.04666393778142</v>
      </c>
    </row>
    <row r="164" spans="1:6" ht="102">
      <c r="A164" s="402" t="s">
        <v>2383</v>
      </c>
      <c r="B164" s="305" t="s">
        <v>157</v>
      </c>
      <c r="C164" s="186" t="s">
        <v>2055</v>
      </c>
      <c r="D164" s="174">
        <f>D165</f>
        <v>10000</v>
      </c>
      <c r="E164" s="172">
        <f>E165</f>
        <v>10000</v>
      </c>
      <c r="F164" s="172">
        <f t="shared" si="5"/>
        <v>100</v>
      </c>
    </row>
    <row r="165" spans="1:6" ht="89.25">
      <c r="A165" s="400" t="s">
        <v>2384</v>
      </c>
      <c r="B165" s="201" t="s">
        <v>157</v>
      </c>
      <c r="C165" s="9" t="s">
        <v>2055</v>
      </c>
      <c r="D165" s="175">
        <v>10000</v>
      </c>
      <c r="E165" s="173">
        <v>10000</v>
      </c>
      <c r="F165" s="173">
        <f t="shared" si="5"/>
        <v>100</v>
      </c>
    </row>
    <row r="166" spans="1:6" ht="63.75">
      <c r="A166" s="402" t="s">
        <v>2385</v>
      </c>
      <c r="B166" s="305" t="s">
        <v>157</v>
      </c>
      <c r="C166" s="186" t="s">
        <v>198</v>
      </c>
      <c r="D166" s="174">
        <f>D167</f>
        <v>1010500</v>
      </c>
      <c r="E166" s="172">
        <f>E167</f>
        <v>1045000</v>
      </c>
      <c r="F166" s="172">
        <f t="shared" si="5"/>
        <v>103.41415141019297</v>
      </c>
    </row>
    <row r="167" spans="1:6" ht="63.75">
      <c r="A167" s="400" t="s">
        <v>2386</v>
      </c>
      <c r="B167" s="201" t="s">
        <v>157</v>
      </c>
      <c r="C167" s="9" t="s">
        <v>198</v>
      </c>
      <c r="D167" s="175">
        <v>1010500</v>
      </c>
      <c r="E167" s="173">
        <v>1045000</v>
      </c>
      <c r="F167" s="173">
        <f t="shared" si="5"/>
        <v>103.41415141019297</v>
      </c>
    </row>
    <row r="168" spans="1:6" ht="38.25">
      <c r="A168" s="402" t="s">
        <v>2387</v>
      </c>
      <c r="B168" s="305" t="s">
        <v>157</v>
      </c>
      <c r="C168" s="186" t="s">
        <v>815</v>
      </c>
      <c r="D168" s="174">
        <f>D169</f>
        <v>108245</v>
      </c>
      <c r="E168" s="172">
        <f>E169</f>
        <v>110745.61</v>
      </c>
      <c r="F168" s="172">
        <f t="shared" si="5"/>
        <v>102.31013903644511</v>
      </c>
    </row>
    <row r="169" spans="1:6" ht="25.5">
      <c r="A169" s="400" t="s">
        <v>2453</v>
      </c>
      <c r="B169" s="201" t="s">
        <v>157</v>
      </c>
      <c r="C169" s="9" t="s">
        <v>815</v>
      </c>
      <c r="D169" s="175">
        <v>108245</v>
      </c>
      <c r="E169" s="173">
        <v>110745.61</v>
      </c>
      <c r="F169" s="173">
        <f t="shared" si="5"/>
        <v>102.31013903644511</v>
      </c>
    </row>
    <row r="170" spans="1:6" ht="51">
      <c r="A170" s="402" t="s">
        <v>2388</v>
      </c>
      <c r="B170" s="305" t="s">
        <v>157</v>
      </c>
      <c r="C170" s="186" t="s">
        <v>1492</v>
      </c>
      <c r="D170" s="174">
        <f>D171</f>
        <v>2382334.77</v>
      </c>
      <c r="E170" s="172">
        <f>E171</f>
        <v>1151764.3899999999</v>
      </c>
      <c r="F170" s="172">
        <f t="shared" si="5"/>
        <v>48.346034507988136</v>
      </c>
    </row>
    <row r="171" spans="1:6" ht="38.25">
      <c r="A171" s="400" t="s">
        <v>2388</v>
      </c>
      <c r="B171" s="201" t="s">
        <v>157</v>
      </c>
      <c r="C171" s="9" t="s">
        <v>1492</v>
      </c>
      <c r="D171" s="175">
        <v>2382334.77</v>
      </c>
      <c r="E171" s="173">
        <v>1151764.3899999999</v>
      </c>
      <c r="F171" s="173">
        <f t="shared" si="5"/>
        <v>48.346034507988136</v>
      </c>
    </row>
    <row r="172" spans="1:6" ht="76.5">
      <c r="A172" s="402" t="s">
        <v>2389</v>
      </c>
      <c r="B172" s="305" t="s">
        <v>157</v>
      </c>
      <c r="C172" s="186" t="s">
        <v>1307</v>
      </c>
      <c r="D172" s="174">
        <f>SUM(D173:D174)</f>
        <v>50000</v>
      </c>
      <c r="E172" s="172">
        <f>SUM(E173:E174)</f>
        <v>50000</v>
      </c>
      <c r="F172" s="172">
        <f t="shared" si="5"/>
        <v>100</v>
      </c>
    </row>
    <row r="173" spans="1:6" ht="114.75" hidden="1">
      <c r="A173" s="400" t="s">
        <v>2389</v>
      </c>
      <c r="B173" s="201" t="s">
        <v>157</v>
      </c>
      <c r="C173" s="9" t="s">
        <v>2062</v>
      </c>
      <c r="D173" s="175"/>
      <c r="E173" s="173"/>
      <c r="F173" s="173" t="e">
        <f t="shared" si="5"/>
        <v>#DIV/0!</v>
      </c>
    </row>
    <row r="174" spans="1:6" ht="114.75">
      <c r="A174" s="400" t="s">
        <v>2390</v>
      </c>
      <c r="B174" s="201" t="s">
        <v>157</v>
      </c>
      <c r="C174" s="9" t="s">
        <v>2062</v>
      </c>
      <c r="D174" s="175">
        <v>50000</v>
      </c>
      <c r="E174" s="173">
        <v>50000</v>
      </c>
      <c r="F174" s="173">
        <f t="shared" si="5"/>
        <v>100</v>
      </c>
    </row>
    <row r="175" spans="1:6" ht="51">
      <c r="A175" s="402" t="s">
        <v>2391</v>
      </c>
      <c r="B175" s="305" t="s">
        <v>157</v>
      </c>
      <c r="C175" s="186" t="s">
        <v>320</v>
      </c>
      <c r="D175" s="174">
        <f>D176</f>
        <v>69000</v>
      </c>
      <c r="E175" s="172">
        <f>E176</f>
        <v>69169.7</v>
      </c>
      <c r="F175" s="172">
        <f t="shared" si="5"/>
        <v>100.24594202898551</v>
      </c>
    </row>
    <row r="176" spans="1:6" ht="38.25">
      <c r="A176" s="400" t="s">
        <v>2392</v>
      </c>
      <c r="B176" s="201" t="s">
        <v>157</v>
      </c>
      <c r="C176" s="9" t="s">
        <v>320</v>
      </c>
      <c r="D176" s="175">
        <v>69000</v>
      </c>
      <c r="E176" s="173">
        <v>69169.7</v>
      </c>
      <c r="F176" s="173">
        <f t="shared" si="5"/>
        <v>100.24594202898551</v>
      </c>
    </row>
    <row r="177" spans="1:6" ht="38.25">
      <c r="A177" s="402" t="s">
        <v>2393</v>
      </c>
      <c r="B177" s="305" t="s">
        <v>157</v>
      </c>
      <c r="C177" s="186" t="s">
        <v>2023</v>
      </c>
      <c r="D177" s="174">
        <f>D178</f>
        <v>62000</v>
      </c>
      <c r="E177" s="172">
        <f>E178</f>
        <v>62000</v>
      </c>
      <c r="F177" s="172">
        <f t="shared" si="5"/>
        <v>100</v>
      </c>
    </row>
    <row r="178" spans="1:6" ht="38.25">
      <c r="A178" s="400" t="s">
        <v>2394</v>
      </c>
      <c r="B178" s="201" t="s">
        <v>157</v>
      </c>
      <c r="C178" s="9" t="s">
        <v>2023</v>
      </c>
      <c r="D178" s="175">
        <v>62000</v>
      </c>
      <c r="E178" s="173">
        <v>62000</v>
      </c>
      <c r="F178" s="173">
        <f t="shared" si="5"/>
        <v>100</v>
      </c>
    </row>
    <row r="179" spans="1:6" ht="89.25">
      <c r="A179" s="402" t="s">
        <v>2395</v>
      </c>
      <c r="B179" s="305" t="s">
        <v>157</v>
      </c>
      <c r="C179" s="186" t="s">
        <v>688</v>
      </c>
      <c r="D179" s="174">
        <f>D180+D181</f>
        <v>356420</v>
      </c>
      <c r="E179" s="172">
        <f>E180+E181</f>
        <v>366419.57</v>
      </c>
      <c r="F179" s="172">
        <f t="shared" si="5"/>
        <v>102.80555804949219</v>
      </c>
    </row>
    <row r="180" spans="1:6" ht="76.5" hidden="1">
      <c r="A180" s="400" t="s">
        <v>2395</v>
      </c>
      <c r="B180" s="201" t="s">
        <v>157</v>
      </c>
      <c r="C180" s="9" t="s">
        <v>688</v>
      </c>
      <c r="D180" s="175"/>
      <c r="E180" s="173"/>
      <c r="F180" s="173" t="e">
        <f t="shared" si="5"/>
        <v>#DIV/0!</v>
      </c>
    </row>
    <row r="181" spans="1:6" ht="76.5">
      <c r="A181" s="400" t="s">
        <v>2396</v>
      </c>
      <c r="B181" s="201" t="s">
        <v>157</v>
      </c>
      <c r="C181" s="9" t="s">
        <v>688</v>
      </c>
      <c r="D181" s="175">
        <v>356420</v>
      </c>
      <c r="E181" s="173">
        <v>366419.57</v>
      </c>
      <c r="F181" s="173">
        <f t="shared" si="5"/>
        <v>102.80555804949219</v>
      </c>
    </row>
    <row r="182" spans="1:6" ht="38.25">
      <c r="A182" s="402" t="s">
        <v>2397</v>
      </c>
      <c r="B182" s="305" t="s">
        <v>157</v>
      </c>
      <c r="C182" s="186" t="s">
        <v>2398</v>
      </c>
      <c r="D182" s="174">
        <f>D183</f>
        <v>200000</v>
      </c>
      <c r="E182" s="172">
        <f>E183</f>
        <v>200000</v>
      </c>
      <c r="F182" s="172">
        <f t="shared" si="5"/>
        <v>100</v>
      </c>
    </row>
    <row r="183" spans="1:6" ht="38.25">
      <c r="A183" s="400" t="s">
        <v>2399</v>
      </c>
      <c r="B183" s="201" t="s">
        <v>157</v>
      </c>
      <c r="C183" s="9" t="s">
        <v>2398</v>
      </c>
      <c r="D183" s="175">
        <v>200000</v>
      </c>
      <c r="E183" s="173">
        <v>200000</v>
      </c>
      <c r="F183" s="173">
        <f t="shared" si="5"/>
        <v>100</v>
      </c>
    </row>
    <row r="184" spans="1:6" ht="51">
      <c r="A184" s="402" t="s">
        <v>2400</v>
      </c>
      <c r="B184" s="305" t="s">
        <v>157</v>
      </c>
      <c r="C184" s="186" t="s">
        <v>9</v>
      </c>
      <c r="D184" s="174">
        <f>D185+D187+D186+D188</f>
        <v>2151674</v>
      </c>
      <c r="E184" s="172">
        <f>E185+E187+E186+E188</f>
        <v>2250316.06</v>
      </c>
      <c r="F184" s="172">
        <f t="shared" si="5"/>
        <v>104.58443332958431</v>
      </c>
    </row>
    <row r="185" spans="1:6" ht="38.25">
      <c r="A185" s="400" t="s">
        <v>2400</v>
      </c>
      <c r="B185" s="201" t="s">
        <v>157</v>
      </c>
      <c r="C185" s="9" t="s">
        <v>9</v>
      </c>
      <c r="D185" s="175">
        <v>640000</v>
      </c>
      <c r="E185" s="173">
        <v>586334.29</v>
      </c>
      <c r="F185" s="173">
        <f t="shared" si="5"/>
        <v>91.614732812500009</v>
      </c>
    </row>
    <row r="186" spans="1:6" ht="38.25">
      <c r="A186" s="400" t="s">
        <v>2401</v>
      </c>
      <c r="B186" s="201" t="s">
        <v>157</v>
      </c>
      <c r="C186" s="9" t="s">
        <v>9</v>
      </c>
      <c r="D186" s="175">
        <v>128674</v>
      </c>
      <c r="E186" s="173">
        <v>129673.94</v>
      </c>
      <c r="F186" s="173">
        <f t="shared" si="5"/>
        <v>100.77711114910551</v>
      </c>
    </row>
    <row r="187" spans="1:6" ht="38.25">
      <c r="A187" s="400" t="s">
        <v>2402</v>
      </c>
      <c r="B187" s="201" t="s">
        <v>157</v>
      </c>
      <c r="C187" s="9" t="s">
        <v>9</v>
      </c>
      <c r="D187" s="175">
        <v>1380000</v>
      </c>
      <c r="E187" s="173">
        <v>1526707.83</v>
      </c>
      <c r="F187" s="173">
        <f t="shared" si="5"/>
        <v>110.63100217391305</v>
      </c>
    </row>
    <row r="188" spans="1:6" ht="38.25">
      <c r="A188" s="400" t="s">
        <v>2403</v>
      </c>
      <c r="B188" s="201" t="s">
        <v>157</v>
      </c>
      <c r="C188" s="9" t="s">
        <v>9</v>
      </c>
      <c r="D188" s="175">
        <v>3000</v>
      </c>
      <c r="E188" s="173">
        <v>7600</v>
      </c>
      <c r="F188" s="173">
        <f t="shared" si="5"/>
        <v>253.33333333333331</v>
      </c>
    </row>
    <row r="189" spans="1:6">
      <c r="A189" s="374" t="s">
        <v>2404</v>
      </c>
      <c r="B189" s="375" t="s">
        <v>678</v>
      </c>
      <c r="C189" s="409" t="s">
        <v>2405</v>
      </c>
      <c r="D189" s="174">
        <f>D190+D192</f>
        <v>45360.71</v>
      </c>
      <c r="E189" s="172">
        <f>E190+E192</f>
        <v>267711.3</v>
      </c>
      <c r="F189" s="172">
        <f t="shared" si="5"/>
        <v>590.18322244074227</v>
      </c>
    </row>
    <row r="190" spans="1:6" ht="25.5">
      <c r="A190" s="374" t="s">
        <v>2406</v>
      </c>
      <c r="B190" s="375" t="s">
        <v>678</v>
      </c>
      <c r="C190" s="409" t="s">
        <v>388</v>
      </c>
      <c r="D190" s="174">
        <f>D191</f>
        <v>0</v>
      </c>
      <c r="E190" s="172">
        <f>E191</f>
        <v>222350.59</v>
      </c>
      <c r="F190" s="173"/>
    </row>
    <row r="191" spans="1:6" ht="25.5">
      <c r="A191" s="134" t="s">
        <v>2406</v>
      </c>
      <c r="B191" s="36" t="s">
        <v>678</v>
      </c>
      <c r="C191" s="391" t="s">
        <v>388</v>
      </c>
      <c r="D191" s="175">
        <v>0</v>
      </c>
      <c r="E191" s="173">
        <v>222350.59</v>
      </c>
      <c r="F191" s="173"/>
    </row>
    <row r="192" spans="1:6" ht="25.5">
      <c r="A192" s="402" t="s">
        <v>2407</v>
      </c>
      <c r="B192" s="305" t="s">
        <v>678</v>
      </c>
      <c r="C192" s="408" t="s">
        <v>430</v>
      </c>
      <c r="D192" s="174">
        <f>SUM(D193:D202)</f>
        <v>45360.71</v>
      </c>
      <c r="E192" s="172">
        <f>SUM(E193:E202)</f>
        <v>45360.71</v>
      </c>
      <c r="F192" s="172">
        <f t="shared" si="5"/>
        <v>100</v>
      </c>
    </row>
    <row r="193" spans="1:6" ht="25.5">
      <c r="A193" s="400" t="s">
        <v>2407</v>
      </c>
      <c r="B193" s="201" t="s">
        <v>678</v>
      </c>
      <c r="C193" s="54" t="s">
        <v>430</v>
      </c>
      <c r="D193" s="175">
        <v>45360.71</v>
      </c>
      <c r="E193" s="173">
        <v>45360.71</v>
      </c>
      <c r="F193" s="173">
        <f t="shared" si="5"/>
        <v>100</v>
      </c>
    </row>
    <row r="194" spans="1:6" ht="25.5" hidden="1">
      <c r="A194" s="36" t="s">
        <v>2408</v>
      </c>
      <c r="B194" s="201" t="s">
        <v>678</v>
      </c>
      <c r="C194" s="54" t="s">
        <v>430</v>
      </c>
      <c r="D194" s="175"/>
      <c r="E194" s="220"/>
      <c r="F194" s="173" t="e">
        <f t="shared" si="5"/>
        <v>#DIV/0!</v>
      </c>
    </row>
    <row r="195" spans="1:6" ht="25.5" hidden="1">
      <c r="A195" s="36" t="s">
        <v>2409</v>
      </c>
      <c r="B195" s="201" t="s">
        <v>678</v>
      </c>
      <c r="C195" s="54" t="s">
        <v>430</v>
      </c>
      <c r="D195" s="175"/>
      <c r="E195" s="220"/>
      <c r="F195" s="173" t="e">
        <f t="shared" si="5"/>
        <v>#DIV/0!</v>
      </c>
    </row>
    <row r="196" spans="1:6" ht="25.5" hidden="1">
      <c r="A196" s="36" t="s">
        <v>2410</v>
      </c>
      <c r="B196" s="201" t="s">
        <v>678</v>
      </c>
      <c r="C196" s="54" t="s">
        <v>430</v>
      </c>
      <c r="D196" s="175"/>
      <c r="E196" s="220"/>
      <c r="F196" s="173" t="e">
        <f t="shared" si="5"/>
        <v>#DIV/0!</v>
      </c>
    </row>
    <row r="197" spans="1:6" ht="25.5" hidden="1">
      <c r="A197" s="36" t="s">
        <v>2411</v>
      </c>
      <c r="B197" s="201" t="s">
        <v>678</v>
      </c>
      <c r="C197" s="54" t="s">
        <v>430</v>
      </c>
      <c r="D197" s="175"/>
      <c r="E197" s="220"/>
      <c r="F197" s="173" t="e">
        <f t="shared" si="5"/>
        <v>#DIV/0!</v>
      </c>
    </row>
    <row r="198" spans="1:6" ht="25.5" hidden="1">
      <c r="A198" s="36" t="s">
        <v>2412</v>
      </c>
      <c r="B198" s="201" t="s">
        <v>678</v>
      </c>
      <c r="C198" s="54" t="s">
        <v>430</v>
      </c>
      <c r="D198" s="175"/>
      <c r="E198" s="220"/>
      <c r="F198" s="173" t="e">
        <f t="shared" si="5"/>
        <v>#DIV/0!</v>
      </c>
    </row>
    <row r="199" spans="1:6" ht="25.5" hidden="1">
      <c r="A199" s="36" t="s">
        <v>2413</v>
      </c>
      <c r="B199" s="201" t="s">
        <v>678</v>
      </c>
      <c r="C199" s="54" t="s">
        <v>430</v>
      </c>
      <c r="D199" s="175"/>
      <c r="E199" s="220"/>
      <c r="F199" s="173" t="e">
        <f t="shared" si="5"/>
        <v>#DIV/0!</v>
      </c>
    </row>
    <row r="200" spans="1:6" ht="25.5" hidden="1">
      <c r="A200" s="36" t="s">
        <v>2414</v>
      </c>
      <c r="B200" s="201" t="s">
        <v>678</v>
      </c>
      <c r="C200" s="54" t="s">
        <v>430</v>
      </c>
      <c r="D200" s="175"/>
      <c r="E200" s="220"/>
      <c r="F200" s="173" t="e">
        <f t="shared" si="5"/>
        <v>#DIV/0!</v>
      </c>
    </row>
    <row r="201" spans="1:6" ht="25.5" hidden="1">
      <c r="A201" s="36" t="s">
        <v>2415</v>
      </c>
      <c r="B201" s="201" t="s">
        <v>678</v>
      </c>
      <c r="C201" s="54" t="s">
        <v>430</v>
      </c>
      <c r="D201" s="175"/>
      <c r="E201" s="220"/>
      <c r="F201" s="173" t="e">
        <f t="shared" si="5"/>
        <v>#DIV/0!</v>
      </c>
    </row>
    <row r="202" spans="1:6" ht="25.5" hidden="1">
      <c r="A202" s="36" t="s">
        <v>2416</v>
      </c>
      <c r="B202" s="201" t="s">
        <v>678</v>
      </c>
      <c r="C202" s="54" t="s">
        <v>430</v>
      </c>
      <c r="D202" s="175"/>
      <c r="E202" s="220"/>
      <c r="F202" s="173" t="e">
        <f t="shared" si="5"/>
        <v>#DIV/0!</v>
      </c>
    </row>
    <row r="203" spans="1:6">
      <c r="A203" s="402" t="s">
        <v>2417</v>
      </c>
      <c r="B203" s="305" t="s">
        <v>197</v>
      </c>
      <c r="C203" s="186" t="s">
        <v>115</v>
      </c>
      <c r="D203" s="174">
        <f>D204+D284+D287+D300</f>
        <v>1720579553.5800002</v>
      </c>
      <c r="E203" s="172">
        <f>E204+E284+E287+E300</f>
        <v>1703148560.5499997</v>
      </c>
      <c r="F203" s="172">
        <f t="shared" si="5"/>
        <v>98.986911532586106</v>
      </c>
    </row>
    <row r="204" spans="1:6" ht="38.25">
      <c r="A204" s="402" t="s">
        <v>2418</v>
      </c>
      <c r="B204" s="305" t="s">
        <v>197</v>
      </c>
      <c r="C204" s="186" t="s">
        <v>175</v>
      </c>
      <c r="D204" s="174">
        <f>D205+D207+D209+D246+D277</f>
        <v>1717113872.0700002</v>
      </c>
      <c r="E204" s="172">
        <f>E205+E207+E209+E246+E277</f>
        <v>1699324136.3699999</v>
      </c>
      <c r="F204" s="172">
        <f t="shared" si="5"/>
        <v>98.963974609409306</v>
      </c>
    </row>
    <row r="205" spans="1:6" ht="25.5">
      <c r="A205" s="402" t="s">
        <v>2458</v>
      </c>
      <c r="B205" s="305" t="s">
        <v>197</v>
      </c>
      <c r="C205" s="192" t="s">
        <v>680</v>
      </c>
      <c r="D205" s="174">
        <f>D206</f>
        <v>412575900</v>
      </c>
      <c r="E205" s="172">
        <f>E206</f>
        <v>412575900</v>
      </c>
      <c r="F205" s="172">
        <f t="shared" si="5"/>
        <v>100</v>
      </c>
    </row>
    <row r="206" spans="1:6" ht="25.5">
      <c r="A206" s="400" t="s">
        <v>2459</v>
      </c>
      <c r="B206" s="201" t="s">
        <v>11</v>
      </c>
      <c r="C206" s="193" t="s">
        <v>431</v>
      </c>
      <c r="D206" s="175">
        <v>412575900</v>
      </c>
      <c r="E206" s="173">
        <v>412575900</v>
      </c>
      <c r="F206" s="173">
        <f t="shared" si="5"/>
        <v>100</v>
      </c>
    </row>
    <row r="207" spans="1:6" ht="25.5">
      <c r="A207" s="400" t="s">
        <v>2460</v>
      </c>
      <c r="B207" s="201" t="s">
        <v>11</v>
      </c>
      <c r="C207" s="192" t="s">
        <v>1792</v>
      </c>
      <c r="D207" s="174">
        <f>D208</f>
        <v>158176000</v>
      </c>
      <c r="E207" s="172">
        <f>E208</f>
        <v>158176000</v>
      </c>
      <c r="F207" s="172">
        <f t="shared" si="5"/>
        <v>100</v>
      </c>
    </row>
    <row r="208" spans="1:6" ht="38.25">
      <c r="A208" s="400" t="s">
        <v>2461</v>
      </c>
      <c r="B208" s="201" t="s">
        <v>11</v>
      </c>
      <c r="C208" s="193" t="s">
        <v>432</v>
      </c>
      <c r="D208" s="175">
        <v>158176000</v>
      </c>
      <c r="E208" s="173">
        <v>158176000</v>
      </c>
      <c r="F208" s="173">
        <f t="shared" si="5"/>
        <v>100</v>
      </c>
    </row>
    <row r="209" spans="1:6" s="129" customFormat="1" ht="38.25">
      <c r="A209" s="402" t="s">
        <v>2466</v>
      </c>
      <c r="B209" s="305" t="s">
        <v>11</v>
      </c>
      <c r="C209" s="186" t="s">
        <v>167</v>
      </c>
      <c r="D209" s="174">
        <f>D211+D213+D214+D215+D216+D217+D212+D210</f>
        <v>133020185.09</v>
      </c>
      <c r="E209" s="172">
        <f>E211+E213+E214+E215+E216+E217+E212+E210</f>
        <v>128057841.56000003</v>
      </c>
      <c r="F209" s="172">
        <f t="shared" si="5"/>
        <v>96.269480811019392</v>
      </c>
    </row>
    <row r="210" spans="1:6" s="129" customFormat="1" ht="25.5">
      <c r="A210" s="400" t="s">
        <v>2496</v>
      </c>
      <c r="B210" s="201" t="s">
        <v>11</v>
      </c>
      <c r="C210" s="317" t="s">
        <v>799</v>
      </c>
      <c r="D210" s="175">
        <f>1453648.23+2702455.77</f>
        <v>4156104</v>
      </c>
      <c r="E210" s="173">
        <v>4156104</v>
      </c>
      <c r="F210" s="173">
        <f t="shared" si="5"/>
        <v>100</v>
      </c>
    </row>
    <row r="211" spans="1:6" ht="178.5">
      <c r="A211" s="134" t="s">
        <v>2462</v>
      </c>
      <c r="B211" s="201" t="s">
        <v>11</v>
      </c>
      <c r="C211" s="317" t="s">
        <v>1692</v>
      </c>
      <c r="D211" s="175">
        <f>6058536.71-4123371.62</f>
        <v>1935165.0899999999</v>
      </c>
      <c r="E211" s="173">
        <v>1935165.09</v>
      </c>
      <c r="F211" s="173">
        <f t="shared" si="5"/>
        <v>100.00000000000003</v>
      </c>
    </row>
    <row r="212" spans="1:6" ht="51">
      <c r="A212" s="134" t="s">
        <v>2463</v>
      </c>
      <c r="B212" s="201">
        <v>151</v>
      </c>
      <c r="C212" s="9" t="s">
        <v>1377</v>
      </c>
      <c r="D212" s="175">
        <v>2977209</v>
      </c>
      <c r="E212" s="173">
        <v>2977209</v>
      </c>
      <c r="F212" s="173">
        <f t="shared" ref="F212:F275" si="6">E212/D212*100</f>
        <v>100</v>
      </c>
    </row>
    <row r="213" spans="1:6" ht="76.5">
      <c r="A213" s="134" t="s">
        <v>2464</v>
      </c>
      <c r="B213" s="201">
        <v>151</v>
      </c>
      <c r="C213" s="9" t="s">
        <v>1696</v>
      </c>
      <c r="D213" s="175">
        <v>361700</v>
      </c>
      <c r="E213" s="173">
        <v>361700</v>
      </c>
      <c r="F213" s="173">
        <f t="shared" si="6"/>
        <v>100</v>
      </c>
    </row>
    <row r="214" spans="1:6" ht="76.5">
      <c r="A214" s="134" t="s">
        <v>2465</v>
      </c>
      <c r="B214" s="201">
        <v>151</v>
      </c>
      <c r="C214" s="9" t="s">
        <v>1829</v>
      </c>
      <c r="D214" s="175">
        <v>611100</v>
      </c>
      <c r="E214" s="173">
        <v>611100</v>
      </c>
      <c r="F214" s="173">
        <f t="shared" si="6"/>
        <v>100</v>
      </c>
    </row>
    <row r="215" spans="1:6" s="129" customFormat="1" ht="51" hidden="1">
      <c r="A215" s="134" t="s">
        <v>2419</v>
      </c>
      <c r="B215" s="201" t="s">
        <v>11</v>
      </c>
      <c r="C215" s="9" t="s">
        <v>2191</v>
      </c>
      <c r="D215" s="175"/>
      <c r="E215" s="173"/>
      <c r="F215" s="173" t="e">
        <f t="shared" si="6"/>
        <v>#DIV/0!</v>
      </c>
    </row>
    <row r="216" spans="1:6" s="129" customFormat="1" ht="51" hidden="1">
      <c r="A216" s="134" t="s">
        <v>2420</v>
      </c>
      <c r="B216" s="201" t="s">
        <v>11</v>
      </c>
      <c r="C216" s="9" t="s">
        <v>1377</v>
      </c>
      <c r="D216" s="175"/>
      <c r="E216" s="173"/>
      <c r="F216" s="173" t="e">
        <f t="shared" si="6"/>
        <v>#DIV/0!</v>
      </c>
    </row>
    <row r="217" spans="1:6" s="129" customFormat="1">
      <c r="A217" s="402" t="s">
        <v>2467</v>
      </c>
      <c r="B217" s="305" t="s">
        <v>11</v>
      </c>
      <c r="C217" s="186" t="s">
        <v>70</v>
      </c>
      <c r="D217" s="174">
        <f>D218</f>
        <v>122978907</v>
      </c>
      <c r="E217" s="172">
        <f>E218</f>
        <v>118016563.47000003</v>
      </c>
      <c r="F217" s="172">
        <f t="shared" si="6"/>
        <v>95.964882392392724</v>
      </c>
    </row>
    <row r="218" spans="1:6" ht="25.5">
      <c r="A218" s="402" t="s">
        <v>2468</v>
      </c>
      <c r="B218" s="305" t="s">
        <v>11</v>
      </c>
      <c r="C218" s="186" t="s">
        <v>71</v>
      </c>
      <c r="D218" s="174">
        <f>SUM(D219:D245)</f>
        <v>122978907</v>
      </c>
      <c r="E218" s="172">
        <f>SUM(E219:E245)</f>
        <v>118016563.47000003</v>
      </c>
      <c r="F218" s="172">
        <f t="shared" si="6"/>
        <v>95.964882392392724</v>
      </c>
    </row>
    <row r="219" spans="1:6" ht="102">
      <c r="A219" s="386" t="s">
        <v>2469</v>
      </c>
      <c r="B219" s="387">
        <v>151</v>
      </c>
      <c r="C219" s="9" t="s">
        <v>1841</v>
      </c>
      <c r="D219" s="175">
        <v>30772000</v>
      </c>
      <c r="E219" s="173">
        <v>30772000</v>
      </c>
      <c r="F219" s="173">
        <f t="shared" si="6"/>
        <v>100</v>
      </c>
    </row>
    <row r="220" spans="1:6" ht="102">
      <c r="A220" s="386" t="s">
        <v>2470</v>
      </c>
      <c r="B220" s="387">
        <v>151</v>
      </c>
      <c r="C220" s="9" t="s">
        <v>1852</v>
      </c>
      <c r="D220" s="175">
        <v>503700</v>
      </c>
      <c r="E220" s="173">
        <v>503700</v>
      </c>
      <c r="F220" s="173">
        <f t="shared" si="6"/>
        <v>100</v>
      </c>
    </row>
    <row r="221" spans="1:6" ht="102">
      <c r="A221" s="386" t="s">
        <v>2471</v>
      </c>
      <c r="B221" s="387">
        <v>151</v>
      </c>
      <c r="C221" s="9" t="s">
        <v>1910</v>
      </c>
      <c r="D221" s="175">
        <v>1660100</v>
      </c>
      <c r="E221" s="173">
        <v>1660100</v>
      </c>
      <c r="F221" s="173">
        <f t="shared" si="6"/>
        <v>100</v>
      </c>
    </row>
    <row r="222" spans="1:6" ht="102">
      <c r="A222" s="386" t="s">
        <v>2472</v>
      </c>
      <c r="B222" s="387">
        <v>151</v>
      </c>
      <c r="C222" s="9" t="s">
        <v>1709</v>
      </c>
      <c r="D222" s="175">
        <v>675300</v>
      </c>
      <c r="E222" s="173">
        <v>675300</v>
      </c>
      <c r="F222" s="173">
        <f t="shared" si="6"/>
        <v>100</v>
      </c>
    </row>
    <row r="223" spans="1:6" ht="76.5">
      <c r="A223" s="386" t="s">
        <v>2493</v>
      </c>
      <c r="B223" s="387">
        <v>151</v>
      </c>
      <c r="C223" s="9" t="s">
        <v>1718</v>
      </c>
      <c r="D223" s="173">
        <v>888000</v>
      </c>
      <c r="E223" s="173">
        <v>888000</v>
      </c>
      <c r="F223" s="173">
        <f t="shared" si="6"/>
        <v>100</v>
      </c>
    </row>
    <row r="224" spans="1:6" ht="140.25">
      <c r="A224" s="386" t="s">
        <v>2494</v>
      </c>
      <c r="B224" s="387">
        <v>151</v>
      </c>
      <c r="C224" s="9" t="s">
        <v>1912</v>
      </c>
      <c r="D224" s="173">
        <v>434100</v>
      </c>
      <c r="E224" s="173">
        <v>434100</v>
      </c>
      <c r="F224" s="173">
        <f t="shared" si="6"/>
        <v>100</v>
      </c>
    </row>
    <row r="225" spans="1:6" ht="102">
      <c r="A225" s="386" t="s">
        <v>2473</v>
      </c>
      <c r="B225" s="387">
        <v>151</v>
      </c>
      <c r="C225" s="9" t="s">
        <v>1914</v>
      </c>
      <c r="D225" s="173">
        <v>12531000</v>
      </c>
      <c r="E225" s="173">
        <v>12531000</v>
      </c>
      <c r="F225" s="173">
        <f t="shared" si="6"/>
        <v>100</v>
      </c>
    </row>
    <row r="226" spans="1:6" ht="76.5">
      <c r="A226" s="386" t="s">
        <v>2474</v>
      </c>
      <c r="B226" s="387">
        <v>151</v>
      </c>
      <c r="C226" s="9" t="s">
        <v>1688</v>
      </c>
      <c r="D226" s="173">
        <v>6423600</v>
      </c>
      <c r="E226" s="173">
        <v>6423599.8200000003</v>
      </c>
      <c r="F226" s="173">
        <f t="shared" si="6"/>
        <v>99.999997197832997</v>
      </c>
    </row>
    <row r="227" spans="1:6" ht="89.25">
      <c r="A227" s="386" t="s">
        <v>2475</v>
      </c>
      <c r="B227" s="387">
        <v>151</v>
      </c>
      <c r="C227" s="9" t="s">
        <v>1790</v>
      </c>
      <c r="D227" s="173">
        <v>11940</v>
      </c>
      <c r="E227" s="173">
        <v>10203.700000000001</v>
      </c>
      <c r="F227" s="173">
        <f t="shared" si="6"/>
        <v>85.458123953098834</v>
      </c>
    </row>
    <row r="228" spans="1:6" ht="102">
      <c r="A228" s="386" t="s">
        <v>2476</v>
      </c>
      <c r="B228" s="387">
        <v>151</v>
      </c>
      <c r="C228" s="9" t="s">
        <v>1650</v>
      </c>
      <c r="D228" s="173">
        <v>1176000</v>
      </c>
      <c r="E228" s="173">
        <v>1176000</v>
      </c>
      <c r="F228" s="173">
        <f t="shared" si="6"/>
        <v>100</v>
      </c>
    </row>
    <row r="229" spans="1:6" ht="140.25">
      <c r="A229" s="386" t="s">
        <v>2477</v>
      </c>
      <c r="B229" s="387">
        <v>151</v>
      </c>
      <c r="C229" s="9" t="s">
        <v>1651</v>
      </c>
      <c r="D229" s="173">
        <v>343400</v>
      </c>
      <c r="E229" s="173">
        <v>343400.00000000012</v>
      </c>
      <c r="F229" s="173">
        <f t="shared" si="6"/>
        <v>100.00000000000004</v>
      </c>
    </row>
    <row r="230" spans="1:6" ht="89.25">
      <c r="A230" s="386" t="s">
        <v>2478</v>
      </c>
      <c r="B230" s="387">
        <v>151</v>
      </c>
      <c r="C230" s="9" t="s">
        <v>1916</v>
      </c>
      <c r="D230" s="173">
        <v>97297</v>
      </c>
      <c r="E230" s="173">
        <v>97297</v>
      </c>
      <c r="F230" s="173">
        <f t="shared" si="6"/>
        <v>100</v>
      </c>
    </row>
    <row r="231" spans="1:6" ht="89.25">
      <c r="A231" s="386" t="s">
        <v>2479</v>
      </c>
      <c r="B231" s="387">
        <v>151</v>
      </c>
      <c r="C231" s="9" t="s">
        <v>818</v>
      </c>
      <c r="D231" s="173">
        <v>794700</v>
      </c>
      <c r="E231" s="173">
        <v>794700</v>
      </c>
      <c r="F231" s="173">
        <f t="shared" si="6"/>
        <v>100</v>
      </c>
    </row>
    <row r="232" spans="1:6" ht="216.75">
      <c r="A232" s="386" t="s">
        <v>2480</v>
      </c>
      <c r="B232" s="387">
        <v>151</v>
      </c>
      <c r="C232" s="9" t="s">
        <v>1965</v>
      </c>
      <c r="D232" s="173">
        <v>5756900</v>
      </c>
      <c r="E232" s="173">
        <v>5399994.2800000003</v>
      </c>
      <c r="F232" s="173">
        <f t="shared" si="6"/>
        <v>93.800383539752303</v>
      </c>
    </row>
    <row r="233" spans="1:6" ht="89.25">
      <c r="A233" s="386" t="s">
        <v>2481</v>
      </c>
      <c r="B233" s="387">
        <v>151</v>
      </c>
      <c r="C233" s="9" t="s">
        <v>1654</v>
      </c>
      <c r="D233" s="173">
        <v>0</v>
      </c>
      <c r="E233" s="173">
        <v>0</v>
      </c>
      <c r="F233" s="173" t="e">
        <f t="shared" si="6"/>
        <v>#DIV/0!</v>
      </c>
    </row>
    <row r="234" spans="1:6" ht="89.25">
      <c r="A234" s="386" t="s">
        <v>2482</v>
      </c>
      <c r="B234" s="387">
        <v>151</v>
      </c>
      <c r="C234" s="9" t="s">
        <v>1700</v>
      </c>
      <c r="D234" s="173">
        <v>278800</v>
      </c>
      <c r="E234" s="173">
        <v>278800</v>
      </c>
      <c r="F234" s="173">
        <f t="shared" si="6"/>
        <v>100</v>
      </c>
    </row>
    <row r="235" spans="1:6" ht="89.25">
      <c r="A235" s="386" t="s">
        <v>2495</v>
      </c>
      <c r="B235" s="387">
        <v>151</v>
      </c>
      <c r="C235" s="9" t="s">
        <v>1702</v>
      </c>
      <c r="D235" s="173">
        <v>5912130</v>
      </c>
      <c r="E235" s="173">
        <v>5912130</v>
      </c>
      <c r="F235" s="173">
        <f t="shared" si="6"/>
        <v>100</v>
      </c>
    </row>
    <row r="236" spans="1:6" s="129" customFormat="1" ht="89.25">
      <c r="A236" s="386" t="s">
        <v>2483</v>
      </c>
      <c r="B236" s="387">
        <v>151</v>
      </c>
      <c r="C236" s="9" t="s">
        <v>1707</v>
      </c>
      <c r="D236" s="173">
        <v>29068700</v>
      </c>
      <c r="E236" s="173">
        <v>28817536.649999999</v>
      </c>
      <c r="F236" s="173">
        <f t="shared" si="6"/>
        <v>99.13596634868432</v>
      </c>
    </row>
    <row r="237" spans="1:6" s="129" customFormat="1" ht="127.5">
      <c r="A237" s="386" t="s">
        <v>2484</v>
      </c>
      <c r="B237" s="387">
        <v>151</v>
      </c>
      <c r="C237" s="9" t="s">
        <v>829</v>
      </c>
      <c r="D237" s="173">
        <v>64000</v>
      </c>
      <c r="E237" s="173">
        <v>64000</v>
      </c>
      <c r="F237" s="173">
        <f t="shared" si="6"/>
        <v>100</v>
      </c>
    </row>
    <row r="238" spans="1:6" s="129" customFormat="1" ht="89.25">
      <c r="A238" s="386" t="s">
        <v>2485</v>
      </c>
      <c r="B238" s="387">
        <v>151</v>
      </c>
      <c r="C238" s="9" t="s">
        <v>1788</v>
      </c>
      <c r="D238" s="173">
        <v>5782800</v>
      </c>
      <c r="E238" s="173">
        <v>5782800</v>
      </c>
      <c r="F238" s="173">
        <f t="shared" si="6"/>
        <v>100</v>
      </c>
    </row>
    <row r="239" spans="1:6" s="129" customFormat="1" ht="242.25">
      <c r="A239" s="386" t="s">
        <v>2486</v>
      </c>
      <c r="B239" s="387">
        <v>151</v>
      </c>
      <c r="C239" s="9" t="s">
        <v>1830</v>
      </c>
      <c r="D239" s="173">
        <v>8200000</v>
      </c>
      <c r="E239" s="173">
        <v>7794423.0600000005</v>
      </c>
      <c r="F239" s="173">
        <f t="shared" si="6"/>
        <v>95.053939756097577</v>
      </c>
    </row>
    <row r="240" spans="1:6" s="129" customFormat="1" ht="114.75">
      <c r="A240" s="386" t="s">
        <v>2487</v>
      </c>
      <c r="B240" s="387">
        <v>151</v>
      </c>
      <c r="C240" s="9" t="s">
        <v>1934</v>
      </c>
      <c r="D240" s="173">
        <v>2761000</v>
      </c>
      <c r="E240" s="173">
        <v>0</v>
      </c>
      <c r="F240" s="173">
        <f t="shared" si="6"/>
        <v>0</v>
      </c>
    </row>
    <row r="241" spans="1:6" s="129" customFormat="1" ht="114.75">
      <c r="A241" s="386" t="s">
        <v>2488</v>
      </c>
      <c r="B241" s="387">
        <v>151</v>
      </c>
      <c r="C241" s="9" t="s">
        <v>1938</v>
      </c>
      <c r="D241" s="173">
        <v>1500000</v>
      </c>
      <c r="E241" s="173">
        <v>1500000</v>
      </c>
      <c r="F241" s="173">
        <f t="shared" si="6"/>
        <v>100</v>
      </c>
    </row>
    <row r="242" spans="1:6" s="129" customFormat="1" ht="102">
      <c r="A242" s="386" t="s">
        <v>2489</v>
      </c>
      <c r="B242" s="387">
        <v>151</v>
      </c>
      <c r="C242" s="9" t="s">
        <v>1919</v>
      </c>
      <c r="D242" s="173">
        <v>112700</v>
      </c>
      <c r="E242" s="173">
        <v>92307.6</v>
      </c>
      <c r="F242" s="173">
        <f t="shared" si="6"/>
        <v>81.905590062111813</v>
      </c>
    </row>
    <row r="243" spans="1:6" s="129" customFormat="1" ht="114.75">
      <c r="A243" s="386" t="s">
        <v>2490</v>
      </c>
      <c r="B243" s="387">
        <v>151</v>
      </c>
      <c r="C243" s="9" t="s">
        <v>1854</v>
      </c>
      <c r="D243" s="173">
        <v>3780740</v>
      </c>
      <c r="E243" s="173">
        <v>3431421.54</v>
      </c>
      <c r="F243" s="173">
        <f t="shared" si="6"/>
        <v>90.760579674878457</v>
      </c>
    </row>
    <row r="244" spans="1:6" s="129" customFormat="1" ht="114.75">
      <c r="A244" s="386" t="s">
        <v>2491</v>
      </c>
      <c r="B244" s="387">
        <v>151</v>
      </c>
      <c r="C244" s="9" t="s">
        <v>1847</v>
      </c>
      <c r="D244" s="173">
        <v>350000</v>
      </c>
      <c r="E244" s="173">
        <v>350000</v>
      </c>
      <c r="F244" s="173">
        <f t="shared" si="6"/>
        <v>100</v>
      </c>
    </row>
    <row r="245" spans="1:6" s="129" customFormat="1" ht="140.25">
      <c r="A245" s="386" t="s">
        <v>2492</v>
      </c>
      <c r="B245" s="387">
        <v>151</v>
      </c>
      <c r="C245" s="9" t="s">
        <v>1844</v>
      </c>
      <c r="D245" s="173">
        <v>3100000</v>
      </c>
      <c r="E245" s="173">
        <v>2283749.8200000003</v>
      </c>
      <c r="F245" s="173">
        <f t="shared" si="6"/>
        <v>73.669349032258069</v>
      </c>
    </row>
    <row r="246" spans="1:6" ht="25.5">
      <c r="A246" s="402" t="s">
        <v>2497</v>
      </c>
      <c r="B246" s="205" t="s">
        <v>11</v>
      </c>
      <c r="C246" s="186" t="s">
        <v>91</v>
      </c>
      <c r="D246" s="172">
        <f>D247+D267+D269+D271+D273</f>
        <v>960874777.98000002</v>
      </c>
      <c r="E246" s="172">
        <f>E247+E267+E269+E271+E273</f>
        <v>953249683</v>
      </c>
      <c r="F246" s="172">
        <f t="shared" si="6"/>
        <v>99.206442384091929</v>
      </c>
    </row>
    <row r="247" spans="1:6" ht="38.25">
      <c r="A247" s="402" t="s">
        <v>2498</v>
      </c>
      <c r="B247" s="205" t="s">
        <v>11</v>
      </c>
      <c r="C247" s="192" t="s">
        <v>6</v>
      </c>
      <c r="D247" s="172">
        <f>D248</f>
        <v>806841500</v>
      </c>
      <c r="E247" s="172">
        <f>E248</f>
        <v>803805921</v>
      </c>
      <c r="F247" s="172">
        <f t="shared" si="6"/>
        <v>99.623770096109325</v>
      </c>
    </row>
    <row r="248" spans="1:6" ht="51">
      <c r="A248" s="402" t="s">
        <v>2499</v>
      </c>
      <c r="B248" s="205" t="s">
        <v>11</v>
      </c>
      <c r="C248" s="192" t="s">
        <v>7</v>
      </c>
      <c r="D248" s="172">
        <f>SUM(D249:D266)</f>
        <v>806841500</v>
      </c>
      <c r="E248" s="172">
        <f>SUM(E249:E266)</f>
        <v>803805921</v>
      </c>
      <c r="F248" s="172">
        <f t="shared" si="6"/>
        <v>99.623770096109325</v>
      </c>
    </row>
    <row r="249" spans="1:6" ht="165.75">
      <c r="A249" s="386" t="s">
        <v>2500</v>
      </c>
      <c r="B249" s="203">
        <v>151</v>
      </c>
      <c r="C249" s="317" t="s">
        <v>819</v>
      </c>
      <c r="D249" s="173">
        <v>46039251</v>
      </c>
      <c r="E249" s="173">
        <v>46039251</v>
      </c>
      <c r="F249" s="173">
        <f t="shared" si="6"/>
        <v>100</v>
      </c>
    </row>
    <row r="250" spans="1:6" ht="153">
      <c r="A250" s="386" t="s">
        <v>2501</v>
      </c>
      <c r="B250" s="203">
        <v>151</v>
      </c>
      <c r="C250" s="193" t="s">
        <v>1305</v>
      </c>
      <c r="D250" s="173">
        <v>337500</v>
      </c>
      <c r="E250" s="173">
        <v>337500</v>
      </c>
      <c r="F250" s="173">
        <f t="shared" si="6"/>
        <v>100</v>
      </c>
    </row>
    <row r="251" spans="1:6" ht="114.75">
      <c r="A251" s="386" t="s">
        <v>2502</v>
      </c>
      <c r="B251" s="203">
        <v>151</v>
      </c>
      <c r="C251" s="193" t="s">
        <v>820</v>
      </c>
      <c r="D251" s="173">
        <v>55000</v>
      </c>
      <c r="E251" s="173">
        <v>55000</v>
      </c>
      <c r="F251" s="173">
        <f t="shared" si="6"/>
        <v>100</v>
      </c>
    </row>
    <row r="252" spans="1:6" ht="140.25">
      <c r="A252" s="386" t="s">
        <v>2503</v>
      </c>
      <c r="B252" s="203">
        <v>151</v>
      </c>
      <c r="C252" s="193" t="s">
        <v>821</v>
      </c>
      <c r="D252" s="173">
        <v>524300</v>
      </c>
      <c r="E252" s="173">
        <v>524299.99999999988</v>
      </c>
      <c r="F252" s="173">
        <f t="shared" si="6"/>
        <v>99.999999999999972</v>
      </c>
    </row>
    <row r="253" spans="1:6" ht="204">
      <c r="A253" s="386" t="s">
        <v>2504</v>
      </c>
      <c r="B253" s="203">
        <v>151</v>
      </c>
      <c r="C253" s="269" t="s">
        <v>822</v>
      </c>
      <c r="D253" s="173">
        <v>19004049</v>
      </c>
      <c r="E253" s="173">
        <v>19004049</v>
      </c>
      <c r="F253" s="173">
        <f t="shared" si="6"/>
        <v>100</v>
      </c>
    </row>
    <row r="254" spans="1:6" ht="63.75">
      <c r="A254" s="386" t="s">
        <v>2505</v>
      </c>
      <c r="B254" s="203">
        <v>151</v>
      </c>
      <c r="C254" s="269" t="s">
        <v>823</v>
      </c>
      <c r="D254" s="173">
        <v>178100</v>
      </c>
      <c r="E254" s="173">
        <v>178100</v>
      </c>
      <c r="F254" s="173">
        <f t="shared" si="6"/>
        <v>100</v>
      </c>
    </row>
    <row r="255" spans="1:6" ht="140.25">
      <c r="A255" s="386" t="s">
        <v>2506</v>
      </c>
      <c r="B255" s="203">
        <v>151</v>
      </c>
      <c r="C255" s="9" t="s">
        <v>824</v>
      </c>
      <c r="D255" s="173">
        <v>1160800</v>
      </c>
      <c r="E255" s="173">
        <v>1160800</v>
      </c>
      <c r="F255" s="173">
        <f t="shared" si="6"/>
        <v>100</v>
      </c>
    </row>
    <row r="256" spans="1:6" ht="153">
      <c r="A256" s="386" t="s">
        <v>2507</v>
      </c>
      <c r="B256" s="203">
        <v>151</v>
      </c>
      <c r="C256" s="269" t="s">
        <v>825</v>
      </c>
      <c r="D256" s="173">
        <v>617800</v>
      </c>
      <c r="E256" s="173">
        <v>617800</v>
      </c>
      <c r="F256" s="173">
        <f t="shared" si="6"/>
        <v>100</v>
      </c>
    </row>
    <row r="257" spans="1:6" ht="102">
      <c r="A257" s="386" t="s">
        <v>2508</v>
      </c>
      <c r="B257" s="203">
        <v>151</v>
      </c>
      <c r="C257" s="269" t="s">
        <v>826</v>
      </c>
      <c r="D257" s="173">
        <v>69600</v>
      </c>
      <c r="E257" s="173">
        <v>69600</v>
      </c>
      <c r="F257" s="173">
        <f t="shared" si="6"/>
        <v>100</v>
      </c>
    </row>
    <row r="258" spans="1:6" ht="114.75">
      <c r="A258" s="386" t="s">
        <v>2509</v>
      </c>
      <c r="B258" s="203">
        <v>151</v>
      </c>
      <c r="C258" s="269" t="s">
        <v>827</v>
      </c>
      <c r="D258" s="173">
        <v>1362700</v>
      </c>
      <c r="E258" s="173">
        <v>1271020</v>
      </c>
      <c r="F258" s="173">
        <f t="shared" si="6"/>
        <v>93.272180230424894</v>
      </c>
    </row>
    <row r="259" spans="1:6" s="129" customFormat="1" ht="178.5">
      <c r="A259" s="386" t="s">
        <v>2510</v>
      </c>
      <c r="B259" s="203">
        <v>151</v>
      </c>
      <c r="C259" s="269" t="s">
        <v>828</v>
      </c>
      <c r="D259" s="173">
        <v>382100</v>
      </c>
      <c r="E259" s="173">
        <v>382100</v>
      </c>
      <c r="F259" s="173">
        <f t="shared" si="6"/>
        <v>100</v>
      </c>
    </row>
    <row r="260" spans="1:6" ht="204">
      <c r="A260" s="386" t="s">
        <v>2511</v>
      </c>
      <c r="B260" s="203">
        <v>151</v>
      </c>
      <c r="C260" s="269" t="s">
        <v>830</v>
      </c>
      <c r="D260" s="173">
        <v>356835600</v>
      </c>
      <c r="E260" s="173">
        <v>356821900</v>
      </c>
      <c r="F260" s="173">
        <f t="shared" si="6"/>
        <v>99.996160696970819</v>
      </c>
    </row>
    <row r="261" spans="1:6" ht="114.75">
      <c r="A261" s="386" t="s">
        <v>2512</v>
      </c>
      <c r="B261" s="203">
        <v>151</v>
      </c>
      <c r="C261" s="269" t="s">
        <v>831</v>
      </c>
      <c r="D261" s="173">
        <v>25003900</v>
      </c>
      <c r="E261" s="173">
        <v>25003900</v>
      </c>
      <c r="F261" s="173">
        <f t="shared" si="6"/>
        <v>100</v>
      </c>
    </row>
    <row r="262" spans="1:6" ht="102">
      <c r="A262" s="386" t="s">
        <v>2513</v>
      </c>
      <c r="B262" s="203">
        <v>151</v>
      </c>
      <c r="C262" s="269" t="s">
        <v>832</v>
      </c>
      <c r="D262" s="173">
        <v>190198400</v>
      </c>
      <c r="E262" s="173">
        <v>187391971</v>
      </c>
      <c r="F262" s="173">
        <f t="shared" si="6"/>
        <v>98.524472866228109</v>
      </c>
    </row>
    <row r="263" spans="1:6" ht="153">
      <c r="A263" s="386" t="s">
        <v>2514</v>
      </c>
      <c r="B263" s="203">
        <v>151</v>
      </c>
      <c r="C263" s="193" t="s">
        <v>833</v>
      </c>
      <c r="D263" s="173">
        <v>15624400</v>
      </c>
      <c r="E263" s="173">
        <v>15556100</v>
      </c>
      <c r="F263" s="173">
        <f t="shared" si="6"/>
        <v>99.562863213947423</v>
      </c>
    </row>
    <row r="264" spans="1:6" ht="204">
      <c r="A264" s="386" t="s">
        <v>2515</v>
      </c>
      <c r="B264" s="203">
        <v>151</v>
      </c>
      <c r="C264" s="193" t="s">
        <v>834</v>
      </c>
      <c r="D264" s="173">
        <v>121757800</v>
      </c>
      <c r="E264" s="173">
        <v>121757800</v>
      </c>
      <c r="F264" s="173">
        <f t="shared" si="6"/>
        <v>100</v>
      </c>
    </row>
    <row r="265" spans="1:6" ht="140.25">
      <c r="A265" s="386" t="s">
        <v>2516</v>
      </c>
      <c r="B265" s="203">
        <v>151</v>
      </c>
      <c r="C265" s="193" t="s">
        <v>835</v>
      </c>
      <c r="D265" s="173">
        <v>26666200</v>
      </c>
      <c r="E265" s="173">
        <v>26666200</v>
      </c>
      <c r="F265" s="173">
        <f t="shared" si="6"/>
        <v>100</v>
      </c>
    </row>
    <row r="266" spans="1:6" ht="89.25">
      <c r="A266" s="386" t="s">
        <v>2517</v>
      </c>
      <c r="B266" s="203">
        <v>151</v>
      </c>
      <c r="C266" s="193" t="s">
        <v>836</v>
      </c>
      <c r="D266" s="173">
        <v>1024000</v>
      </c>
      <c r="E266" s="173">
        <v>968530</v>
      </c>
      <c r="F266" s="173">
        <f t="shared" si="6"/>
        <v>94.5830078125</v>
      </c>
    </row>
    <row r="267" spans="1:6" ht="89.25">
      <c r="A267" s="410" t="s">
        <v>2538</v>
      </c>
      <c r="B267" s="205">
        <v>151</v>
      </c>
      <c r="C267" s="192" t="s">
        <v>837</v>
      </c>
      <c r="D267" s="172">
        <f>D268</f>
        <v>10359400</v>
      </c>
      <c r="E267" s="172">
        <f>E268</f>
        <v>7685044.6500000004</v>
      </c>
      <c r="F267" s="172">
        <f t="shared" si="6"/>
        <v>74.18426405004152</v>
      </c>
    </row>
    <row r="268" spans="1:6" ht="89.25">
      <c r="A268" s="386" t="s">
        <v>2539</v>
      </c>
      <c r="B268" s="203">
        <v>151</v>
      </c>
      <c r="C268" s="193" t="s">
        <v>838</v>
      </c>
      <c r="D268" s="173">
        <v>10359400</v>
      </c>
      <c r="E268" s="173">
        <v>7685044.6500000004</v>
      </c>
      <c r="F268" s="173">
        <f t="shared" si="6"/>
        <v>74.18426405004152</v>
      </c>
    </row>
    <row r="269" spans="1:6" ht="114.75">
      <c r="A269" s="410" t="s">
        <v>2540</v>
      </c>
      <c r="B269" s="205">
        <v>151</v>
      </c>
      <c r="C269" s="192" t="s">
        <v>345</v>
      </c>
      <c r="D269" s="172">
        <f>D270</f>
        <v>4131005</v>
      </c>
      <c r="E269" s="172">
        <f>E270</f>
        <v>4076645.37</v>
      </c>
      <c r="F269" s="172">
        <f t="shared" si="6"/>
        <v>98.684106409941407</v>
      </c>
    </row>
    <row r="270" spans="1:6" ht="114.75">
      <c r="A270" s="386" t="s">
        <v>2541</v>
      </c>
      <c r="B270" s="203">
        <v>151</v>
      </c>
      <c r="C270" s="269" t="s">
        <v>785</v>
      </c>
      <c r="D270" s="173">
        <v>4131005</v>
      </c>
      <c r="E270" s="173">
        <v>4076645.37</v>
      </c>
      <c r="F270" s="173">
        <f t="shared" si="6"/>
        <v>98.684106409941407</v>
      </c>
    </row>
    <row r="271" spans="1:6" ht="127.5">
      <c r="A271" s="410" t="s">
        <v>2542</v>
      </c>
      <c r="B271" s="205">
        <v>151</v>
      </c>
      <c r="C271" s="192" t="s">
        <v>1690</v>
      </c>
      <c r="D271" s="172">
        <v>22012.98</v>
      </c>
      <c r="E271" s="172">
        <v>22012.98</v>
      </c>
      <c r="F271" s="172">
        <f t="shared" si="6"/>
        <v>100</v>
      </c>
    </row>
    <row r="272" spans="1:6" ht="127.5">
      <c r="A272" s="386" t="s">
        <v>2543</v>
      </c>
      <c r="B272" s="203">
        <v>151</v>
      </c>
      <c r="C272" s="269" t="s">
        <v>1690</v>
      </c>
      <c r="D272" s="173">
        <v>22012.98</v>
      </c>
      <c r="E272" s="173">
        <v>22012.98</v>
      </c>
      <c r="F272" s="173">
        <f t="shared" si="6"/>
        <v>100</v>
      </c>
    </row>
    <row r="273" spans="1:6">
      <c r="A273" s="410" t="s">
        <v>2544</v>
      </c>
      <c r="B273" s="205">
        <v>151</v>
      </c>
      <c r="C273" s="197" t="s">
        <v>839</v>
      </c>
      <c r="D273" s="172">
        <f>D274</f>
        <v>139520860</v>
      </c>
      <c r="E273" s="172">
        <f>E274</f>
        <v>137660059</v>
      </c>
      <c r="F273" s="172">
        <f t="shared" si="6"/>
        <v>98.666291907891051</v>
      </c>
    </row>
    <row r="274" spans="1:6" ht="25.5">
      <c r="A274" s="410" t="s">
        <v>2545</v>
      </c>
      <c r="B274" s="205">
        <v>151</v>
      </c>
      <c r="C274" s="197" t="s">
        <v>840</v>
      </c>
      <c r="D274" s="172">
        <f>SUM(D275:D276)</f>
        <v>139520860</v>
      </c>
      <c r="E274" s="172">
        <f>SUM(E275:E276)</f>
        <v>137660059</v>
      </c>
      <c r="F274" s="172">
        <f t="shared" si="6"/>
        <v>98.666291907891051</v>
      </c>
    </row>
    <row r="275" spans="1:6" ht="204">
      <c r="A275" s="400" t="s">
        <v>2546</v>
      </c>
      <c r="B275" s="203">
        <v>151</v>
      </c>
      <c r="C275" s="9" t="s">
        <v>841</v>
      </c>
      <c r="D275" s="173">
        <v>67629160</v>
      </c>
      <c r="E275" s="173">
        <v>67629159.670000002</v>
      </c>
      <c r="F275" s="173">
        <f t="shared" si="6"/>
        <v>99.999999512044795</v>
      </c>
    </row>
    <row r="276" spans="1:6" ht="204">
      <c r="A276" s="400" t="s">
        <v>2547</v>
      </c>
      <c r="B276" s="203">
        <v>151</v>
      </c>
      <c r="C276" s="9" t="s">
        <v>843</v>
      </c>
      <c r="D276" s="173">
        <v>71891700</v>
      </c>
      <c r="E276" s="173">
        <v>70030899.329999998</v>
      </c>
      <c r="F276" s="173">
        <f t="shared" ref="F276:F301" si="7">E276/D276*100</f>
        <v>97.411661332253928</v>
      </c>
    </row>
    <row r="277" spans="1:6">
      <c r="A277" s="402" t="s">
        <v>2518</v>
      </c>
      <c r="B277" s="205" t="s">
        <v>11</v>
      </c>
      <c r="C277" s="186" t="s">
        <v>93</v>
      </c>
      <c r="D277" s="172">
        <f>D278+D280</f>
        <v>52467009</v>
      </c>
      <c r="E277" s="172">
        <f>E278+E280</f>
        <v>47264711.810000002</v>
      </c>
      <c r="F277" s="172">
        <f t="shared" si="7"/>
        <v>90.084631677784415</v>
      </c>
    </row>
    <row r="278" spans="1:6" ht="76.5">
      <c r="A278" s="402" t="s">
        <v>2519</v>
      </c>
      <c r="B278" s="205" t="s">
        <v>11</v>
      </c>
      <c r="C278" s="186" t="s">
        <v>266</v>
      </c>
      <c r="D278" s="172">
        <f>D279</f>
        <v>34112977</v>
      </c>
      <c r="E278" s="172">
        <f>E279</f>
        <v>34700679.810000002</v>
      </c>
      <c r="F278" s="172">
        <f t="shared" si="7"/>
        <v>101.72281302215285</v>
      </c>
    </row>
    <row r="279" spans="1:6" ht="63.75">
      <c r="A279" s="400" t="s">
        <v>2519</v>
      </c>
      <c r="B279" s="203">
        <v>151</v>
      </c>
      <c r="C279" s="9" t="s">
        <v>266</v>
      </c>
      <c r="D279" s="173">
        <v>34112977</v>
      </c>
      <c r="E279" s="173">
        <v>34700679.810000002</v>
      </c>
      <c r="F279" s="173">
        <f t="shared" si="7"/>
        <v>101.72281302215285</v>
      </c>
    </row>
    <row r="280" spans="1:6" ht="25.5">
      <c r="A280" s="402" t="s">
        <v>2520</v>
      </c>
      <c r="B280" s="205"/>
      <c r="C280" s="186" t="s">
        <v>1715</v>
      </c>
      <c r="D280" s="172">
        <f>D282+D283+D281</f>
        <v>18354032</v>
      </c>
      <c r="E280" s="172">
        <f>E282+E283+E281</f>
        <v>12564032</v>
      </c>
      <c r="F280" s="172">
        <f t="shared" si="7"/>
        <v>68.453798053746453</v>
      </c>
    </row>
    <row r="281" spans="1:6" ht="25.5">
      <c r="A281" s="400" t="s">
        <v>2536</v>
      </c>
      <c r="B281" s="203" t="s">
        <v>11</v>
      </c>
      <c r="C281" s="9" t="s">
        <v>2537</v>
      </c>
      <c r="D281" s="173">
        <v>11870000</v>
      </c>
      <c r="E281" s="173">
        <v>6080000</v>
      </c>
      <c r="F281" s="173">
        <f t="shared" si="7"/>
        <v>51.221566975568656</v>
      </c>
    </row>
    <row r="282" spans="1:6" ht="165.75">
      <c r="A282" s="400" t="s">
        <v>2521</v>
      </c>
      <c r="B282" s="203">
        <v>151</v>
      </c>
      <c r="C282" s="9" t="s">
        <v>1976</v>
      </c>
      <c r="D282" s="173">
        <v>3312132</v>
      </c>
      <c r="E282" s="173">
        <v>3312132</v>
      </c>
      <c r="F282" s="173">
        <f t="shared" si="7"/>
        <v>100</v>
      </c>
    </row>
    <row r="283" spans="1:6" ht="102">
      <c r="A283" s="400" t="s">
        <v>2522</v>
      </c>
      <c r="B283" s="203">
        <v>151</v>
      </c>
      <c r="C283" s="9" t="s">
        <v>1931</v>
      </c>
      <c r="D283" s="173">
        <v>3171900</v>
      </c>
      <c r="E283" s="173">
        <v>3171900</v>
      </c>
      <c r="F283" s="173">
        <f t="shared" si="7"/>
        <v>100</v>
      </c>
    </row>
    <row r="284" spans="1:6" ht="25.5">
      <c r="A284" s="402" t="s">
        <v>2523</v>
      </c>
      <c r="B284" s="205">
        <v>151</v>
      </c>
      <c r="C284" s="186" t="s">
        <v>406</v>
      </c>
      <c r="D284" s="172">
        <f>D285</f>
        <v>1800000</v>
      </c>
      <c r="E284" s="172">
        <f>E285</f>
        <v>2138150</v>
      </c>
      <c r="F284" s="172">
        <f t="shared" si="7"/>
        <v>118.7861111111111</v>
      </c>
    </row>
    <row r="285" spans="1:6" ht="25.5">
      <c r="A285" s="402" t="s">
        <v>2421</v>
      </c>
      <c r="B285" s="205">
        <v>151</v>
      </c>
      <c r="C285" s="186" t="s">
        <v>406</v>
      </c>
      <c r="D285" s="172">
        <f>D286</f>
        <v>1800000</v>
      </c>
      <c r="E285" s="172">
        <f>E286</f>
        <v>2138150</v>
      </c>
      <c r="F285" s="172">
        <f t="shared" si="7"/>
        <v>118.7861111111111</v>
      </c>
    </row>
    <row r="286" spans="1:6" ht="63.75">
      <c r="A286" s="400" t="s">
        <v>2422</v>
      </c>
      <c r="B286" s="203">
        <v>151</v>
      </c>
      <c r="C286" s="53" t="s">
        <v>408</v>
      </c>
      <c r="D286" s="173">
        <v>1800000</v>
      </c>
      <c r="E286" s="173">
        <v>2138150</v>
      </c>
      <c r="F286" s="173">
        <f t="shared" si="7"/>
        <v>118.7861111111111</v>
      </c>
    </row>
    <row r="287" spans="1:6" ht="63.75">
      <c r="A287" s="402" t="s">
        <v>2527</v>
      </c>
      <c r="B287" s="205" t="s">
        <v>197</v>
      </c>
      <c r="C287" s="411" t="s">
        <v>1722</v>
      </c>
      <c r="D287" s="172">
        <f>D288+D291</f>
        <v>19395735.93</v>
      </c>
      <c r="E287" s="172">
        <f>E288+E291</f>
        <v>19416328.599999998</v>
      </c>
      <c r="F287" s="172">
        <f t="shared" si="7"/>
        <v>100.10617111964359</v>
      </c>
    </row>
    <row r="288" spans="1:6" ht="63.75">
      <c r="A288" s="402" t="s">
        <v>2524</v>
      </c>
      <c r="B288" s="205">
        <v>151</v>
      </c>
      <c r="C288" s="411" t="s">
        <v>1566</v>
      </c>
      <c r="D288" s="172">
        <f>D289+D290</f>
        <v>10011.450000000001</v>
      </c>
      <c r="E288" s="172">
        <f>E289+E290</f>
        <v>10011.450000000001</v>
      </c>
      <c r="F288" s="172">
        <f t="shared" si="7"/>
        <v>100</v>
      </c>
    </row>
    <row r="289" spans="1:6" ht="63.75">
      <c r="A289" s="400" t="s">
        <v>2525</v>
      </c>
      <c r="B289" s="203">
        <v>151</v>
      </c>
      <c r="C289" s="412" t="s">
        <v>1566</v>
      </c>
      <c r="D289" s="173">
        <v>11.45</v>
      </c>
      <c r="E289" s="173">
        <v>11.45</v>
      </c>
      <c r="F289" s="173">
        <f t="shared" si="7"/>
        <v>100</v>
      </c>
    </row>
    <row r="290" spans="1:6" ht="63.75">
      <c r="A290" s="400" t="s">
        <v>2526</v>
      </c>
      <c r="B290" s="203">
        <v>151</v>
      </c>
      <c r="C290" s="412" t="s">
        <v>1566</v>
      </c>
      <c r="D290" s="173">
        <v>10000</v>
      </c>
      <c r="E290" s="173">
        <v>10000</v>
      </c>
      <c r="F290" s="173">
        <f t="shared" si="7"/>
        <v>100</v>
      </c>
    </row>
    <row r="291" spans="1:6" ht="38.25">
      <c r="A291" s="402" t="s">
        <v>2528</v>
      </c>
      <c r="B291" s="319">
        <v>180</v>
      </c>
      <c r="C291" s="186" t="s">
        <v>1725</v>
      </c>
      <c r="D291" s="185">
        <f>D292+D293+D294+D295+D296+D297+D299+D298</f>
        <v>19385724.48</v>
      </c>
      <c r="E291" s="185">
        <f>SUM(E292:E299)</f>
        <v>19406317.149999999</v>
      </c>
      <c r="F291" s="172">
        <f t="shared" si="7"/>
        <v>100.10622595003476</v>
      </c>
    </row>
    <row r="292" spans="1:6" ht="38.25">
      <c r="A292" s="400" t="s">
        <v>2423</v>
      </c>
      <c r="B292" s="8">
        <v>180</v>
      </c>
      <c r="C292" s="9" t="s">
        <v>566</v>
      </c>
      <c r="D292" s="420">
        <v>6389290.9100000001</v>
      </c>
      <c r="E292" s="420">
        <v>6389290.9100000001</v>
      </c>
      <c r="F292" s="173">
        <f t="shared" si="7"/>
        <v>100</v>
      </c>
    </row>
    <row r="293" spans="1:6" ht="38.25">
      <c r="A293" s="400" t="s">
        <v>2424</v>
      </c>
      <c r="B293" s="8">
        <v>180</v>
      </c>
      <c r="C293" s="9" t="s">
        <v>566</v>
      </c>
      <c r="D293" s="420">
        <v>54530.98</v>
      </c>
      <c r="E293" s="420">
        <v>54530.98</v>
      </c>
      <c r="F293" s="173">
        <f t="shared" si="7"/>
        <v>100</v>
      </c>
    </row>
    <row r="294" spans="1:6" ht="38.25">
      <c r="A294" s="400" t="s">
        <v>2529</v>
      </c>
      <c r="B294" s="8">
        <v>180</v>
      </c>
      <c r="C294" s="9" t="s">
        <v>1323</v>
      </c>
      <c r="D294" s="420">
        <f>8883907+261806.25</f>
        <v>9145713.25</v>
      </c>
      <c r="E294" s="420">
        <v>9145713.25</v>
      </c>
      <c r="F294" s="173">
        <f t="shared" si="7"/>
        <v>100</v>
      </c>
    </row>
    <row r="295" spans="1:6" ht="38.25">
      <c r="A295" s="400" t="s">
        <v>2530</v>
      </c>
      <c r="B295" s="8">
        <v>180</v>
      </c>
      <c r="C295" s="9" t="s">
        <v>1323</v>
      </c>
      <c r="D295" s="420">
        <v>3758895.3899999997</v>
      </c>
      <c r="E295" s="420">
        <v>3758895.3899999997</v>
      </c>
      <c r="F295" s="173">
        <f t="shared" si="7"/>
        <v>100</v>
      </c>
    </row>
    <row r="296" spans="1:6" ht="38.25">
      <c r="A296" s="400" t="s">
        <v>2531</v>
      </c>
      <c r="B296" s="8">
        <v>180</v>
      </c>
      <c r="C296" s="9" t="s">
        <v>1323</v>
      </c>
      <c r="D296" s="420">
        <v>1271.3</v>
      </c>
      <c r="E296" s="420">
        <v>14928.330000000002</v>
      </c>
      <c r="F296" s="173">
        <f t="shared" si="7"/>
        <v>1174.2570597026668</v>
      </c>
    </row>
    <row r="297" spans="1:6" ht="38.25">
      <c r="A297" s="400" t="s">
        <v>2532</v>
      </c>
      <c r="B297" s="8">
        <v>180</v>
      </c>
      <c r="C297" s="9" t="s">
        <v>1323</v>
      </c>
      <c r="D297" s="420">
        <v>13967.5</v>
      </c>
      <c r="E297" s="420">
        <v>13967.5</v>
      </c>
      <c r="F297" s="173">
        <f t="shared" si="7"/>
        <v>100</v>
      </c>
    </row>
    <row r="298" spans="1:6" ht="38.25">
      <c r="A298" s="400" t="s">
        <v>2533</v>
      </c>
      <c r="B298" s="8">
        <v>180</v>
      </c>
      <c r="C298" s="9" t="s">
        <v>1323</v>
      </c>
      <c r="D298" s="420">
        <v>22055.15</v>
      </c>
      <c r="E298" s="420">
        <v>22055.15</v>
      </c>
      <c r="F298" s="173">
        <f t="shared" si="7"/>
        <v>100</v>
      </c>
    </row>
    <row r="299" spans="1:6" ht="38.25">
      <c r="A299" s="400" t="s">
        <v>2548</v>
      </c>
      <c r="B299" s="8">
        <v>180</v>
      </c>
      <c r="C299" s="9" t="s">
        <v>1323</v>
      </c>
      <c r="D299" s="420"/>
      <c r="E299" s="420">
        <v>6935.64</v>
      </c>
      <c r="F299" s="173"/>
    </row>
    <row r="300" spans="1:6" ht="38.25">
      <c r="A300" s="402" t="s">
        <v>2534</v>
      </c>
      <c r="B300" s="319">
        <v>151</v>
      </c>
      <c r="C300" s="186" t="s">
        <v>1710</v>
      </c>
      <c r="D300" s="185">
        <f>D301</f>
        <v>-17730054.420000002</v>
      </c>
      <c r="E300" s="185">
        <f>E301</f>
        <v>-17730054.420000002</v>
      </c>
      <c r="F300" s="172">
        <f t="shared" si="7"/>
        <v>100</v>
      </c>
    </row>
    <row r="301" spans="1:6" ht="51">
      <c r="A301" s="400" t="s">
        <v>2535</v>
      </c>
      <c r="B301" s="8">
        <v>151</v>
      </c>
      <c r="C301" s="9" t="s">
        <v>1582</v>
      </c>
      <c r="D301" s="420">
        <v>-17730054.420000002</v>
      </c>
      <c r="E301" s="420">
        <v>-17730054.420000002</v>
      </c>
      <c r="F301" s="173">
        <f t="shared" si="7"/>
        <v>100</v>
      </c>
    </row>
  </sheetData>
  <autoFilter ref="A7:WVP7"/>
  <mergeCells count="8">
    <mergeCell ref="C1:F1"/>
    <mergeCell ref="A2:F2"/>
    <mergeCell ref="A4:A6"/>
    <mergeCell ref="B4:B6"/>
    <mergeCell ref="C4:C6"/>
    <mergeCell ref="D4:D6"/>
    <mergeCell ref="E4:E6"/>
    <mergeCell ref="F4:F6"/>
  </mergeCells>
  <pageMargins left="0.70866141732283472" right="0.27559055118110237" top="0.74803149606299213" bottom="0.74803149606299213"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36</vt:i4>
      </vt:variant>
      <vt:variant>
        <vt:lpstr>Именованные диапазоны</vt:lpstr>
      </vt:variant>
      <vt:variant>
        <vt:i4>143</vt:i4>
      </vt:variant>
    </vt:vector>
  </HeadingPairs>
  <TitlesOfParts>
    <vt:vector size="179" baseType="lpstr">
      <vt:lpstr>Лист3</vt:lpstr>
      <vt:lpstr>Лист2</vt:lpstr>
      <vt:lpstr>Истдеф</vt:lpstr>
      <vt:lpstr>Деф</vt:lpstr>
      <vt:lpstr>АдмДох</vt:lpstr>
      <vt:lpstr>АдмИст</vt:lpstr>
      <vt:lpstr>Норм</vt:lpstr>
      <vt:lpstr>Адм дох</vt:lpstr>
      <vt:lpstr>Дох исп</vt:lpstr>
      <vt:lpstr>Дох </vt:lpstr>
      <vt:lpstr>Вед17</vt:lpstr>
      <vt:lpstr>вед 18-19</vt:lpstr>
      <vt:lpstr>Фун17</vt:lpstr>
      <vt:lpstr>Фун 18-19</vt:lpstr>
      <vt:lpstr>ЦСР 17</vt:lpstr>
      <vt:lpstr>ЦСР 18-19</vt:lpstr>
      <vt:lpstr>публ</vt:lpstr>
      <vt:lpstr>Полн</vt:lpstr>
      <vt:lpstr>сбал</vt:lpstr>
      <vt:lpstr>ФФП</vt:lpstr>
      <vt:lpstr>Молод</vt:lpstr>
      <vt:lpstr>Протоколы</vt:lpstr>
      <vt:lpstr>ВУС</vt:lpstr>
      <vt:lpstr>ак</vt:lpstr>
      <vt:lpstr>Заим</vt:lpstr>
      <vt:lpstr>переселение</vt:lpstr>
      <vt:lpstr>дороги</vt:lpstr>
      <vt:lpstr>дороги кап</vt:lpstr>
      <vt:lpstr>пожарка</vt:lpstr>
      <vt:lpstr>софин</vt:lpstr>
      <vt:lpstr>благоус</vt:lpstr>
      <vt:lpstr>ЗП ДК</vt:lpstr>
      <vt:lpstr>наил показ</vt:lpstr>
      <vt:lpstr>Потенц</vt:lpstr>
      <vt:lpstr>спр</vt:lpstr>
      <vt:lpstr>Лист1</vt:lpstr>
      <vt:lpstr>H1ДК</vt:lpstr>
      <vt:lpstr>H1пожар</vt:lpstr>
      <vt:lpstr>H2ДК</vt:lpstr>
      <vt:lpstr>H2пожар</vt:lpstr>
      <vt:lpstr>АдмДох!год</vt:lpstr>
      <vt:lpstr>год</vt:lpstr>
      <vt:lpstr>АдмДох!Заголовки_для_печати</vt:lpstr>
      <vt:lpstr>АдмИст!Заголовки_для_печати</vt:lpstr>
      <vt:lpstr>'вед 18-19'!Заголовки_для_печати</vt:lpstr>
      <vt:lpstr>Вед17!Заголовки_для_печати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Протоколы!Заголовки_для_печати</vt:lpstr>
      <vt:lpstr>Фун17!Заголовки_для_печати</vt:lpstr>
      <vt:lpstr>ФФП!Заголовки_для_печати</vt:lpstr>
      <vt:lpstr>'ЦСР 17'!Заголовки_для_печати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Н1благ</vt:lpstr>
      <vt:lpstr>АдмДох!Н1вед</vt:lpstr>
      <vt:lpstr>Н1вед</vt:lpstr>
      <vt:lpstr>АдмДох!Н1вед1</vt:lpstr>
      <vt:lpstr>Н1вед1</vt:lpstr>
      <vt:lpstr>Н1вод</vt:lpstr>
      <vt:lpstr>АдмДох!Н1вус</vt:lpstr>
      <vt:lpstr>Н1вус</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Н1наилпок</vt:lpstr>
      <vt:lpstr>Н1Норм</vt:lpstr>
      <vt:lpstr>Н1Перес</vt:lpstr>
      <vt:lpstr>Н1Пересел</vt:lpstr>
      <vt:lpstr>Н1пож</vt:lpstr>
      <vt:lpstr>Н1пожар</vt:lpstr>
      <vt:lpstr>Н1пол</vt:lpstr>
      <vt:lpstr>Н1поощ</vt:lpstr>
      <vt:lpstr>Н1потенц</vt:lpstr>
      <vt:lpstr>АдмДох!Н1Публ</vt:lpstr>
      <vt:lpstr>Н1Публ</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Н2благ</vt:lpstr>
      <vt:lpstr>Н2вед</vt:lpstr>
      <vt:lpstr>Н2вед1</vt:lpstr>
      <vt:lpstr>Н2вод</vt:lpstr>
      <vt:lpstr>Н2вус</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Н2наилпок</vt:lpstr>
      <vt:lpstr>Н2Норм</vt:lpstr>
      <vt:lpstr>Н2Перес</vt:lpstr>
      <vt:lpstr>Н2Пересел</vt:lpstr>
      <vt:lpstr>Н2пож</vt:lpstr>
      <vt:lpstr>Н2пожар</vt:lpstr>
      <vt:lpstr>Н2пол</vt:lpstr>
      <vt:lpstr>Н2поощ</vt:lpstr>
      <vt:lpstr>Н2потенц</vt:lpstr>
      <vt:lpstr>Н2публ</vt:lpstr>
      <vt:lpstr>Н2сбал</vt:lpstr>
      <vt:lpstr>Н2софин</vt:lpstr>
      <vt:lpstr>Н2фун</vt:lpstr>
      <vt:lpstr>Н2фун1</vt:lpstr>
      <vt:lpstr>Н2ффп</vt:lpstr>
      <vt:lpstr>Н2цср</vt:lpstr>
      <vt:lpstr>Н2цср1</vt:lpstr>
      <vt:lpstr>Надох</vt:lpstr>
      <vt:lpstr>АдмДох!Область_печати</vt:lpstr>
      <vt:lpstr>АдмИст!Область_печати</vt:lpstr>
      <vt:lpstr>ак!Область_печати</vt:lpstr>
      <vt:lpstr>'вед 18-19'!Область_печати</vt:lpstr>
      <vt:lpstr>Вед17!Область_печати</vt:lpstr>
      <vt:lpstr>ВУС!Область_печати</vt:lpstr>
      <vt:lpstr>Деф!Область_печати</vt:lpstr>
      <vt:lpstr>'Дох '!Область_печати</vt:lpstr>
      <vt:lpstr>Заим!Область_печати</vt:lpstr>
      <vt:lpstr>'ЗП ДК'!Область_печати</vt:lpstr>
      <vt:lpstr>Молод!Область_печати</vt:lpstr>
      <vt:lpstr>переселение!Область_печати</vt:lpstr>
      <vt:lpstr>пожарка!Область_печати</vt:lpstr>
      <vt:lpstr>Полн!Область_печати</vt:lpstr>
      <vt:lpstr>Протоколы!Область_печати</vt:lpstr>
      <vt:lpstr>публ!Область_печати</vt:lpstr>
      <vt:lpstr>сбал!Область_печати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2018-03-30T07:31:03Z</cp:lastPrinted>
  <dcterms:created xsi:type="dcterms:W3CDTF">2009-03-19T02:39:24Z</dcterms:created>
  <dcterms:modified xsi:type="dcterms:W3CDTF">2018-03-30T07:31:16Z</dcterms:modified>
</cp:coreProperties>
</file>