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checkCompatibility="1"/>
  <bookViews>
    <workbookView xWindow="0" yWindow="8760" windowWidth="5445" windowHeight="10935" tabRatio="956" activeTab="28"/>
  </bookViews>
  <sheets>
    <sheet name="Деф" sheetId="17" r:id="rId1"/>
    <sheet name="АдмДох" sheetId="47" state="hidden" r:id="rId2"/>
    <sheet name="АдмИст" sheetId="23" state="hidden" r:id="rId3"/>
    <sheet name="Норм" sheetId="56" state="hidden" r:id="rId4"/>
    <sheet name="Дох " sheetId="44" r:id="rId5"/>
    <sheet name="Вед19" sheetId="4" r:id="rId6"/>
    <sheet name="вед 20-21" sheetId="45" state="hidden" r:id="rId7"/>
    <sheet name="Фун19" sheetId="3" r:id="rId8"/>
    <sheet name="Фун 20-21" sheetId="48" state="hidden" r:id="rId9"/>
    <sheet name="ЦСР 19" sheetId="50" r:id="rId10"/>
    <sheet name="ЦСР 20-21" sheetId="49" state="hidden" r:id="rId11"/>
    <sheet name="публ" sheetId="26" r:id="rId12"/>
    <sheet name="Полн" sheetId="24" r:id="rId13"/>
    <sheet name="сбал" sheetId="53" r:id="rId14"/>
    <sheet name="ФФП" sheetId="6" r:id="rId15"/>
    <sheet name="Молод" sheetId="18" r:id="rId16"/>
    <sheet name="Протоколы" sheetId="35" r:id="rId17"/>
    <sheet name="ВУС" sheetId="12" r:id="rId18"/>
    <sheet name="ак" sheetId="52" r:id="rId19"/>
    <sheet name="Заим" sheetId="20" r:id="rId20"/>
    <sheet name="потенц" sheetId="59" r:id="rId21"/>
    <sheet name="дороги" sheetId="58" r:id="rId22"/>
    <sheet name="дороги кап" sheetId="60" r:id="rId23"/>
    <sheet name="пожарка" sheetId="62" r:id="rId24"/>
    <sheet name="софин" sheetId="61" r:id="rId25"/>
    <sheet name="благоус" sheetId="63" r:id="rId26"/>
    <sheet name="рег вып" sheetId="65" r:id="rId27"/>
    <sheet name="Муниц ЗП" sheetId="64" r:id="rId28"/>
    <sheet name="окл рег" sheetId="66" r:id="rId29"/>
    <sheet name="спр" sheetId="21" r:id="rId30"/>
    <sheet name="Лист1" sheetId="54" state="hidden" r:id="rId31"/>
  </sheets>
  <externalReferences>
    <externalReference r:id="rId32"/>
  </externalReferences>
  <definedNames>
    <definedName name="_xlnm._FilterDatabase" localSheetId="1" hidden="1">АдмДох!$A$4:$I$317</definedName>
    <definedName name="_xlnm._FilterDatabase" localSheetId="6" hidden="1">'вед 20-21'!$A$6:$I$1085</definedName>
    <definedName name="_xlnm._FilterDatabase" localSheetId="5" hidden="1">Вед19!$A$6:$J$1722</definedName>
    <definedName name="_xlnm._FilterDatabase" localSheetId="4" hidden="1">'Дох '!$A$7:$M$267</definedName>
    <definedName name="_xlnm._FilterDatabase" localSheetId="30" hidden="1">Лист1!$A$1:$B$211</definedName>
    <definedName name="_xlnm._FilterDatabase" localSheetId="29" hidden="1">спр!$A$8:$B$33</definedName>
    <definedName name="_xlnm._FilterDatabase" localSheetId="8" hidden="1">'Фун 20-21'!$A$6:$E$51</definedName>
    <definedName name="_xlnm._FilterDatabase" localSheetId="7" hidden="1">Фун19!$A$6:$D$56</definedName>
    <definedName name="_xlnm._FilterDatabase" localSheetId="9" hidden="1">'ЦСР 19'!$A$6:$E$1647</definedName>
    <definedName name="_xlnm._FilterDatabase" localSheetId="10" hidden="1">'ЦСР 20-21'!$A$6:$F$649</definedName>
    <definedName name="H1ДК">спр!$B$39</definedName>
    <definedName name="H1окл">спр!$B$41</definedName>
    <definedName name="H1пожар">спр!$B$36</definedName>
    <definedName name="H2ДК">спр!$C$39</definedName>
    <definedName name="H2окл">спр!$C$41</definedName>
    <definedName name="H2пожар">спр!$C$36</definedName>
    <definedName name="вцп13">#REF!</definedName>
    <definedName name="вцпПлПер">#REF!</definedName>
    <definedName name="год" localSheetId="1">спр!$B$1</definedName>
    <definedName name="год">спр!$B$1</definedName>
    <definedName name="_xlnm.Print_Titles" localSheetId="1">АдмДох!$4:$4</definedName>
    <definedName name="_xlnm.Print_Titles" localSheetId="2">АдмИст!$6:$6</definedName>
    <definedName name="_xlnm.Print_Titles" localSheetId="6">'вед 20-21'!$5:$6</definedName>
    <definedName name="_xlnm.Print_Titles" localSheetId="5">Вед19!$5:$6</definedName>
    <definedName name="_xlnm.Print_Titles" localSheetId="17">ВУС!$5:$5</definedName>
    <definedName name="_xlnm.Print_Titles" localSheetId="0">Деф!$5:$5</definedName>
    <definedName name="_xlnm.Print_Titles" localSheetId="4">'Дох '!$8:$8</definedName>
    <definedName name="_xlnm.Print_Titles" localSheetId="15">Молод!$5:$5</definedName>
    <definedName name="_xlnm.Print_Titles" localSheetId="12">Полн!$5:$6</definedName>
    <definedName name="_xlnm.Print_Titles" localSheetId="16">Протоколы!$5:$5</definedName>
    <definedName name="_xlnm.Print_Titles" localSheetId="7">Фун19!$5:$6</definedName>
    <definedName name="_xlnm.Print_Titles" localSheetId="14">ФФП!$6:$6</definedName>
    <definedName name="_xlnm.Print_Titles" localSheetId="9">'ЦСР 19'!$5:$6</definedName>
    <definedName name="кбк">#REF!</definedName>
    <definedName name="квр13" localSheetId="1">Вед19!$E$8:$E$575</definedName>
    <definedName name="квр13">Вед19!$E$8:$E$4130</definedName>
    <definedName name="кврПлПер" localSheetId="1">'вед 20-21'!$E$8:$E$361</definedName>
    <definedName name="кврПлПер">'вед 20-21'!$E$8:$E$361</definedName>
    <definedName name="Н1адох" localSheetId="1">спр!$B$11</definedName>
    <definedName name="Н1адох">спр!$B$11</definedName>
    <definedName name="Н1аист" localSheetId="1">спр!$B$12</definedName>
    <definedName name="Н1аист">спр!$B$12</definedName>
    <definedName name="Н1акк">спр!$B$31</definedName>
    <definedName name="Н1Бл">#REF!</definedName>
    <definedName name="Н1благ">спр!$B$38</definedName>
    <definedName name="Н1вед" localSheetId="1">спр!$B$15</definedName>
    <definedName name="Н1вед">спр!$B$15</definedName>
    <definedName name="Н1вед1" localSheetId="1">спр!$B$16</definedName>
    <definedName name="Н1вед1">спр!$B$16</definedName>
    <definedName name="Н1вод">спр!$B$36</definedName>
    <definedName name="Н1вус" localSheetId="1">спр!$B$28</definedName>
    <definedName name="Н1вус">спр!$B$28</definedName>
    <definedName name="Н1вцп" localSheetId="1">спр!#REF!</definedName>
    <definedName name="Н1вцп">спр!#REF!</definedName>
    <definedName name="Н1гранты">спр!$B$36</definedName>
    <definedName name="Н1деф" localSheetId="1">спр!$B$10</definedName>
    <definedName name="Н1деф">спр!$B$10</definedName>
    <definedName name="Н1Дор" localSheetId="1">#REF!</definedName>
    <definedName name="Н1Дор">спр!$B$32</definedName>
    <definedName name="Н1доркап">спр!$B$34</definedName>
    <definedName name="Н1Дороги">спр!$B$33</definedName>
    <definedName name="Н1дох" localSheetId="1">спр!$B$14</definedName>
    <definedName name="Н1дох">спр!$B$14</definedName>
    <definedName name="Н1займ" localSheetId="1">спр!#REF!</definedName>
    <definedName name="Н1займ">спр!$B$30</definedName>
    <definedName name="Н1инв" localSheetId="1">#REF!</definedName>
    <definedName name="Н1инв">спр!#REF!</definedName>
    <definedName name="Н1ком" localSheetId="1">спр!#REF!</definedName>
    <definedName name="Н1ком">спр!$B$26</definedName>
    <definedName name="Н1Мдор">#REF!</definedName>
    <definedName name="Н1метвус" localSheetId="1">#REF!</definedName>
    <definedName name="Н1метвус">спр!$B$29</definedName>
    <definedName name="Н1мин">спр!$B$35</definedName>
    <definedName name="Н1мол" localSheetId="1">спр!#REF!</definedName>
    <definedName name="Н1мол">спр!$B$25</definedName>
    <definedName name="Н1нал">#REF!</definedName>
    <definedName name="Н1Норм">спр!$B$13</definedName>
    <definedName name="Н1Перес">спр!$B$32</definedName>
    <definedName name="Н1Пересел">спр!$B$32</definedName>
    <definedName name="Н1пож" localSheetId="1">#REF!</definedName>
    <definedName name="Н1пож">спр!$B$33</definedName>
    <definedName name="Н1пожар">спр!$B$36</definedName>
    <definedName name="Н1пол" localSheetId="1">спр!#REF!</definedName>
    <definedName name="Н1пол">спр!$B$22</definedName>
    <definedName name="Н1поощ">спр!$B$34</definedName>
    <definedName name="Н1Пот" localSheetId="1">спр!#REF!</definedName>
    <definedName name="Н1Пот">спр!#REF!</definedName>
    <definedName name="Н1потенц">спр!$B$40</definedName>
    <definedName name="Н1Публ" localSheetId="1">спр!$B$21</definedName>
    <definedName name="Н1Публ">спр!$B$21</definedName>
    <definedName name="Н1рцп" localSheetId="1">#REF!</definedName>
    <definedName name="Н1рцп">спр!#REF!</definedName>
    <definedName name="Н1сбал" localSheetId="1">спр!#REF!</definedName>
    <definedName name="Н1сбал">спр!$B$23</definedName>
    <definedName name="Н1софин">спр!$B$35</definedName>
    <definedName name="Н1фун" localSheetId="1">спр!#REF!</definedName>
    <definedName name="Н1фун">спр!$B$17</definedName>
    <definedName name="Н1фун1">спр!$B$18</definedName>
    <definedName name="Н1ффп" localSheetId="1">спр!$B$24</definedName>
    <definedName name="Н1ффп">спр!$B$24</definedName>
    <definedName name="Н1цср">спр!$B$19</definedName>
    <definedName name="Н1цср1">спр!$B$20</definedName>
    <definedName name="Н1эф">#REF!</definedName>
    <definedName name="Н2адох">спр!$C$11</definedName>
    <definedName name="Н2аист">спр!$C$12</definedName>
    <definedName name="Н2акк">спр!$C$31</definedName>
    <definedName name="Н2Бл">#REF!</definedName>
    <definedName name="Н2благ">спр!$C$38</definedName>
    <definedName name="Н2вед">спр!$C$15</definedName>
    <definedName name="Н2вед1">спр!$C$16</definedName>
    <definedName name="Н2вод">спр!$C$36</definedName>
    <definedName name="Н2вус">спр!$C$28</definedName>
    <definedName name="Н2вцп">#REF!</definedName>
    <definedName name="Н2гранты">спр!$C$36</definedName>
    <definedName name="Н2деф">спр!$C$10</definedName>
    <definedName name="Н2дор">спр!$C$32</definedName>
    <definedName name="Н2доркап">спр!$C$34</definedName>
    <definedName name="Н2Дороги">спр!$C$33</definedName>
    <definedName name="Н2дох">спр!$C$14</definedName>
    <definedName name="Н2займ">спр!$C$30</definedName>
    <definedName name="Н2инв">#REF!</definedName>
    <definedName name="Н2ком">спр!$C$26</definedName>
    <definedName name="Н2Мдор">#REF!</definedName>
    <definedName name="Н2метвус">спр!$C$29</definedName>
    <definedName name="Н2мин">спр!$C$35</definedName>
    <definedName name="Н2мол">спр!$C$25</definedName>
    <definedName name="Н2нал">#REF!</definedName>
    <definedName name="Н2Норм">спр!$C$13</definedName>
    <definedName name="Н2Перес">спр!$C$32</definedName>
    <definedName name="Н2Пересел">спр!$C$32</definedName>
    <definedName name="Н2пож">спр!$C$33</definedName>
    <definedName name="Н2пожар">спр!$C$35</definedName>
    <definedName name="Н2пол">спр!$C$22</definedName>
    <definedName name="Н2поощ">спр!$C$34</definedName>
    <definedName name="Н2потенц">спр!$C$40</definedName>
    <definedName name="Н2публ">спр!$C$21</definedName>
    <definedName name="Н2рцп">#REF!</definedName>
    <definedName name="Н2сбал">спр!$C$23</definedName>
    <definedName name="Н2софин">спр!$C$35</definedName>
    <definedName name="Н2фун">спр!$C$17</definedName>
    <definedName name="Н2фун1">спр!$C$18</definedName>
    <definedName name="Н2ффп">спр!$C$24</definedName>
    <definedName name="Н2цср">спр!$C$19</definedName>
    <definedName name="Н2цср1">спр!$C$20</definedName>
    <definedName name="Н2эф">#REF!</definedName>
    <definedName name="Надох" localSheetId="1">#REF!</definedName>
    <definedName name="Надох">спр!$B$11</definedName>
    <definedName name="_xlnm.Print_Area" localSheetId="1">АдмДох!$A:$D</definedName>
    <definedName name="_xlnm.Print_Area" localSheetId="2">АдмИст!$A:$D</definedName>
    <definedName name="_xlnm.Print_Area" localSheetId="25">благоус!$A$2:$D$10</definedName>
    <definedName name="_xlnm.Print_Area" localSheetId="6">'вед 20-21'!$A:$G</definedName>
    <definedName name="_xlnm.Print_Area" localSheetId="5">Вед19!$A$2:$H$1722</definedName>
    <definedName name="_xlnm.Print_Area" localSheetId="17">ВУС!$A$2:$D$23</definedName>
    <definedName name="_xlnm.Print_Area" localSheetId="0">Деф!$A:$E</definedName>
    <definedName name="_xlnm.Print_Area" localSheetId="21">дороги!$A$2:$D$24</definedName>
    <definedName name="_xlnm.Print_Area" localSheetId="22">'дороги кап'!$A$2:$E$12</definedName>
    <definedName name="_xlnm.Print_Area" localSheetId="4">'Дох '!$A$1:$K$267</definedName>
    <definedName name="_xlnm.Print_Area" localSheetId="19">Заим!$A:$D</definedName>
    <definedName name="_xlnm.Print_Area" localSheetId="15">Молод!$A:$D</definedName>
    <definedName name="_xlnm.Print_Area" localSheetId="27">'Муниц ЗП'!$A$2:$D$24</definedName>
    <definedName name="_xlnm.Print_Area" localSheetId="28">'окл рег'!$A$2:$D$24</definedName>
    <definedName name="_xlnm.Print_Area" localSheetId="23">пожарка!$A$2:$D$25</definedName>
    <definedName name="_xlnm.Print_Area" localSheetId="12">Полн!$A:$F</definedName>
    <definedName name="_xlnm.Print_Area" localSheetId="20">потенц!$A$2:$E$9</definedName>
    <definedName name="_xlnm.Print_Area" localSheetId="16">Протоколы!$A:$E</definedName>
    <definedName name="_xlnm.Print_Area" localSheetId="11">публ!$A:$F</definedName>
    <definedName name="_xlnm.Print_Area" localSheetId="26">'рег вып'!$A$2:$F$25</definedName>
    <definedName name="_xlnm.Print_Area" localSheetId="13">сбал!$A$1:$D$24</definedName>
    <definedName name="_xlnm.Print_Area" localSheetId="14">ФФП!$A:$D</definedName>
    <definedName name="_xlnm.Print_Area" localSheetId="9">'ЦСР 19'!$A$2:$G$1647</definedName>
    <definedName name="ПлПер" localSheetId="1">спр!$B$2</definedName>
    <definedName name="ПлПер">спр!$B$2</definedName>
    <definedName name="Р1дата" localSheetId="1">спр!$B$3</definedName>
    <definedName name="Р1дата">спр!$B$3</definedName>
    <definedName name="Р1номер" localSheetId="1">спр!$B$4</definedName>
    <definedName name="Р1номер">спр!$B$4</definedName>
    <definedName name="Р2дата">спр!$B$5</definedName>
    <definedName name="Р2номер">спр!$B$6</definedName>
    <definedName name="РзПз" localSheetId="1">Вед19!$I$8:$I$9038</definedName>
    <definedName name="РзПз">Вед19!$I$8:$I$9241</definedName>
    <definedName name="РзПзПлПер" localSheetId="1">'вед 20-21'!$H$8:$H$459</definedName>
    <definedName name="РзПзПлПер">'вед 20-21'!$H$8:$H$4712</definedName>
    <definedName name="спрВЦП">#REF!</definedName>
    <definedName name="сум" localSheetId="1">#REF!</definedName>
    <definedName name="сум">#REF!</definedName>
    <definedName name="СумВед" localSheetId="1">Вед19!$F$8:$F$4518</definedName>
    <definedName name="СумВед">Вед19!$F$8:$F$5730</definedName>
    <definedName name="СумВед14" localSheetId="1">'вед 20-21'!$F$8:$F$361</definedName>
    <definedName name="СумВед14">'вед 20-21'!$F$8:$F$361</definedName>
    <definedName name="СумВед15" localSheetId="1">'вед 20-21'!$G$8:$G$361</definedName>
    <definedName name="СумВед15">'вед 20-21'!$G$8:$G$361</definedName>
    <definedName name="сумма13">#REF!</definedName>
    <definedName name="цср">Лист1!$A$2:$B$211</definedName>
    <definedName name="цср1">Лист1!$A$2:$B$2840</definedName>
  </definedNames>
  <calcPr calcId="125725"/>
</workbook>
</file>

<file path=xl/calcChain.xml><?xml version="1.0" encoding="utf-8"?>
<calcChain xmlns="http://schemas.openxmlformats.org/spreadsheetml/2006/main">
  <c r="A4" i="66"/>
  <c r="D8"/>
  <c r="D9"/>
  <c r="D10"/>
  <c r="D11"/>
  <c r="D12"/>
  <c r="D13"/>
  <c r="D14"/>
  <c r="D15"/>
  <c r="D16"/>
  <c r="D17"/>
  <c r="D18"/>
  <c r="D19"/>
  <c r="D20"/>
  <c r="D21"/>
  <c r="D22"/>
  <c r="D23"/>
  <c r="D24"/>
  <c r="D7"/>
  <c r="C7"/>
  <c r="D7" i="64"/>
  <c r="D8"/>
  <c r="D9"/>
  <c r="D10"/>
  <c r="D11"/>
  <c r="D12"/>
  <c r="D13"/>
  <c r="D14"/>
  <c r="D15"/>
  <c r="D16"/>
  <c r="D17"/>
  <c r="D18"/>
  <c r="D19"/>
  <c r="D20"/>
  <c r="D21"/>
  <c r="D22"/>
  <c r="D23"/>
  <c r="D24"/>
  <c r="D6"/>
  <c r="C6"/>
  <c r="A3"/>
  <c r="E7" i="61"/>
  <c r="E8"/>
  <c r="E9"/>
  <c r="E10"/>
  <c r="E11"/>
  <c r="E12"/>
  <c r="E13"/>
  <c r="E14"/>
  <c r="E15"/>
  <c r="E16"/>
  <c r="E17"/>
  <c r="E18"/>
  <c r="E19"/>
  <c r="E20"/>
  <c r="E21"/>
  <c r="E22"/>
  <c r="E23"/>
  <c r="E24"/>
  <c r="E25"/>
  <c r="E26"/>
  <c r="E27"/>
  <c r="E28"/>
  <c r="E29"/>
  <c r="E6"/>
  <c r="D6"/>
  <c r="F8" i="65"/>
  <c r="F9"/>
  <c r="F10"/>
  <c r="F11"/>
  <c r="F12"/>
  <c r="F13"/>
  <c r="F14"/>
  <c r="F15"/>
  <c r="F16"/>
  <c r="F17"/>
  <c r="F18"/>
  <c r="F19"/>
  <c r="F20"/>
  <c r="F21"/>
  <c r="F22"/>
  <c r="F23"/>
  <c r="F24"/>
  <c r="F25"/>
  <c r="F7"/>
  <c r="C7"/>
  <c r="D7"/>
  <c r="E7"/>
  <c r="E25"/>
  <c r="E24"/>
  <c r="E23"/>
  <c r="E22"/>
  <c r="E21"/>
  <c r="E19"/>
  <c r="E18"/>
  <c r="E17"/>
  <c r="E15"/>
  <c r="E13"/>
  <c r="E12"/>
  <c r="E9"/>
  <c r="E8"/>
  <c r="D7" i="63" l="1"/>
  <c r="D8"/>
  <c r="D9"/>
  <c r="D10"/>
  <c r="D6"/>
  <c r="C6"/>
  <c r="B3" i="61"/>
  <c r="F12" i="26" l="1"/>
  <c r="F7"/>
  <c r="F8"/>
  <c r="F9"/>
  <c r="F10"/>
  <c r="F11"/>
  <c r="F6"/>
  <c r="E9"/>
  <c r="A3"/>
  <c r="D8" i="62" l="1"/>
  <c r="D9"/>
  <c r="D10"/>
  <c r="D11"/>
  <c r="D12"/>
  <c r="D13"/>
  <c r="D14"/>
  <c r="D15"/>
  <c r="D16"/>
  <c r="D17"/>
  <c r="D18"/>
  <c r="D19"/>
  <c r="D20"/>
  <c r="D21"/>
  <c r="D22"/>
  <c r="D23"/>
  <c r="D24"/>
  <c r="D25"/>
  <c r="D7"/>
  <c r="C7"/>
  <c r="C10" i="58"/>
  <c r="C8"/>
  <c r="B10"/>
  <c r="D10" s="1"/>
  <c r="B8"/>
  <c r="A4" i="62"/>
  <c r="E7" i="60"/>
  <c r="E8"/>
  <c r="E9"/>
  <c r="E10"/>
  <c r="E11"/>
  <c r="E12"/>
  <c r="E6"/>
  <c r="D6"/>
  <c r="D8" i="58"/>
  <c r="D9"/>
  <c r="D11"/>
  <c r="D12"/>
  <c r="D13"/>
  <c r="D14"/>
  <c r="D15"/>
  <c r="D16"/>
  <c r="D17"/>
  <c r="D18"/>
  <c r="D19"/>
  <c r="D20"/>
  <c r="D21"/>
  <c r="D22"/>
  <c r="D23"/>
  <c r="D24"/>
  <c r="D7"/>
  <c r="C6"/>
  <c r="E6" i="59"/>
  <c r="E8"/>
  <c r="E9"/>
  <c r="E7"/>
  <c r="D6"/>
  <c r="D6" i="52" l="1"/>
  <c r="D8"/>
  <c r="D9"/>
  <c r="D10"/>
  <c r="D11"/>
  <c r="D7"/>
  <c r="C11"/>
  <c r="C10"/>
  <c r="C9"/>
  <c r="C8"/>
  <c r="C7"/>
  <c r="A3"/>
  <c r="D6" i="12"/>
  <c r="D8"/>
  <c r="D9"/>
  <c r="D10"/>
  <c r="D11"/>
  <c r="D12"/>
  <c r="D13"/>
  <c r="D14"/>
  <c r="D15"/>
  <c r="D16"/>
  <c r="D17"/>
  <c r="D18"/>
  <c r="D19"/>
  <c r="D20"/>
  <c r="D21"/>
  <c r="D22"/>
  <c r="D23"/>
  <c r="D7"/>
  <c r="C23"/>
  <c r="C22"/>
  <c r="C21"/>
  <c r="C20"/>
  <c r="C19"/>
  <c r="C18"/>
  <c r="C17"/>
  <c r="C16"/>
  <c r="C15"/>
  <c r="C14"/>
  <c r="C13"/>
  <c r="C12"/>
  <c r="C11"/>
  <c r="C10"/>
  <c r="C9"/>
  <c r="C8"/>
  <c r="C7"/>
  <c r="A3"/>
  <c r="E6" i="35"/>
  <c r="E8"/>
  <c r="E9"/>
  <c r="E10"/>
  <c r="E11"/>
  <c r="E12"/>
  <c r="E13"/>
  <c r="E14"/>
  <c r="E15"/>
  <c r="E16"/>
  <c r="E17"/>
  <c r="E18"/>
  <c r="E19"/>
  <c r="E20"/>
  <c r="E21"/>
  <c r="E22"/>
  <c r="E23"/>
  <c r="E24"/>
  <c r="E7"/>
  <c r="D6" i="18" l="1"/>
  <c r="D8"/>
  <c r="D9"/>
  <c r="D10"/>
  <c r="D11"/>
  <c r="D12"/>
  <c r="D13"/>
  <c r="D14"/>
  <c r="D15"/>
  <c r="D16"/>
  <c r="D17"/>
  <c r="D18"/>
  <c r="D19"/>
  <c r="D20"/>
  <c r="D21"/>
  <c r="D22"/>
  <c r="D23"/>
  <c r="D24"/>
  <c r="D7"/>
  <c r="C13"/>
  <c r="C11"/>
  <c r="C10"/>
  <c r="A3"/>
  <c r="C45" i="6"/>
  <c r="D45"/>
  <c r="B45"/>
  <c r="B47"/>
  <c r="C47"/>
  <c r="D47"/>
  <c r="B48"/>
  <c r="C48"/>
  <c r="D48"/>
  <c r="B49"/>
  <c r="C49"/>
  <c r="B50"/>
  <c r="C50"/>
  <c r="D50"/>
  <c r="B51"/>
  <c r="C51"/>
  <c r="D51"/>
  <c r="B52"/>
  <c r="C52"/>
  <c r="D52"/>
  <c r="B53"/>
  <c r="C53"/>
  <c r="D53"/>
  <c r="B54"/>
  <c r="C54"/>
  <c r="D54"/>
  <c r="B55"/>
  <c r="C55"/>
  <c r="D55"/>
  <c r="B56"/>
  <c r="C56"/>
  <c r="D56"/>
  <c r="B57"/>
  <c r="C57"/>
  <c r="D57"/>
  <c r="B58"/>
  <c r="C58"/>
  <c r="D58"/>
  <c r="B59"/>
  <c r="C59"/>
  <c r="B60"/>
  <c r="C60"/>
  <c r="D60"/>
  <c r="B61"/>
  <c r="C61"/>
  <c r="D61"/>
  <c r="B62"/>
  <c r="C62"/>
  <c r="D62"/>
  <c r="B63"/>
  <c r="C63"/>
  <c r="D63"/>
  <c r="C46"/>
  <c r="D46"/>
  <c r="B46"/>
  <c r="A3"/>
  <c r="D6" i="53"/>
  <c r="D8"/>
  <c r="D9"/>
  <c r="D10"/>
  <c r="D11"/>
  <c r="D12"/>
  <c r="D13"/>
  <c r="D14"/>
  <c r="D15"/>
  <c r="D16"/>
  <c r="D17"/>
  <c r="D18"/>
  <c r="D19"/>
  <c r="D20"/>
  <c r="D21"/>
  <c r="D22"/>
  <c r="D23"/>
  <c r="D24"/>
  <c r="D7"/>
  <c r="C24"/>
  <c r="C23"/>
  <c r="C22"/>
  <c r="C19"/>
  <c r="C18"/>
  <c r="C14"/>
  <c r="C13"/>
  <c r="C12"/>
  <c r="C11"/>
  <c r="C9"/>
  <c r="C8"/>
  <c r="C7"/>
  <c r="A3"/>
  <c r="A3" i="24"/>
  <c r="C45"/>
  <c r="D45"/>
  <c r="E45"/>
  <c r="F45"/>
  <c r="B45"/>
  <c r="F49"/>
  <c r="E47"/>
  <c r="E48"/>
  <c r="E50"/>
  <c r="E51"/>
  <c r="E52"/>
  <c r="E53"/>
  <c r="E54"/>
  <c r="E55"/>
  <c r="E56"/>
  <c r="E57"/>
  <c r="E58"/>
  <c r="E59"/>
  <c r="E60"/>
  <c r="E61"/>
  <c r="E62"/>
  <c r="D48"/>
  <c r="C47"/>
  <c r="C48"/>
  <c r="C49"/>
  <c r="C50"/>
  <c r="C51"/>
  <c r="C52"/>
  <c r="C53"/>
  <c r="C54"/>
  <c r="C55"/>
  <c r="C56"/>
  <c r="C57"/>
  <c r="C58"/>
  <c r="C59"/>
  <c r="C60"/>
  <c r="C61"/>
  <c r="C62"/>
  <c r="C63"/>
  <c r="C46"/>
  <c r="E46"/>
  <c r="B47"/>
  <c r="B48"/>
  <c r="B49"/>
  <c r="B50"/>
  <c r="B51"/>
  <c r="B52"/>
  <c r="B53"/>
  <c r="B54"/>
  <c r="B55"/>
  <c r="B56"/>
  <c r="B57"/>
  <c r="B58"/>
  <c r="B59"/>
  <c r="B60"/>
  <c r="B61"/>
  <c r="B62"/>
  <c r="B63"/>
  <c r="B46"/>
  <c r="C44"/>
  <c r="B44" s="1"/>
  <c r="C43"/>
  <c r="B43"/>
  <c r="C42"/>
  <c r="B42" s="1"/>
  <c r="C41"/>
  <c r="B41"/>
  <c r="C40"/>
  <c r="B40" s="1"/>
  <c r="C39"/>
  <c r="B39"/>
  <c r="C38"/>
  <c r="B38" s="1"/>
  <c r="C37"/>
  <c r="B37"/>
  <c r="C36"/>
  <c r="B36" s="1"/>
  <c r="C35"/>
  <c r="B35"/>
  <c r="C34"/>
  <c r="B34" s="1"/>
  <c r="C33"/>
  <c r="B33"/>
  <c r="C32"/>
  <c r="B32" s="1"/>
  <c r="C31"/>
  <c r="B31"/>
  <c r="C30"/>
  <c r="B30" s="1"/>
  <c r="D29"/>
  <c r="C29"/>
  <c r="B29"/>
  <c r="C28"/>
  <c r="B28" s="1"/>
  <c r="C27"/>
  <c r="B27"/>
  <c r="D7" i="20"/>
  <c r="D8"/>
  <c r="D9"/>
  <c r="D10"/>
  <c r="D11"/>
  <c r="D6"/>
  <c r="A3"/>
  <c r="G392" i="4"/>
  <c r="G391" s="1"/>
  <c r="F7" i="50"/>
  <c r="G7" s="1"/>
  <c r="G9"/>
  <c r="G10"/>
  <c r="G14"/>
  <c r="G15"/>
  <c r="G16"/>
  <c r="G17"/>
  <c r="G18"/>
  <c r="G19"/>
  <c r="G20"/>
  <c r="G21"/>
  <c r="G22"/>
  <c r="G23"/>
  <c r="G24"/>
  <c r="G25"/>
  <c r="G26"/>
  <c r="G27"/>
  <c r="G28"/>
  <c r="G29"/>
  <c r="G30"/>
  <c r="G31"/>
  <c r="G32"/>
  <c r="G33"/>
  <c r="G35"/>
  <c r="G36"/>
  <c r="G37"/>
  <c r="G38"/>
  <c r="G39"/>
  <c r="G40"/>
  <c r="G41"/>
  <c r="G42"/>
  <c r="G43"/>
  <c r="G44"/>
  <c r="G45"/>
  <c r="G46"/>
  <c r="G47"/>
  <c r="G48"/>
  <c r="G49"/>
  <c r="G51"/>
  <c r="G52"/>
  <c r="G53"/>
  <c r="G54"/>
  <c r="G55"/>
  <c r="G56"/>
  <c r="G57"/>
  <c r="G58"/>
  <c r="G59"/>
  <c r="G60"/>
  <c r="G61"/>
  <c r="G62"/>
  <c r="G63"/>
  <c r="G64"/>
  <c r="G65"/>
  <c r="G66"/>
  <c r="G67"/>
  <c r="G68"/>
  <c r="G69"/>
  <c r="G70"/>
  <c r="G71"/>
  <c r="G72"/>
  <c r="G73"/>
  <c r="G74"/>
  <c r="G75"/>
  <c r="G76"/>
  <c r="G77"/>
  <c r="G78"/>
  <c r="G79"/>
  <c r="G80"/>
  <c r="G81"/>
  <c r="G82"/>
  <c r="G83"/>
  <c r="G84"/>
  <c r="G85"/>
  <c r="G86"/>
  <c r="G87"/>
  <c r="G88"/>
  <c r="G89"/>
  <c r="G90"/>
  <c r="G91"/>
  <c r="G92"/>
  <c r="G93"/>
  <c r="G94"/>
  <c r="G95"/>
  <c r="G96"/>
  <c r="G97"/>
  <c r="G98"/>
  <c r="G99"/>
  <c r="G100"/>
  <c r="G101"/>
  <c r="G102"/>
  <c r="G103"/>
  <c r="G104"/>
  <c r="G105"/>
  <c r="G106"/>
  <c r="G107"/>
  <c r="G108"/>
  <c r="G109"/>
  <c r="G110"/>
  <c r="G111"/>
  <c r="G112"/>
  <c r="G113"/>
  <c r="G114"/>
  <c r="G115"/>
  <c r="G116"/>
  <c r="G117"/>
  <c r="G118"/>
  <c r="G119"/>
  <c r="G120"/>
  <c r="G121"/>
  <c r="G122"/>
  <c r="G123"/>
  <c r="G124"/>
  <c r="G125"/>
  <c r="G126"/>
  <c r="G127"/>
  <c r="G128"/>
  <c r="G129"/>
  <c r="G130"/>
  <c r="G131"/>
  <c r="G132"/>
  <c r="G133"/>
  <c r="G134"/>
  <c r="G135"/>
  <c r="G136"/>
  <c r="G137"/>
  <c r="G138"/>
  <c r="G139"/>
  <c r="G140"/>
  <c r="G141"/>
  <c r="G142"/>
  <c r="G143"/>
  <c r="G144"/>
  <c r="G145"/>
  <c r="G146"/>
  <c r="G147"/>
  <c r="G148"/>
  <c r="G149"/>
  <c r="G150"/>
  <c r="G151"/>
  <c r="G152"/>
  <c r="G153"/>
  <c r="G154"/>
  <c r="G155"/>
  <c r="G156"/>
  <c r="G157"/>
  <c r="G158"/>
  <c r="G159"/>
  <c r="G160"/>
  <c r="G161"/>
  <c r="G162"/>
  <c r="G163"/>
  <c r="G164"/>
  <c r="G165"/>
  <c r="G166"/>
  <c r="G167"/>
  <c r="G168"/>
  <c r="G169"/>
  <c r="G170"/>
  <c r="G171"/>
  <c r="G172"/>
  <c r="G173"/>
  <c r="G174"/>
  <c r="G175"/>
  <c r="G176"/>
  <c r="G177"/>
  <c r="G178"/>
  <c r="G179"/>
  <c r="G180"/>
  <c r="G181"/>
  <c r="G182"/>
  <c r="G183"/>
  <c r="G184"/>
  <c r="G185"/>
  <c r="G186"/>
  <c r="G187"/>
  <c r="G188"/>
  <c r="G189"/>
  <c r="G190"/>
  <c r="G191"/>
  <c r="G192"/>
  <c r="G193"/>
  <c r="G194"/>
  <c r="G195"/>
  <c r="G196"/>
  <c r="G197"/>
  <c r="G198"/>
  <c r="G199"/>
  <c r="G200"/>
  <c r="G201"/>
  <c r="G202"/>
  <c r="G203"/>
  <c r="G204"/>
  <c r="G205"/>
  <c r="G206"/>
  <c r="G207"/>
  <c r="G208"/>
  <c r="G209"/>
  <c r="G210"/>
  <c r="G211"/>
  <c r="G212"/>
  <c r="G213"/>
  <c r="G214"/>
  <c r="G215"/>
  <c r="G216"/>
  <c r="G217"/>
  <c r="G218"/>
  <c r="G219"/>
  <c r="G220"/>
  <c r="G221"/>
  <c r="G222"/>
  <c r="G223"/>
  <c r="G224"/>
  <c r="G225"/>
  <c r="G226"/>
  <c r="G227"/>
  <c r="G228"/>
  <c r="G229"/>
  <c r="G230"/>
  <c r="G231"/>
  <c r="G232"/>
  <c r="G233"/>
  <c r="G234"/>
  <c r="G235"/>
  <c r="G236"/>
  <c r="G237"/>
  <c r="G238"/>
  <c r="G239"/>
  <c r="G240"/>
  <c r="G241"/>
  <c r="G242"/>
  <c r="G243"/>
  <c r="G244"/>
  <c r="G245"/>
  <c r="G246"/>
  <c r="G247"/>
  <c r="G248"/>
  <c r="G249"/>
  <c r="G250"/>
  <c r="G251"/>
  <c r="G252"/>
  <c r="G253"/>
  <c r="G254"/>
  <c r="G255"/>
  <c r="G256"/>
  <c r="G257"/>
  <c r="G258"/>
  <c r="G259"/>
  <c r="G260"/>
  <c r="G261"/>
  <c r="G262"/>
  <c r="G263"/>
  <c r="G264"/>
  <c r="G265"/>
  <c r="G266"/>
  <c r="G267"/>
  <c r="G268"/>
  <c r="G269"/>
  <c r="G270"/>
  <c r="G271"/>
  <c r="G272"/>
  <c r="G273"/>
  <c r="G274"/>
  <c r="G275"/>
  <c r="G276"/>
  <c r="G277"/>
  <c r="G278"/>
  <c r="G279"/>
  <c r="G280"/>
  <c r="G281"/>
  <c r="G282"/>
  <c r="G283"/>
  <c r="G284"/>
  <c r="G285"/>
  <c r="G286"/>
  <c r="G287"/>
  <c r="G288"/>
  <c r="G289"/>
  <c r="G290"/>
  <c r="G291"/>
  <c r="G292"/>
  <c r="G293"/>
  <c r="G294"/>
  <c r="G295"/>
  <c r="G296"/>
  <c r="G297"/>
  <c r="G298"/>
  <c r="G299"/>
  <c r="G300"/>
  <c r="G301"/>
  <c r="G302"/>
  <c r="G303"/>
  <c r="G304"/>
  <c r="G305"/>
  <c r="G306"/>
  <c r="G307"/>
  <c r="G308"/>
  <c r="G309"/>
  <c r="G310"/>
  <c r="G311"/>
  <c r="G312"/>
  <c r="G313"/>
  <c r="G314"/>
  <c r="G315"/>
  <c r="G316"/>
  <c r="G317"/>
  <c r="G318"/>
  <c r="G319"/>
  <c r="G320"/>
  <c r="G321"/>
  <c r="G322"/>
  <c r="G323"/>
  <c r="G324"/>
  <c r="G325"/>
  <c r="G326"/>
  <c r="G327"/>
  <c r="G328"/>
  <c r="G329"/>
  <c r="G330"/>
  <c r="G331"/>
  <c r="G332"/>
  <c r="G333"/>
  <c r="G334"/>
  <c r="G335"/>
  <c r="G336"/>
  <c r="G337"/>
  <c r="G338"/>
  <c r="G339"/>
  <c r="G340"/>
  <c r="G341"/>
  <c r="G342"/>
  <c r="G343"/>
  <c r="G344"/>
  <c r="G345"/>
  <c r="G346"/>
  <c r="G347"/>
  <c r="G348"/>
  <c r="G349"/>
  <c r="G350"/>
  <c r="G351"/>
  <c r="G352"/>
  <c r="G353"/>
  <c r="G354"/>
  <c r="G355"/>
  <c r="G356"/>
  <c r="G357"/>
  <c r="G358"/>
  <c r="G359"/>
  <c r="G360"/>
  <c r="G361"/>
  <c r="G362"/>
  <c r="G363"/>
  <c r="G364"/>
  <c r="G365"/>
  <c r="G366"/>
  <c r="G367"/>
  <c r="G368"/>
  <c r="G369"/>
  <c r="G370"/>
  <c r="G371"/>
  <c r="G372"/>
  <c r="G373"/>
  <c r="G374"/>
  <c r="G375"/>
  <c r="G376"/>
  <c r="G377"/>
  <c r="G378"/>
  <c r="G379"/>
  <c r="G380"/>
  <c r="G381"/>
  <c r="G382"/>
  <c r="G383"/>
  <c r="G384"/>
  <c r="G385"/>
  <c r="G386"/>
  <c r="G387"/>
  <c r="G388"/>
  <c r="G389"/>
  <c r="G390"/>
  <c r="G391"/>
  <c r="G392"/>
  <c r="G393"/>
  <c r="G394"/>
  <c r="G395"/>
  <c r="G396"/>
  <c r="G397"/>
  <c r="G398"/>
  <c r="G399"/>
  <c r="G400"/>
  <c r="G401"/>
  <c r="G402"/>
  <c r="G403"/>
  <c r="G404"/>
  <c r="G405"/>
  <c r="G406"/>
  <c r="G407"/>
  <c r="G408"/>
  <c r="G409"/>
  <c r="G410"/>
  <c r="G411"/>
  <c r="G412"/>
  <c r="G413"/>
  <c r="G414"/>
  <c r="G415"/>
  <c r="G416"/>
  <c r="G417"/>
  <c r="G418"/>
  <c r="G419"/>
  <c r="G420"/>
  <c r="G421"/>
  <c r="G422"/>
  <c r="G423"/>
  <c r="G424"/>
  <c r="G425"/>
  <c r="G426"/>
  <c r="G427"/>
  <c r="G428"/>
  <c r="G429"/>
  <c r="G430"/>
  <c r="G431"/>
  <c r="G432"/>
  <c r="G433"/>
  <c r="G434"/>
  <c r="G435"/>
  <c r="G436"/>
  <c r="G437"/>
  <c r="G438"/>
  <c r="G439"/>
  <c r="G440"/>
  <c r="G441"/>
  <c r="G442"/>
  <c r="G443"/>
  <c r="G444"/>
  <c r="G445"/>
  <c r="G446"/>
  <c r="G447"/>
  <c r="G448"/>
  <c r="G449"/>
  <c r="G450"/>
  <c r="G451"/>
  <c r="G452"/>
  <c r="G453"/>
  <c r="G454"/>
  <c r="G455"/>
  <c r="G456"/>
  <c r="G457"/>
  <c r="G458"/>
  <c r="G459"/>
  <c r="G460"/>
  <c r="G461"/>
  <c r="G462"/>
  <c r="G463"/>
  <c r="G464"/>
  <c r="G465"/>
  <c r="G466"/>
  <c r="G467"/>
  <c r="G468"/>
  <c r="G469"/>
  <c r="G470"/>
  <c r="G471"/>
  <c r="G472"/>
  <c r="G473"/>
  <c r="G474"/>
  <c r="G475"/>
  <c r="G476"/>
  <c r="G477"/>
  <c r="G478"/>
  <c r="G479"/>
  <c r="G480"/>
  <c r="G481"/>
  <c r="G482"/>
  <c r="G483"/>
  <c r="G484"/>
  <c r="G485"/>
  <c r="G486"/>
  <c r="G487"/>
  <c r="G488"/>
  <c r="G489"/>
  <c r="G490"/>
  <c r="G491"/>
  <c r="G492"/>
  <c r="G493"/>
  <c r="G494"/>
  <c r="G495"/>
  <c r="G496"/>
  <c r="G497"/>
  <c r="G498"/>
  <c r="G499"/>
  <c r="G500"/>
  <c r="G501"/>
  <c r="G502"/>
  <c r="G503"/>
  <c r="G504"/>
  <c r="G505"/>
  <c r="G506"/>
  <c r="G507"/>
  <c r="G508"/>
  <c r="G509"/>
  <c r="G510"/>
  <c r="G511"/>
  <c r="G512"/>
  <c r="G513"/>
  <c r="G514"/>
  <c r="G515"/>
  <c r="G516"/>
  <c r="G517"/>
  <c r="G518"/>
  <c r="G519"/>
  <c r="G520"/>
  <c r="G521"/>
  <c r="G522"/>
  <c r="G523"/>
  <c r="G524"/>
  <c r="G525"/>
  <c r="G526"/>
  <c r="G527"/>
  <c r="G528"/>
  <c r="G529"/>
  <c r="G530"/>
  <c r="G532"/>
  <c r="G533"/>
  <c r="G534"/>
  <c r="G535"/>
  <c r="G536"/>
  <c r="G537"/>
  <c r="G538"/>
  <c r="G539"/>
  <c r="G540"/>
  <c r="G541"/>
  <c r="G542"/>
  <c r="G543"/>
  <c r="G544"/>
  <c r="G545"/>
  <c r="G546"/>
  <c r="G547"/>
  <c r="G548"/>
  <c r="G549"/>
  <c r="G550"/>
  <c r="G551"/>
  <c r="G552"/>
  <c r="G553"/>
  <c r="G554"/>
  <c r="G555"/>
  <c r="G556"/>
  <c r="G557"/>
  <c r="G558"/>
  <c r="G559"/>
  <c r="G560"/>
  <c r="G561"/>
  <c r="G562"/>
  <c r="G563"/>
  <c r="G564"/>
  <c r="G565"/>
  <c r="G566"/>
  <c r="G567"/>
  <c r="G568"/>
  <c r="G569"/>
  <c r="G570"/>
  <c r="G571"/>
  <c r="G572"/>
  <c r="G573"/>
  <c r="G574"/>
  <c r="G575"/>
  <c r="G576"/>
  <c r="G577"/>
  <c r="G578"/>
  <c r="G579"/>
  <c r="G580"/>
  <c r="G581"/>
  <c r="G582"/>
  <c r="G583"/>
  <c r="G584"/>
  <c r="G585"/>
  <c r="G586"/>
  <c r="G587"/>
  <c r="G588"/>
  <c r="G589"/>
  <c r="G590"/>
  <c r="G591"/>
  <c r="G592"/>
  <c r="G593"/>
  <c r="G594"/>
  <c r="G595"/>
  <c r="G596"/>
  <c r="G597"/>
  <c r="G598"/>
  <c r="G599"/>
  <c r="G600"/>
  <c r="G601"/>
  <c r="G602"/>
  <c r="G603"/>
  <c r="G604"/>
  <c r="G605"/>
  <c r="G606"/>
  <c r="G607"/>
  <c r="G608"/>
  <c r="G609"/>
  <c r="G610"/>
  <c r="G611"/>
  <c r="G612"/>
  <c r="G613"/>
  <c r="G614"/>
  <c r="G615"/>
  <c r="G616"/>
  <c r="G617"/>
  <c r="G618"/>
  <c r="G619"/>
  <c r="G620"/>
  <c r="G621"/>
  <c r="G622"/>
  <c r="G623"/>
  <c r="G624"/>
  <c r="G625"/>
  <c r="G626"/>
  <c r="G627"/>
  <c r="G628"/>
  <c r="G629"/>
  <c r="G630"/>
  <c r="G631"/>
  <c r="G632"/>
  <c r="G633"/>
  <c r="G634"/>
  <c r="G635"/>
  <c r="G636"/>
  <c r="G637"/>
  <c r="G638"/>
  <c r="G639"/>
  <c r="G640"/>
  <c r="G641"/>
  <c r="G642"/>
  <c r="G643"/>
  <c r="G644"/>
  <c r="G645"/>
  <c r="G646"/>
  <c r="G647"/>
  <c r="G648"/>
  <c r="G649"/>
  <c r="G650"/>
  <c r="G651"/>
  <c r="G652"/>
  <c r="G653"/>
  <c r="G654"/>
  <c r="G655"/>
  <c r="G656"/>
  <c r="G657"/>
  <c r="G658"/>
  <c r="G659"/>
  <c r="G660"/>
  <c r="G661"/>
  <c r="G662"/>
  <c r="G663"/>
  <c r="G664"/>
  <c r="G665"/>
  <c r="G666"/>
  <c r="G667"/>
  <c r="G668"/>
  <c r="G669"/>
  <c r="G670"/>
  <c r="G671"/>
  <c r="G672"/>
  <c r="G673"/>
  <c r="G674"/>
  <c r="G675"/>
  <c r="G676"/>
  <c r="G677"/>
  <c r="G678"/>
  <c r="G679"/>
  <c r="G680"/>
  <c r="G681"/>
  <c r="G682"/>
  <c r="G684"/>
  <c r="G685"/>
  <c r="G686"/>
  <c r="G687"/>
  <c r="G688"/>
  <c r="G689"/>
  <c r="G690"/>
  <c r="G691"/>
  <c r="G692"/>
  <c r="G693"/>
  <c r="G694"/>
  <c r="G695"/>
  <c r="G696"/>
  <c r="G697"/>
  <c r="G698"/>
  <c r="G699"/>
  <c r="G700"/>
  <c r="G701"/>
  <c r="G702"/>
  <c r="G703"/>
  <c r="G704"/>
  <c r="G705"/>
  <c r="G706"/>
  <c r="G707"/>
  <c r="G708"/>
  <c r="G709"/>
  <c r="G710"/>
  <c r="G711"/>
  <c r="G712"/>
  <c r="G713"/>
  <c r="G714"/>
  <c r="G715"/>
  <c r="G716"/>
  <c r="G717"/>
  <c r="G718"/>
  <c r="G719"/>
  <c r="G720"/>
  <c r="G721"/>
  <c r="G722"/>
  <c r="G723"/>
  <c r="G724"/>
  <c r="G725"/>
  <c r="G726"/>
  <c r="G727"/>
  <c r="G728"/>
  <c r="G729"/>
  <c r="G730"/>
  <c r="G731"/>
  <c r="G732"/>
  <c r="G733"/>
  <c r="G734"/>
  <c r="G735"/>
  <c r="G736"/>
  <c r="G737"/>
  <c r="G738"/>
  <c r="G739"/>
  <c r="G740"/>
  <c r="G741"/>
  <c r="G742"/>
  <c r="G743"/>
  <c r="G744"/>
  <c r="G745"/>
  <c r="G746"/>
  <c r="G747"/>
  <c r="G748"/>
  <c r="G749"/>
  <c r="G750"/>
  <c r="G751"/>
  <c r="G752"/>
  <c r="G753"/>
  <c r="G754"/>
  <c r="G755"/>
  <c r="G756"/>
  <c r="G757"/>
  <c r="G758"/>
  <c r="G759"/>
  <c r="G760"/>
  <c r="G761"/>
  <c r="G762"/>
  <c r="G763"/>
  <c r="G764"/>
  <c r="G765"/>
  <c r="G766"/>
  <c r="G767"/>
  <c r="G768"/>
  <c r="G769"/>
  <c r="G770"/>
  <c r="G771"/>
  <c r="G772"/>
  <c r="G773"/>
  <c r="G774"/>
  <c r="G775"/>
  <c r="G776"/>
  <c r="G777"/>
  <c r="G778"/>
  <c r="G779"/>
  <c r="G780"/>
  <c r="G781"/>
  <c r="G782"/>
  <c r="G783"/>
  <c r="G784"/>
  <c r="G785"/>
  <c r="G786"/>
  <c r="G787"/>
  <c r="G788"/>
  <c r="G789"/>
  <c r="G790"/>
  <c r="G791"/>
  <c r="G792"/>
  <c r="G793"/>
  <c r="G794"/>
  <c r="G795"/>
  <c r="G796"/>
  <c r="G797"/>
  <c r="G798"/>
  <c r="G799"/>
  <c r="G800"/>
  <c r="G801"/>
  <c r="G802"/>
  <c r="G803"/>
  <c r="G804"/>
  <c r="G805"/>
  <c r="G806"/>
  <c r="G807"/>
  <c r="G808"/>
  <c r="G809"/>
  <c r="G810"/>
  <c r="G811"/>
  <c r="G812"/>
  <c r="G813"/>
  <c r="G814"/>
  <c r="G815"/>
  <c r="G816"/>
  <c r="G817"/>
  <c r="G818"/>
  <c r="G819"/>
  <c r="G820"/>
  <c r="G821"/>
  <c r="G822"/>
  <c r="G823"/>
  <c r="G824"/>
  <c r="G825"/>
  <c r="G826"/>
  <c r="G827"/>
  <c r="G828"/>
  <c r="G829"/>
  <c r="G830"/>
  <c r="G831"/>
  <c r="G832"/>
  <c r="G833"/>
  <c r="G834"/>
  <c r="G835"/>
  <c r="G836"/>
  <c r="G837"/>
  <c r="G838"/>
  <c r="G839"/>
  <c r="G840"/>
  <c r="G841"/>
  <c r="G842"/>
  <c r="G843"/>
  <c r="G844"/>
  <c r="G845"/>
  <c r="G846"/>
  <c r="G847"/>
  <c r="G848"/>
  <c r="G849"/>
  <c r="G850"/>
  <c r="G851"/>
  <c r="G852"/>
  <c r="G853"/>
  <c r="G854"/>
  <c r="G855"/>
  <c r="G856"/>
  <c r="G857"/>
  <c r="G858"/>
  <c r="G859"/>
  <c r="G860"/>
  <c r="G861"/>
  <c r="G862"/>
  <c r="G863"/>
  <c r="G864"/>
  <c r="G865"/>
  <c r="G866"/>
  <c r="G867"/>
  <c r="G868"/>
  <c r="G869"/>
  <c r="G870"/>
  <c r="G871"/>
  <c r="G872"/>
  <c r="G873"/>
  <c r="G874"/>
  <c r="G875"/>
  <c r="G876"/>
  <c r="G877"/>
  <c r="G878"/>
  <c r="G879"/>
  <c r="G880"/>
  <c r="G881"/>
  <c r="G882"/>
  <c r="G883"/>
  <c r="G884"/>
  <c r="G885"/>
  <c r="G886"/>
  <c r="G887"/>
  <c r="G888"/>
  <c r="G889"/>
  <c r="G890"/>
  <c r="G891"/>
  <c r="G892"/>
  <c r="G893"/>
  <c r="G894"/>
  <c r="G895"/>
  <c r="G896"/>
  <c r="G897"/>
  <c r="G898"/>
  <c r="G899"/>
  <c r="G900"/>
  <c r="G901"/>
  <c r="G902"/>
  <c r="G903"/>
  <c r="G904"/>
  <c r="G905"/>
  <c r="G906"/>
  <c r="G907"/>
  <c r="G908"/>
  <c r="G909"/>
  <c r="G910"/>
  <c r="G911"/>
  <c r="G912"/>
  <c r="G913"/>
  <c r="G914"/>
  <c r="G915"/>
  <c r="G916"/>
  <c r="G917"/>
  <c r="G918"/>
  <c r="G919"/>
  <c r="G920"/>
  <c r="G921"/>
  <c r="G922"/>
  <c r="G923"/>
  <c r="G924"/>
  <c r="G925"/>
  <c r="G926"/>
  <c r="G927"/>
  <c r="G928"/>
  <c r="G929"/>
  <c r="G930"/>
  <c r="G931"/>
  <c r="G932"/>
  <c r="G933"/>
  <c r="G934"/>
  <c r="G935"/>
  <c r="G936"/>
  <c r="G937"/>
  <c r="G938"/>
  <c r="G939"/>
  <c r="G940"/>
  <c r="G941"/>
  <c r="G942"/>
  <c r="G943"/>
  <c r="G944"/>
  <c r="G945"/>
  <c r="G946"/>
  <c r="G947"/>
  <c r="G948"/>
  <c r="G949"/>
  <c r="G950"/>
  <c r="G951"/>
  <c r="G952"/>
  <c r="G953"/>
  <c r="G954"/>
  <c r="G955"/>
  <c r="G956"/>
  <c r="G957"/>
  <c r="G958"/>
  <c r="G959"/>
  <c r="G960"/>
  <c r="G961"/>
  <c r="G962"/>
  <c r="G963"/>
  <c r="G964"/>
  <c r="G965"/>
  <c r="G966"/>
  <c r="G967"/>
  <c r="G968"/>
  <c r="G969"/>
  <c r="G970"/>
  <c r="G971"/>
  <c r="G972"/>
  <c r="G973"/>
  <c r="G974"/>
  <c r="G975"/>
  <c r="G976"/>
  <c r="G977"/>
  <c r="G978"/>
  <c r="G979"/>
  <c r="G980"/>
  <c r="G981"/>
  <c r="G982"/>
  <c r="G983"/>
  <c r="G984"/>
  <c r="G985"/>
  <c r="G986"/>
  <c r="G987"/>
  <c r="G988"/>
  <c r="G989"/>
  <c r="G990"/>
  <c r="G991"/>
  <c r="G992"/>
  <c r="G993"/>
  <c r="G994"/>
  <c r="G995"/>
  <c r="G996"/>
  <c r="G997"/>
  <c r="G998"/>
  <c r="G999"/>
  <c r="G1000"/>
  <c r="G1001"/>
  <c r="G1002"/>
  <c r="G1003"/>
  <c r="G1004"/>
  <c r="G1005"/>
  <c r="G1006"/>
  <c r="G1007"/>
  <c r="G1008"/>
  <c r="G1009"/>
  <c r="G1010"/>
  <c r="G1011"/>
  <c r="G1012"/>
  <c r="G1013"/>
  <c r="G1014"/>
  <c r="G1015"/>
  <c r="G1016"/>
  <c r="G1017"/>
  <c r="G1018"/>
  <c r="G1019"/>
  <c r="G1020"/>
  <c r="G1021"/>
  <c r="G1022"/>
  <c r="G1023"/>
  <c r="G1024"/>
  <c r="G1025"/>
  <c r="G1026"/>
  <c r="G1027"/>
  <c r="G1028"/>
  <c r="G1029"/>
  <c r="G1030"/>
  <c r="G1031"/>
  <c r="G1032"/>
  <c r="G1033"/>
  <c r="G1035"/>
  <c r="G1036"/>
  <c r="G1037"/>
  <c r="G1038"/>
  <c r="G1039"/>
  <c r="G1040"/>
  <c r="G1041"/>
  <c r="G1042"/>
  <c r="G1043"/>
  <c r="G1044"/>
  <c r="G1045"/>
  <c r="G1046"/>
  <c r="G1047"/>
  <c r="G1048"/>
  <c r="G1049"/>
  <c r="G1050"/>
  <c r="G1051"/>
  <c r="G1052"/>
  <c r="G1053"/>
  <c r="G1054"/>
  <c r="G1055"/>
  <c r="G1056"/>
  <c r="G1057"/>
  <c r="G1058"/>
  <c r="G1059"/>
  <c r="G1060"/>
  <c r="G1061"/>
  <c r="G1062"/>
  <c r="G1063"/>
  <c r="G1064"/>
  <c r="G1065"/>
  <c r="G1066"/>
  <c r="G1067"/>
  <c r="G1068"/>
  <c r="G1069"/>
  <c r="G1070"/>
  <c r="G1071"/>
  <c r="G1072"/>
  <c r="G1073"/>
  <c r="G1074"/>
  <c r="G1075"/>
  <c r="G1076"/>
  <c r="G1077"/>
  <c r="G1078"/>
  <c r="G1079"/>
  <c r="G1080"/>
  <c r="G1081"/>
  <c r="G1082"/>
  <c r="G1083"/>
  <c r="G1084"/>
  <c r="G1085"/>
  <c r="G1086"/>
  <c r="G1087"/>
  <c r="G1088"/>
  <c r="G1089"/>
  <c r="G1090"/>
  <c r="G1091"/>
  <c r="G1092"/>
  <c r="G1093"/>
  <c r="G1094"/>
  <c r="G1095"/>
  <c r="G1096"/>
  <c r="G1097"/>
  <c r="G1098"/>
  <c r="G1099"/>
  <c r="G1100"/>
  <c r="G1101"/>
  <c r="G1102"/>
  <c r="G1103"/>
  <c r="G1104"/>
  <c r="G1105"/>
  <c r="G1106"/>
  <c r="G1107"/>
  <c r="G1108"/>
  <c r="G1109"/>
  <c r="G1110"/>
  <c r="G1111"/>
  <c r="G1112"/>
  <c r="G1113"/>
  <c r="G1114"/>
  <c r="G1115"/>
  <c r="G1116"/>
  <c r="G1117"/>
  <c r="G1118"/>
  <c r="G1119"/>
  <c r="G1120"/>
  <c r="G1121"/>
  <c r="G1122"/>
  <c r="G1123"/>
  <c r="G1124"/>
  <c r="G1125"/>
  <c r="G1126"/>
  <c r="G1127"/>
  <c r="G1128"/>
  <c r="G1129"/>
  <c r="G1130"/>
  <c r="G1131"/>
  <c r="G1132"/>
  <c r="G1133"/>
  <c r="G1134"/>
  <c r="G1135"/>
  <c r="G1136"/>
  <c r="G1137"/>
  <c r="G1138"/>
  <c r="G1139"/>
  <c r="G1140"/>
  <c r="G1141"/>
  <c r="G1142"/>
  <c r="G1143"/>
  <c r="G1144"/>
  <c r="G1145"/>
  <c r="G1146"/>
  <c r="G1147"/>
  <c r="G1148"/>
  <c r="G1149"/>
  <c r="G1150"/>
  <c r="G1151"/>
  <c r="G1152"/>
  <c r="G1153"/>
  <c r="G1154"/>
  <c r="G1155"/>
  <c r="G1156"/>
  <c r="G1157"/>
  <c r="G1158"/>
  <c r="G1159"/>
  <c r="G1160"/>
  <c r="G1161"/>
  <c r="G1162"/>
  <c r="G1163"/>
  <c r="G1164"/>
  <c r="G1165"/>
  <c r="G1166"/>
  <c r="G1167"/>
  <c r="G1168"/>
  <c r="G1169"/>
  <c r="G1170"/>
  <c r="G1171"/>
  <c r="G1172"/>
  <c r="G1173"/>
  <c r="G1174"/>
  <c r="G1175"/>
  <c r="G1176"/>
  <c r="G1177"/>
  <c r="G1178"/>
  <c r="G1179"/>
  <c r="G1180"/>
  <c r="G1181"/>
  <c r="G1182"/>
  <c r="G1183"/>
  <c r="G1184"/>
  <c r="G1185"/>
  <c r="G1186"/>
  <c r="G1187"/>
  <c r="G1188"/>
  <c r="G1189"/>
  <c r="G1190"/>
  <c r="G1191"/>
  <c r="G1192"/>
  <c r="G1193"/>
  <c r="G1194"/>
  <c r="G1195"/>
  <c r="G1196"/>
  <c r="G1197"/>
  <c r="G1198"/>
  <c r="G1199"/>
  <c r="G1200"/>
  <c r="G1201"/>
  <c r="G1202"/>
  <c r="G1203"/>
  <c r="G1204"/>
  <c r="G1205"/>
  <c r="G1206"/>
  <c r="G1207"/>
  <c r="G1208"/>
  <c r="G1209"/>
  <c r="G1210"/>
  <c r="G1211"/>
  <c r="G1212"/>
  <c r="G1213"/>
  <c r="G1214"/>
  <c r="G1215"/>
  <c r="G1216"/>
  <c r="G1217"/>
  <c r="G1218"/>
  <c r="G1219"/>
  <c r="G1220"/>
  <c r="G1221"/>
  <c r="G1222"/>
  <c r="G1223"/>
  <c r="G1224"/>
  <c r="G1225"/>
  <c r="G1226"/>
  <c r="G1227"/>
  <c r="G1228"/>
  <c r="G1229"/>
  <c r="G1230"/>
  <c r="G1231"/>
  <c r="G1232"/>
  <c r="G1233"/>
  <c r="G1234"/>
  <c r="G1235"/>
  <c r="G1236"/>
  <c r="G1237"/>
  <c r="G1238"/>
  <c r="G1239"/>
  <c r="G1240"/>
  <c r="G1241"/>
  <c r="G1242"/>
  <c r="G1243"/>
  <c r="G1244"/>
  <c r="G1245"/>
  <c r="G1246"/>
  <c r="G1247"/>
  <c r="G1248"/>
  <c r="G1249"/>
  <c r="G1250"/>
  <c r="G1251"/>
  <c r="G1252"/>
  <c r="G1253"/>
  <c r="G1254"/>
  <c r="G1255"/>
  <c r="G1256"/>
  <c r="G1257"/>
  <c r="G1258"/>
  <c r="G1259"/>
  <c r="G1260"/>
  <c r="G1261"/>
  <c r="G1262"/>
  <c r="G1263"/>
  <c r="G1264"/>
  <c r="G1265"/>
  <c r="G1266"/>
  <c r="G1267"/>
  <c r="G1268"/>
  <c r="G1269"/>
  <c r="G1270"/>
  <c r="G1271"/>
  <c r="G1272"/>
  <c r="G1273"/>
  <c r="G1274"/>
  <c r="G1275"/>
  <c r="G1276"/>
  <c r="G1277"/>
  <c r="G1278"/>
  <c r="G1279"/>
  <c r="G1280"/>
  <c r="G1281"/>
  <c r="G1282"/>
  <c r="G1283"/>
  <c r="G1284"/>
  <c r="G1285"/>
  <c r="G1286"/>
  <c r="G1287"/>
  <c r="G1288"/>
  <c r="G1289"/>
  <c r="G1290"/>
  <c r="G1291"/>
  <c r="G1292"/>
  <c r="G1293"/>
  <c r="G1294"/>
  <c r="G1295"/>
  <c r="G1296"/>
  <c r="G1297"/>
  <c r="G1298"/>
  <c r="G1299"/>
  <c r="G1300"/>
  <c r="G1301"/>
  <c r="G1302"/>
  <c r="G1303"/>
  <c r="G1304"/>
  <c r="G1305"/>
  <c r="G1306"/>
  <c r="G1307"/>
  <c r="G1308"/>
  <c r="G1309"/>
  <c r="G1310"/>
  <c r="G1311"/>
  <c r="G1312"/>
  <c r="G1313"/>
  <c r="G1314"/>
  <c r="G1315"/>
  <c r="G1316"/>
  <c r="G1317"/>
  <c r="G1318"/>
  <c r="G1319"/>
  <c r="G1320"/>
  <c r="G1321"/>
  <c r="G1322"/>
  <c r="G1323"/>
  <c r="G1324"/>
  <c r="G1325"/>
  <c r="G1326"/>
  <c r="G1327"/>
  <c r="G1328"/>
  <c r="G1329"/>
  <c r="G1330"/>
  <c r="G1331"/>
  <c r="G1332"/>
  <c r="G1333"/>
  <c r="G1334"/>
  <c r="G1335"/>
  <c r="G1336"/>
  <c r="G1337"/>
  <c r="G1338"/>
  <c r="G1339"/>
  <c r="G1340"/>
  <c r="G1341"/>
  <c r="G1342"/>
  <c r="G1343"/>
  <c r="G1344"/>
  <c r="G1345"/>
  <c r="G1346"/>
  <c r="G1347"/>
  <c r="G1348"/>
  <c r="G1349"/>
  <c r="G1350"/>
  <c r="G1351"/>
  <c r="G1352"/>
  <c r="G1353"/>
  <c r="G1354"/>
  <c r="G1355"/>
  <c r="G1356"/>
  <c r="G1357"/>
  <c r="G1358"/>
  <c r="G1359"/>
  <c r="G1360"/>
  <c r="G1361"/>
  <c r="G1362"/>
  <c r="G1363"/>
  <c r="G1364"/>
  <c r="G1365"/>
  <c r="G1366"/>
  <c r="G1367"/>
  <c r="G1368"/>
  <c r="G1369"/>
  <c r="G1370"/>
  <c r="G1371"/>
  <c r="G1372"/>
  <c r="G1373"/>
  <c r="G1374"/>
  <c r="G1375"/>
  <c r="G1376"/>
  <c r="G1377"/>
  <c r="G1378"/>
  <c r="G1379"/>
  <c r="G1380"/>
  <c r="G1381"/>
  <c r="G1382"/>
  <c r="G1383"/>
  <c r="G1384"/>
  <c r="G1385"/>
  <c r="G1386"/>
  <c r="G1387"/>
  <c r="G1388"/>
  <c r="G1389"/>
  <c r="G1390"/>
  <c r="G1391"/>
  <c r="G1392"/>
  <c r="G1393"/>
  <c r="G1394"/>
  <c r="G1395"/>
  <c r="G1396"/>
  <c r="G1397"/>
  <c r="G1398"/>
  <c r="G1399"/>
  <c r="G1400"/>
  <c r="G1401"/>
  <c r="G1402"/>
  <c r="G1403"/>
  <c r="G1404"/>
  <c r="G1405"/>
  <c r="G1406"/>
  <c r="G1407"/>
  <c r="G1408"/>
  <c r="G1409"/>
  <c r="G1410"/>
  <c r="G1411"/>
  <c r="G1412"/>
  <c r="G1413"/>
  <c r="G1414"/>
  <c r="G1415"/>
  <c r="G1416"/>
  <c r="G1417"/>
  <c r="G1418"/>
  <c r="G1419"/>
  <c r="G1420"/>
  <c r="G1421"/>
  <c r="G1422"/>
  <c r="G1423"/>
  <c r="G1424"/>
  <c r="G1425"/>
  <c r="G1426"/>
  <c r="G1427"/>
  <c r="G1428"/>
  <c r="G1429"/>
  <c r="G1430"/>
  <c r="G1431"/>
  <c r="G1432"/>
  <c r="G1433"/>
  <c r="G1434"/>
  <c r="G1435"/>
  <c r="G1436"/>
  <c r="G1437"/>
  <c r="G1438"/>
  <c r="G1439"/>
  <c r="G1440"/>
  <c r="G1441"/>
  <c r="G1442"/>
  <c r="G1443"/>
  <c r="G1444"/>
  <c r="G1445"/>
  <c r="G1446"/>
  <c r="G1447"/>
  <c r="G1448"/>
  <c r="G1449"/>
  <c r="G1450"/>
  <c r="G1451"/>
  <c r="G1452"/>
  <c r="G1453"/>
  <c r="G1454"/>
  <c r="G1455"/>
  <c r="G1456"/>
  <c r="G1457"/>
  <c r="G1458"/>
  <c r="G1459"/>
  <c r="G1460"/>
  <c r="G1461"/>
  <c r="G1462"/>
  <c r="G1463"/>
  <c r="G1464"/>
  <c r="G1465"/>
  <c r="G1466"/>
  <c r="G1467"/>
  <c r="G1468"/>
  <c r="G1469"/>
  <c r="G1470"/>
  <c r="G1471"/>
  <c r="G1472"/>
  <c r="G1473"/>
  <c r="G1474"/>
  <c r="G1475"/>
  <c r="G1476"/>
  <c r="G1477"/>
  <c r="G1478"/>
  <c r="G1479"/>
  <c r="G1480"/>
  <c r="G1481"/>
  <c r="G1482"/>
  <c r="G1483"/>
  <c r="G1484"/>
  <c r="G1485"/>
  <c r="G1486"/>
  <c r="G1487"/>
  <c r="G1488"/>
  <c r="G1489"/>
  <c r="G1490"/>
  <c r="G1491"/>
  <c r="G1492"/>
  <c r="G1493"/>
  <c r="G1494"/>
  <c r="G1495"/>
  <c r="G1496"/>
  <c r="G1497"/>
  <c r="G1498"/>
  <c r="G1499"/>
  <c r="G1500"/>
  <c r="G1501"/>
  <c r="G1502"/>
  <c r="G1503"/>
  <c r="G1504"/>
  <c r="G1505"/>
  <c r="G1506"/>
  <c r="G1507"/>
  <c r="G1508"/>
  <c r="G1509"/>
  <c r="G1510"/>
  <c r="G1511"/>
  <c r="G1512"/>
  <c r="G1513"/>
  <c r="G1514"/>
  <c r="G1515"/>
  <c r="G1516"/>
  <c r="G1517"/>
  <c r="G1518"/>
  <c r="G1519"/>
  <c r="G1520"/>
  <c r="G1521"/>
  <c r="G1522"/>
  <c r="G1523"/>
  <c r="G1524"/>
  <c r="G1525"/>
  <c r="G1526"/>
  <c r="G1528"/>
  <c r="G1529"/>
  <c r="G1530"/>
  <c r="G1531"/>
  <c r="G1532"/>
  <c r="G1533"/>
  <c r="G1534"/>
  <c r="G1535"/>
  <c r="G1536"/>
  <c r="G1537"/>
  <c r="G1538"/>
  <c r="G1539"/>
  <c r="G1540"/>
  <c r="G1541"/>
  <c r="G1542"/>
  <c r="G1543"/>
  <c r="G1544"/>
  <c r="G1545"/>
  <c r="G1546"/>
  <c r="G1547"/>
  <c r="G1548"/>
  <c r="G1549"/>
  <c r="G1550"/>
  <c r="G1551"/>
  <c r="G1552"/>
  <c r="G1553"/>
  <c r="G1554"/>
  <c r="G1555"/>
  <c r="G1556"/>
  <c r="G1557"/>
  <c r="G1558"/>
  <c r="G1559"/>
  <c r="G1560"/>
  <c r="G1561"/>
  <c r="G1562"/>
  <c r="G1563"/>
  <c r="G1564"/>
  <c r="G1565"/>
  <c r="G1566"/>
  <c r="G1567"/>
  <c r="G1568"/>
  <c r="G1569"/>
  <c r="G1570"/>
  <c r="G1571"/>
  <c r="G1572"/>
  <c r="G1573"/>
  <c r="G1574"/>
  <c r="G1575"/>
  <c r="G1576"/>
  <c r="G1577"/>
  <c r="G1578"/>
  <c r="G1579"/>
  <c r="G1580"/>
  <c r="G1581"/>
  <c r="G1582"/>
  <c r="G1583"/>
  <c r="G1584"/>
  <c r="G1585"/>
  <c r="G1586"/>
  <c r="G1587"/>
  <c r="G1588"/>
  <c r="G1589"/>
  <c r="G1590"/>
  <c r="G1591"/>
  <c r="G1592"/>
  <c r="G1593"/>
  <c r="G1594"/>
  <c r="G1595"/>
  <c r="G1596"/>
  <c r="G1597"/>
  <c r="G1598"/>
  <c r="G1599"/>
  <c r="G1600"/>
  <c r="G1601"/>
  <c r="G1602"/>
  <c r="G1603"/>
  <c r="G1604"/>
  <c r="G1605"/>
  <c r="G1606"/>
  <c r="G1607"/>
  <c r="G1608"/>
  <c r="G1609"/>
  <c r="G1610"/>
  <c r="G1611"/>
  <c r="G1612"/>
  <c r="G1614"/>
  <c r="G1615"/>
  <c r="G1616"/>
  <c r="G1617"/>
  <c r="G1618"/>
  <c r="G1619"/>
  <c r="G1620"/>
  <c r="G1621"/>
  <c r="G1622"/>
  <c r="G1623"/>
  <c r="G1624"/>
  <c r="G1625"/>
  <c r="G1626"/>
  <c r="G1627"/>
  <c r="G1628"/>
  <c r="G1629"/>
  <c r="G1630"/>
  <c r="G1631"/>
  <c r="G1632"/>
  <c r="G1633"/>
  <c r="G1634"/>
  <c r="G1635"/>
  <c r="G1636"/>
  <c r="G1637"/>
  <c r="G1638"/>
  <c r="G1639"/>
  <c r="G1640"/>
  <c r="G1641"/>
  <c r="G1642"/>
  <c r="G1643"/>
  <c r="G1644"/>
  <c r="G1645"/>
  <c r="G1646"/>
  <c r="G1647"/>
  <c r="G8"/>
  <c r="F1613"/>
  <c r="G1613" s="1"/>
  <c r="F1527"/>
  <c r="G1527" s="1"/>
  <c r="F1034" l="1"/>
  <c r="G1034" s="1"/>
  <c r="F683"/>
  <c r="G683" s="1"/>
  <c r="F531"/>
  <c r="G531" s="1"/>
  <c r="F50"/>
  <c r="G50" s="1"/>
  <c r="F34"/>
  <c r="G34" s="1"/>
  <c r="F13"/>
  <c r="A3"/>
  <c r="F9" i="3"/>
  <c r="F10"/>
  <c r="F11"/>
  <c r="F12"/>
  <c r="F13"/>
  <c r="F14"/>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D7"/>
  <c r="E8"/>
  <c r="F8" s="1"/>
  <c r="A3"/>
  <c r="E7" i="17"/>
  <c r="E8"/>
  <c r="E9"/>
  <c r="E10"/>
  <c r="E11"/>
  <c r="E13"/>
  <c r="E14"/>
  <c r="E15"/>
  <c r="E16"/>
  <c r="D16"/>
  <c r="E7" i="3" l="1"/>
  <c r="F7" s="1"/>
  <c r="F12" i="50"/>
  <c r="G13"/>
  <c r="A3" i="17"/>
  <c r="F11" i="50" l="1"/>
  <c r="G11" s="1"/>
  <c r="G12"/>
  <c r="H16" i="4"/>
  <c r="H17"/>
  <c r="H18"/>
  <c r="H21"/>
  <c r="H24"/>
  <c r="H25"/>
  <c r="H26"/>
  <c r="H27"/>
  <c r="H28"/>
  <c r="H29"/>
  <c r="H30"/>
  <c r="H31"/>
  <c r="H32"/>
  <c r="H33"/>
  <c r="H34"/>
  <c r="H35"/>
  <c r="H36"/>
  <c r="H37"/>
  <c r="H38"/>
  <c r="H39"/>
  <c r="H40"/>
  <c r="H41"/>
  <c r="H42"/>
  <c r="H45"/>
  <c r="H46"/>
  <c r="H47"/>
  <c r="H48"/>
  <c r="H49"/>
  <c r="H50"/>
  <c r="H51"/>
  <c r="H52"/>
  <c r="H53"/>
  <c r="H54"/>
  <c r="H55"/>
  <c r="H56"/>
  <c r="H57"/>
  <c r="H58"/>
  <c r="H59"/>
  <c r="H60"/>
  <c r="H63"/>
  <c r="H64"/>
  <c r="H65"/>
  <c r="H66"/>
  <c r="H67"/>
  <c r="H68"/>
  <c r="H69"/>
  <c r="H70"/>
  <c r="H71"/>
  <c r="H72"/>
  <c r="H73"/>
  <c r="H74"/>
  <c r="H75"/>
  <c r="H76"/>
  <c r="H77"/>
  <c r="H80"/>
  <c r="H81"/>
  <c r="H82"/>
  <c r="H83"/>
  <c r="H84"/>
  <c r="H85"/>
  <c r="H88"/>
  <c r="H89"/>
  <c r="H90"/>
  <c r="H91"/>
  <c r="H92"/>
  <c r="H93"/>
  <c r="H94"/>
  <c r="H95"/>
  <c r="H96"/>
  <c r="H97"/>
  <c r="H98"/>
  <c r="H99"/>
  <c r="H100"/>
  <c r="H101"/>
  <c r="H102"/>
  <c r="H103"/>
  <c r="H104"/>
  <c r="H105"/>
  <c r="H106"/>
  <c r="H107"/>
  <c r="H108"/>
  <c r="H109"/>
  <c r="H110"/>
  <c r="H111"/>
  <c r="H112"/>
  <c r="H113"/>
  <c r="H114"/>
  <c r="H115"/>
  <c r="H116"/>
  <c r="H119"/>
  <c r="H120"/>
  <c r="H121"/>
  <c r="H122"/>
  <c r="H123"/>
  <c r="H124"/>
  <c r="H125"/>
  <c r="H128"/>
  <c r="H129"/>
  <c r="H130"/>
  <c r="H131"/>
  <c r="H132"/>
  <c r="H133"/>
  <c r="H134"/>
  <c r="H135"/>
  <c r="H136"/>
  <c r="H137"/>
  <c r="H138"/>
  <c r="H139"/>
  <c r="H140"/>
  <c r="H141"/>
  <c r="H142"/>
  <c r="H143"/>
  <c r="H144"/>
  <c r="H145"/>
  <c r="H146"/>
  <c r="H147"/>
  <c r="H148"/>
  <c r="H149"/>
  <c r="H150"/>
  <c r="H151"/>
  <c r="H152"/>
  <c r="H153"/>
  <c r="H154"/>
  <c r="H155"/>
  <c r="H158"/>
  <c r="H159"/>
  <c r="H160"/>
  <c r="H161"/>
  <c r="H162"/>
  <c r="H163"/>
  <c r="H164"/>
  <c r="H165"/>
  <c r="H166"/>
  <c r="H167"/>
  <c r="H168"/>
  <c r="H169"/>
  <c r="H170"/>
  <c r="H171"/>
  <c r="H172"/>
  <c r="H173"/>
  <c r="H174"/>
  <c r="H175"/>
  <c r="H177"/>
  <c r="H178"/>
  <c r="H179"/>
  <c r="H180"/>
  <c r="H183"/>
  <c r="H184"/>
  <c r="H185"/>
  <c r="H186"/>
  <c r="H187"/>
  <c r="H188"/>
  <c r="H189"/>
  <c r="H190"/>
  <c r="H191"/>
  <c r="H192"/>
  <c r="H193"/>
  <c r="H194"/>
  <c r="H195"/>
  <c r="H196"/>
  <c r="H197"/>
  <c r="H198"/>
  <c r="H199"/>
  <c r="H200"/>
  <c r="H201"/>
  <c r="H202"/>
  <c r="H203"/>
  <c r="H204"/>
  <c r="H205"/>
  <c r="H206"/>
  <c r="H207"/>
  <c r="H208"/>
  <c r="H209"/>
  <c r="H210"/>
  <c r="H211"/>
  <c r="H212"/>
  <c r="H213"/>
  <c r="H214"/>
  <c r="H215"/>
  <c r="H216"/>
  <c r="H217"/>
  <c r="H218"/>
  <c r="H219"/>
  <c r="H220"/>
  <c r="H221"/>
  <c r="H222"/>
  <c r="H223"/>
  <c r="H224"/>
  <c r="H225"/>
  <c r="H227"/>
  <c r="H228"/>
  <c r="H229"/>
  <c r="H230"/>
  <c r="H231"/>
  <c r="H232"/>
  <c r="H233"/>
  <c r="H234"/>
  <c r="H235"/>
  <c r="H238"/>
  <c r="H239"/>
  <c r="H240"/>
  <c r="H241"/>
  <c r="H242"/>
  <c r="H243"/>
  <c r="H244"/>
  <c r="H245"/>
  <c r="H246"/>
  <c r="H247"/>
  <c r="H248"/>
  <c r="H249"/>
  <c r="H250"/>
  <c r="H251"/>
  <c r="H252"/>
  <c r="H253"/>
  <c r="H254"/>
  <c r="H255"/>
  <c r="H256"/>
  <c r="H257"/>
  <c r="H258"/>
  <c r="H259"/>
  <c r="H260"/>
  <c r="H261"/>
  <c r="H262"/>
  <c r="H263"/>
  <c r="H264"/>
  <c r="H265"/>
  <c r="H266"/>
  <c r="H267"/>
  <c r="H268"/>
  <c r="H269"/>
  <c r="H270"/>
  <c r="H271"/>
  <c r="H272"/>
  <c r="H273"/>
  <c r="H274"/>
  <c r="H275"/>
  <c r="H276"/>
  <c r="H277"/>
  <c r="H278"/>
  <c r="H279"/>
  <c r="H280"/>
  <c r="H281"/>
  <c r="H282"/>
  <c r="H283"/>
  <c r="H284"/>
  <c r="H285"/>
  <c r="H286"/>
  <c r="H287"/>
  <c r="H288"/>
  <c r="H289"/>
  <c r="H290"/>
  <c r="H291"/>
  <c r="H292"/>
  <c r="H293"/>
  <c r="H294"/>
  <c r="H295"/>
  <c r="H296"/>
  <c r="H297"/>
  <c r="H298"/>
  <c r="H299"/>
  <c r="H300"/>
  <c r="H301"/>
  <c r="H302"/>
  <c r="H303"/>
  <c r="H304"/>
  <c r="H305"/>
  <c r="H306"/>
  <c r="H307"/>
  <c r="H308"/>
  <c r="H309"/>
  <c r="H310"/>
  <c r="H311"/>
  <c r="H312"/>
  <c r="H313"/>
  <c r="H315"/>
  <c r="H316"/>
  <c r="H317"/>
  <c r="H318"/>
  <c r="H319"/>
  <c r="H320"/>
  <c r="H321"/>
  <c r="H323"/>
  <c r="H324"/>
  <c r="H325"/>
  <c r="H326"/>
  <c r="H327"/>
  <c r="H328"/>
  <c r="H329"/>
  <c r="H330"/>
  <c r="H331"/>
  <c r="H332"/>
  <c r="H333"/>
  <c r="H334"/>
  <c r="H335"/>
  <c r="H336"/>
  <c r="H337"/>
  <c r="H338"/>
  <c r="H339"/>
  <c r="H340"/>
  <c r="H341"/>
  <c r="H342"/>
  <c r="H343"/>
  <c r="H344"/>
  <c r="H345"/>
  <c r="H346"/>
  <c r="H347"/>
  <c r="H348"/>
  <c r="H349"/>
  <c r="H350"/>
  <c r="H351"/>
  <c r="H352"/>
  <c r="H353"/>
  <c r="H354"/>
  <c r="H355"/>
  <c r="H356"/>
  <c r="H357"/>
  <c r="H358"/>
  <c r="H359"/>
  <c r="H360"/>
  <c r="H361"/>
  <c r="H362"/>
  <c r="H363"/>
  <c r="H364"/>
  <c r="H366"/>
  <c r="H367"/>
  <c r="H368"/>
  <c r="H369"/>
  <c r="H370"/>
  <c r="H371"/>
  <c r="H372"/>
  <c r="H373"/>
  <c r="H374"/>
  <c r="H375"/>
  <c r="H376"/>
  <c r="H377"/>
  <c r="H378"/>
  <c r="H379"/>
  <c r="H380"/>
  <c r="H381"/>
  <c r="H382"/>
  <c r="H383"/>
  <c r="H384"/>
  <c r="H385"/>
  <c r="H386"/>
  <c r="H387"/>
  <c r="H388"/>
  <c r="H389"/>
  <c r="H390"/>
  <c r="H391"/>
  <c r="H392"/>
  <c r="H393"/>
  <c r="H394"/>
  <c r="H395"/>
  <c r="H396"/>
  <c r="H397"/>
  <c r="H398"/>
  <c r="H399"/>
  <c r="H400"/>
  <c r="H401"/>
  <c r="H402"/>
  <c r="H403"/>
  <c r="H406"/>
  <c r="H407"/>
  <c r="H408"/>
  <c r="H409"/>
  <c r="H410"/>
  <c r="H411"/>
  <c r="H412"/>
  <c r="H413"/>
  <c r="H414"/>
  <c r="H415"/>
  <c r="H416"/>
  <c r="H417"/>
  <c r="H418"/>
  <c r="H419"/>
  <c r="H420"/>
  <c r="H421"/>
  <c r="H422"/>
  <c r="H424"/>
  <c r="H425"/>
  <c r="H426"/>
  <c r="H427"/>
  <c r="H428"/>
  <c r="H429"/>
  <c r="H430"/>
  <c r="H431"/>
  <c r="H432"/>
  <c r="H433"/>
  <c r="H434"/>
  <c r="H435"/>
  <c r="H436"/>
  <c r="H437"/>
  <c r="H438"/>
  <c r="H439"/>
  <c r="H441"/>
  <c r="H442"/>
  <c r="H443"/>
  <c r="H444"/>
  <c r="H445"/>
  <c r="H446"/>
  <c r="H447"/>
  <c r="H448"/>
  <c r="H449"/>
  <c r="H450"/>
  <c r="H451"/>
  <c r="H452"/>
  <c r="H453"/>
  <c r="H454"/>
  <c r="H455"/>
  <c r="H456"/>
  <c r="H457"/>
  <c r="H458"/>
  <c r="H459"/>
  <c r="H460"/>
  <c r="H461"/>
  <c r="H462"/>
  <c r="H463"/>
  <c r="H464"/>
  <c r="H465"/>
  <c r="H466"/>
  <c r="H467"/>
  <c r="H468"/>
  <c r="H469"/>
  <c r="H470"/>
  <c r="H471"/>
  <c r="H472"/>
  <c r="H473"/>
  <c r="H474"/>
  <c r="H475"/>
  <c r="H478"/>
  <c r="H479"/>
  <c r="H480"/>
  <c r="H481"/>
  <c r="H482"/>
  <c r="H483"/>
  <c r="H486"/>
  <c r="H487"/>
  <c r="H488"/>
  <c r="H489"/>
  <c r="H490"/>
  <c r="H491"/>
  <c r="H492"/>
  <c r="H493"/>
  <c r="H494"/>
  <c r="H495"/>
  <c r="H496"/>
  <c r="H497"/>
  <c r="H498"/>
  <c r="H499"/>
  <c r="H500"/>
  <c r="H501"/>
  <c r="H502"/>
  <c r="H503"/>
  <c r="H504"/>
  <c r="H505"/>
  <c r="H506"/>
  <c r="H507"/>
  <c r="H508"/>
  <c r="H509"/>
  <c r="H510"/>
  <c r="H511"/>
  <c r="H512"/>
  <c r="H513"/>
  <c r="H514"/>
  <c r="H515"/>
  <c r="H516"/>
  <c r="H517"/>
  <c r="H518"/>
  <c r="H519"/>
  <c r="H520"/>
  <c r="H523"/>
  <c r="H524"/>
  <c r="H525"/>
  <c r="H526"/>
  <c r="H527"/>
  <c r="H528"/>
  <c r="H529"/>
  <c r="H530"/>
  <c r="H531"/>
  <c r="H532"/>
  <c r="H533"/>
  <c r="H534"/>
  <c r="H535"/>
  <c r="H536"/>
  <c r="H537"/>
  <c r="H538"/>
  <c r="H539"/>
  <c r="H540"/>
  <c r="H543"/>
  <c r="H544"/>
  <c r="H545"/>
  <c r="H546"/>
  <c r="H547"/>
  <c r="H548"/>
  <c r="H549"/>
  <c r="H550"/>
  <c r="H551"/>
  <c r="H552"/>
  <c r="H553"/>
  <c r="H554"/>
  <c r="H557"/>
  <c r="H558"/>
  <c r="H559"/>
  <c r="H560"/>
  <c r="H561"/>
  <c r="H562"/>
  <c r="H563"/>
  <c r="H564"/>
  <c r="H565"/>
  <c r="H566"/>
  <c r="H567"/>
  <c r="H568"/>
  <c r="H569"/>
  <c r="H570"/>
  <c r="H571"/>
  <c r="H572"/>
  <c r="H573"/>
  <c r="H574"/>
  <c r="H575"/>
  <c r="H576"/>
  <c r="H577"/>
  <c r="H578"/>
  <c r="H579"/>
  <c r="H580"/>
  <c r="H581"/>
  <c r="H582"/>
  <c r="H583"/>
  <c r="H584"/>
  <c r="H585"/>
  <c r="H586"/>
  <c r="H587"/>
  <c r="H588"/>
  <c r="H589"/>
  <c r="H590"/>
  <c r="H591"/>
  <c r="H592"/>
  <c r="H593"/>
  <c r="H594"/>
  <c r="H595"/>
  <c r="H596"/>
  <c r="H597"/>
  <c r="H598"/>
  <c r="H599"/>
  <c r="H600"/>
  <c r="H601"/>
  <c r="H602"/>
  <c r="H603"/>
  <c r="H604"/>
  <c r="H605"/>
  <c r="H606"/>
  <c r="H607"/>
  <c r="H608"/>
  <c r="H609"/>
  <c r="H610"/>
  <c r="H611"/>
  <c r="H612"/>
  <c r="H613"/>
  <c r="H614"/>
  <c r="H615"/>
  <c r="H616"/>
  <c r="H617"/>
  <c r="H618"/>
  <c r="H619"/>
  <c r="H620"/>
  <c r="H621"/>
  <c r="H622"/>
  <c r="H623"/>
  <c r="H624"/>
  <c r="H625"/>
  <c r="H626"/>
  <c r="H627"/>
  <c r="H628"/>
  <c r="H629"/>
  <c r="H630"/>
  <c r="H631"/>
  <c r="H632"/>
  <c r="H633"/>
  <c r="H634"/>
  <c r="H635"/>
  <c r="H636"/>
  <c r="H637"/>
  <c r="H638"/>
  <c r="H639"/>
  <c r="H640"/>
  <c r="H641"/>
  <c r="H642"/>
  <c r="H643"/>
  <c r="H644"/>
  <c r="H645"/>
  <c r="H646"/>
  <c r="H647"/>
  <c r="H648"/>
  <c r="H649"/>
  <c r="H650"/>
  <c r="H651"/>
  <c r="H652"/>
  <c r="H653"/>
  <c r="H654"/>
  <c r="H655"/>
  <c r="H656"/>
  <c r="H657"/>
  <c r="H658"/>
  <c r="H659"/>
  <c r="H660"/>
  <c r="H661"/>
  <c r="H662"/>
  <c r="H663"/>
  <c r="H664"/>
  <c r="H665"/>
  <c r="H666"/>
  <c r="H667"/>
  <c r="H668"/>
  <c r="H669"/>
  <c r="H670"/>
  <c r="H671"/>
  <c r="H672"/>
  <c r="H673"/>
  <c r="H675"/>
  <c r="H676"/>
  <c r="H677"/>
  <c r="H678"/>
  <c r="H679"/>
  <c r="H680"/>
  <c r="H681"/>
  <c r="H682"/>
  <c r="H683"/>
  <c r="H684"/>
  <c r="H685"/>
  <c r="H686"/>
  <c r="H687"/>
  <c r="H688"/>
  <c r="H689"/>
  <c r="H690"/>
  <c r="H691"/>
  <c r="H692"/>
  <c r="H693"/>
  <c r="H694"/>
  <c r="H695"/>
  <c r="H696"/>
  <c r="H697"/>
  <c r="H698"/>
  <c r="H699"/>
  <c r="H700"/>
  <c r="H701"/>
  <c r="H702"/>
  <c r="H703"/>
  <c r="H704"/>
  <c r="H705"/>
  <c r="H706"/>
  <c r="H707"/>
  <c r="H708"/>
  <c r="H709"/>
  <c r="H710"/>
  <c r="H711"/>
  <c r="H712"/>
  <c r="H713"/>
  <c r="H714"/>
  <c r="H715"/>
  <c r="H716"/>
  <c r="H717"/>
  <c r="H718"/>
  <c r="H719"/>
  <c r="H720"/>
  <c r="H721"/>
  <c r="H722"/>
  <c r="H723"/>
  <c r="H724"/>
  <c r="H725"/>
  <c r="H726"/>
  <c r="H727"/>
  <c r="H728"/>
  <c r="H729"/>
  <c r="H730"/>
  <c r="H731"/>
  <c r="H732"/>
  <c r="H733"/>
  <c r="H734"/>
  <c r="H735"/>
  <c r="H736"/>
  <c r="H737"/>
  <c r="H738"/>
  <c r="H739"/>
  <c r="H740"/>
  <c r="H741"/>
  <c r="H742"/>
  <c r="H743"/>
  <c r="H744"/>
  <c r="H745"/>
  <c r="H746"/>
  <c r="H747"/>
  <c r="H748"/>
  <c r="H749"/>
  <c r="H750"/>
  <c r="H751"/>
  <c r="H752"/>
  <c r="H753"/>
  <c r="H754"/>
  <c r="H755"/>
  <c r="H756"/>
  <c r="H757"/>
  <c r="H758"/>
  <c r="H759"/>
  <c r="H760"/>
  <c r="H761"/>
  <c r="H762"/>
  <c r="H763"/>
  <c r="H764"/>
  <c r="H765"/>
  <c r="H766"/>
  <c r="H767"/>
  <c r="H768"/>
  <c r="H769"/>
  <c r="H770"/>
  <c r="H771"/>
  <c r="H772"/>
  <c r="H773"/>
  <c r="H774"/>
  <c r="H775"/>
  <c r="H776"/>
  <c r="H777"/>
  <c r="H778"/>
  <c r="H779"/>
  <c r="H780"/>
  <c r="H781"/>
  <c r="H782"/>
  <c r="H783"/>
  <c r="H784"/>
  <c r="H785"/>
  <c r="H786"/>
  <c r="H787"/>
  <c r="H788"/>
  <c r="H789"/>
  <c r="H790"/>
  <c r="H791"/>
  <c r="H792"/>
  <c r="H793"/>
  <c r="H794"/>
  <c r="H795"/>
  <c r="H796"/>
  <c r="H797"/>
  <c r="H798"/>
  <c r="H799"/>
  <c r="H800"/>
  <c r="H801"/>
  <c r="H802"/>
  <c r="H803"/>
  <c r="H804"/>
  <c r="H805"/>
  <c r="H806"/>
  <c r="H807"/>
  <c r="H810"/>
  <c r="H811"/>
  <c r="H812"/>
  <c r="H813"/>
  <c r="H814"/>
  <c r="H815"/>
  <c r="H816"/>
  <c r="H817"/>
  <c r="H818"/>
  <c r="H819"/>
  <c r="H820"/>
  <c r="H821"/>
  <c r="H822"/>
  <c r="H823"/>
  <c r="H824"/>
  <c r="H825"/>
  <c r="H826"/>
  <c r="H827"/>
  <c r="H828"/>
  <c r="H829"/>
  <c r="H830"/>
  <c r="H831"/>
  <c r="H832"/>
  <c r="H833"/>
  <c r="H834"/>
  <c r="H835"/>
  <c r="H836"/>
  <c r="H837"/>
  <c r="H838"/>
  <c r="H839"/>
  <c r="H841"/>
  <c r="H842"/>
  <c r="H843"/>
  <c r="H844"/>
  <c r="H845"/>
  <c r="H846"/>
  <c r="H847"/>
  <c r="H848"/>
  <c r="H849"/>
  <c r="H850"/>
  <c r="H851"/>
  <c r="H852"/>
  <c r="H853"/>
  <c r="H854"/>
  <c r="H855"/>
  <c r="H856"/>
  <c r="H857"/>
  <c r="H858"/>
  <c r="H859"/>
  <c r="H860"/>
  <c r="H861"/>
  <c r="H862"/>
  <c r="H863"/>
  <c r="H864"/>
  <c r="H865"/>
  <c r="H866"/>
  <c r="H867"/>
  <c r="H868"/>
  <c r="H869"/>
  <c r="H870"/>
  <c r="H871"/>
  <c r="H872"/>
  <c r="H873"/>
  <c r="H874"/>
  <c r="H875"/>
  <c r="H876"/>
  <c r="H877"/>
  <c r="H878"/>
  <c r="H879"/>
  <c r="H880"/>
  <c r="H881"/>
  <c r="H882"/>
  <c r="H883"/>
  <c r="H884"/>
  <c r="H885"/>
  <c r="H886"/>
  <c r="H887"/>
  <c r="H888"/>
  <c r="H889"/>
  <c r="H890"/>
  <c r="H891"/>
  <c r="H892"/>
  <c r="H893"/>
  <c r="H894"/>
  <c r="H895"/>
  <c r="H897"/>
  <c r="H898"/>
  <c r="H899"/>
  <c r="H900"/>
  <c r="H901"/>
  <c r="H902"/>
  <c r="H903"/>
  <c r="H904"/>
  <c r="H905"/>
  <c r="H906"/>
  <c r="H907"/>
  <c r="H908"/>
  <c r="H909"/>
  <c r="H910"/>
  <c r="H911"/>
  <c r="H912"/>
  <c r="H913"/>
  <c r="H914"/>
  <c r="H915"/>
  <c r="H916"/>
  <c r="H917"/>
  <c r="H918"/>
  <c r="H919"/>
  <c r="H920"/>
  <c r="H921"/>
  <c r="H922"/>
  <c r="H923"/>
  <c r="H924"/>
  <c r="H925"/>
  <c r="H926"/>
  <c r="H927"/>
  <c r="H928"/>
  <c r="H930"/>
  <c r="H931"/>
  <c r="H932"/>
  <c r="H933"/>
  <c r="H934"/>
  <c r="H935"/>
  <c r="H936"/>
  <c r="H937"/>
  <c r="H938"/>
  <c r="H939"/>
  <c r="H940"/>
  <c r="H941"/>
  <c r="H942"/>
  <c r="H943"/>
  <c r="H944"/>
  <c r="H945"/>
  <c r="H946"/>
  <c r="H947"/>
  <c r="H948"/>
  <c r="H949"/>
  <c r="H950"/>
  <c r="H951"/>
  <c r="H952"/>
  <c r="H953"/>
  <c r="H954"/>
  <c r="H955"/>
  <c r="H956"/>
  <c r="H957"/>
  <c r="H958"/>
  <c r="H959"/>
  <c r="H960"/>
  <c r="H961"/>
  <c r="H962"/>
  <c r="H964"/>
  <c r="H965"/>
  <c r="H966"/>
  <c r="H967"/>
  <c r="H968"/>
  <c r="H969"/>
  <c r="H970"/>
  <c r="H971"/>
  <c r="H972"/>
  <c r="H973"/>
  <c r="H974"/>
  <c r="H975"/>
  <c r="H976"/>
  <c r="H977"/>
  <c r="H981"/>
  <c r="H982"/>
  <c r="H983"/>
  <c r="H986"/>
  <c r="H987"/>
  <c r="H988"/>
  <c r="H989"/>
  <c r="H990"/>
  <c r="H991"/>
  <c r="H993"/>
  <c r="H994"/>
  <c r="H995"/>
  <c r="H996"/>
  <c r="H997"/>
  <c r="H998"/>
  <c r="H999"/>
  <c r="H1000"/>
  <c r="H1001"/>
  <c r="H1002"/>
  <c r="H1003"/>
  <c r="H1004"/>
  <c r="H1005"/>
  <c r="H1006"/>
  <c r="H1007"/>
  <c r="H1008"/>
  <c r="H1009"/>
  <c r="H1010"/>
  <c r="H1011"/>
  <c r="H1012"/>
  <c r="H1013"/>
  <c r="H1014"/>
  <c r="H1015"/>
  <c r="H1016"/>
  <c r="H1017"/>
  <c r="H1018"/>
  <c r="H1019"/>
  <c r="H1020"/>
  <c r="H1021"/>
  <c r="H1022"/>
  <c r="H1023"/>
  <c r="H1024"/>
  <c r="H1025"/>
  <c r="H1026"/>
  <c r="H1029"/>
  <c r="H1030"/>
  <c r="H1031"/>
  <c r="H1032"/>
  <c r="H1033"/>
  <c r="H1034"/>
  <c r="H1035"/>
  <c r="H1038"/>
  <c r="H1039"/>
  <c r="H1040"/>
  <c r="H1041"/>
  <c r="H1042"/>
  <c r="H1043"/>
  <c r="H1044"/>
  <c r="H1045"/>
  <c r="H1046"/>
  <c r="H1047"/>
  <c r="H1048"/>
  <c r="H1049"/>
  <c r="H1050"/>
  <c r="H1051"/>
  <c r="H1052"/>
  <c r="H1053"/>
  <c r="H1054"/>
  <c r="H1055"/>
  <c r="H1056"/>
  <c r="H1057"/>
  <c r="H1058"/>
  <c r="H1059"/>
  <c r="H1060"/>
  <c r="H1061"/>
  <c r="H1062"/>
  <c r="H1063"/>
  <c r="H1064"/>
  <c r="H1065"/>
  <c r="H1068"/>
  <c r="H1069"/>
  <c r="H1070"/>
  <c r="H1071"/>
  <c r="H1072"/>
  <c r="H1073"/>
  <c r="H1075"/>
  <c r="H1076"/>
  <c r="H1078"/>
  <c r="H1079"/>
  <c r="H1080"/>
  <c r="H1081"/>
  <c r="H1082"/>
  <c r="H1083"/>
  <c r="H1084"/>
  <c r="H1085"/>
  <c r="H1088"/>
  <c r="H1089"/>
  <c r="H1092"/>
  <c r="H1093"/>
  <c r="H1094"/>
  <c r="H1095"/>
  <c r="H1096"/>
  <c r="H1097"/>
  <c r="H1098"/>
  <c r="H1099"/>
  <c r="H1100"/>
  <c r="H1101"/>
  <c r="H1102"/>
  <c r="H1103"/>
  <c r="H1104"/>
  <c r="H1105"/>
  <c r="H1106"/>
  <c r="H1107"/>
  <c r="H1108"/>
  <c r="H1109"/>
  <c r="H1110"/>
  <c r="H1111"/>
  <c r="H1112"/>
  <c r="H1113"/>
  <c r="H1114"/>
  <c r="H1117"/>
  <c r="H1118"/>
  <c r="H1119"/>
  <c r="H1120"/>
  <c r="H1121"/>
  <c r="H1122"/>
  <c r="H1123"/>
  <c r="H1124"/>
  <c r="H1125"/>
  <c r="H1126"/>
  <c r="H1127"/>
  <c r="H1130"/>
  <c r="H1131"/>
  <c r="H1132"/>
  <c r="H1133"/>
  <c r="H1134"/>
  <c r="H1135"/>
  <c r="H1136"/>
  <c r="H1137"/>
  <c r="H1138"/>
  <c r="H1139"/>
  <c r="H1140"/>
  <c r="H1141"/>
  <c r="H1142"/>
  <c r="H1143"/>
  <c r="H1144"/>
  <c r="H1145"/>
  <c r="H1146"/>
  <c r="H1147"/>
  <c r="H1148"/>
  <c r="H1149"/>
  <c r="H1150"/>
  <c r="H1151"/>
  <c r="H1152"/>
  <c r="H1153"/>
  <c r="H1154"/>
  <c r="H1155"/>
  <c r="H1156"/>
  <c r="H1157"/>
  <c r="H1158"/>
  <c r="H1159"/>
  <c r="H1160"/>
  <c r="H1161"/>
  <c r="H1162"/>
  <c r="H1163"/>
  <c r="H1164"/>
  <c r="H1165"/>
  <c r="H1166"/>
  <c r="H1167"/>
  <c r="H1168"/>
  <c r="H1169"/>
  <c r="H1170"/>
  <c r="H1171"/>
  <c r="H1172"/>
  <c r="H1173"/>
  <c r="H1174"/>
  <c r="H1175"/>
  <c r="H1176"/>
  <c r="H1177"/>
  <c r="H1178"/>
  <c r="H1179"/>
  <c r="H1180"/>
  <c r="H1181"/>
  <c r="H1182"/>
  <c r="H1183"/>
  <c r="H1184"/>
  <c r="H1185"/>
  <c r="H1188"/>
  <c r="H1189"/>
  <c r="H1190"/>
  <c r="H1191"/>
  <c r="H1192"/>
  <c r="H1193"/>
  <c r="H1196"/>
  <c r="H1197"/>
  <c r="H1198"/>
  <c r="H1199"/>
  <c r="H1200"/>
  <c r="H1201"/>
  <c r="H1202"/>
  <c r="H1203"/>
  <c r="H1204"/>
  <c r="H1207"/>
  <c r="H1208"/>
  <c r="H1209"/>
  <c r="H1212"/>
  <c r="H1213"/>
  <c r="H1214"/>
  <c r="H1215"/>
  <c r="H1216"/>
  <c r="H1217"/>
  <c r="H1218"/>
  <c r="H1219"/>
  <c r="H1220"/>
  <c r="H1221"/>
  <c r="H1224"/>
  <c r="H1225"/>
  <c r="H1226"/>
  <c r="H1227"/>
  <c r="H1228"/>
  <c r="H1229"/>
  <c r="H1230"/>
  <c r="H1231"/>
  <c r="H1232"/>
  <c r="H1233"/>
  <c r="H1234"/>
  <c r="H1235"/>
  <c r="H1236"/>
  <c r="H1237"/>
  <c r="H1238"/>
  <c r="H1239"/>
  <c r="H1240"/>
  <c r="H1241"/>
  <c r="H1242"/>
  <c r="H1243"/>
  <c r="H1244"/>
  <c r="H1245"/>
  <c r="H1246"/>
  <c r="H1247"/>
  <c r="H1248"/>
  <c r="H1249"/>
  <c r="H1250"/>
  <c r="H1251"/>
  <c r="H1252"/>
  <c r="H1253"/>
  <c r="H1254"/>
  <c r="H1257"/>
  <c r="H1258"/>
  <c r="H1259"/>
  <c r="H1260"/>
  <c r="H1261"/>
  <c r="H1262"/>
  <c r="H1265"/>
  <c r="H1266"/>
  <c r="H1267"/>
  <c r="H1268"/>
  <c r="H1269"/>
  <c r="H1270"/>
  <c r="H1271"/>
  <c r="H1272"/>
  <c r="H1273"/>
  <c r="H1274"/>
  <c r="H1275"/>
  <c r="H1276"/>
  <c r="H1277"/>
  <c r="H1278"/>
  <c r="H1279"/>
  <c r="H1280"/>
  <c r="H1281"/>
  <c r="H1282"/>
  <c r="H1283"/>
  <c r="H1284"/>
  <c r="H1285"/>
  <c r="H1286"/>
  <c r="H1287"/>
  <c r="H1288"/>
  <c r="H1289"/>
  <c r="H1290"/>
  <c r="H1291"/>
  <c r="H1292"/>
  <c r="H1293"/>
  <c r="H1294"/>
  <c r="H1295"/>
  <c r="H1296"/>
  <c r="H1297"/>
  <c r="H1298"/>
  <c r="H1299"/>
  <c r="H1300"/>
  <c r="H1301"/>
  <c r="H1302"/>
  <c r="H1303"/>
  <c r="H1304"/>
  <c r="H1305"/>
  <c r="H1306"/>
  <c r="H1307"/>
  <c r="H1308"/>
  <c r="H1309"/>
  <c r="H1310"/>
  <c r="H1311"/>
  <c r="H1312"/>
  <c r="H1313"/>
  <c r="H1314"/>
  <c r="H1315"/>
  <c r="H1316"/>
  <c r="H1317"/>
  <c r="H1318"/>
  <c r="H1319"/>
  <c r="H1320"/>
  <c r="H1321"/>
  <c r="H1322"/>
  <c r="H1323"/>
  <c r="H1324"/>
  <c r="H1325"/>
  <c r="H1326"/>
  <c r="H1327"/>
  <c r="H1328"/>
  <c r="H1329"/>
  <c r="H1330"/>
  <c r="H1331"/>
  <c r="H1332"/>
  <c r="H1333"/>
  <c r="H1334"/>
  <c r="H1335"/>
  <c r="H1336"/>
  <c r="H1337"/>
  <c r="H1338"/>
  <c r="H1339"/>
  <c r="H1340"/>
  <c r="H1341"/>
  <c r="H1342"/>
  <c r="H1343"/>
  <c r="H1344"/>
  <c r="H1345"/>
  <c r="H1346"/>
  <c r="H1347"/>
  <c r="H1348"/>
  <c r="H1349"/>
  <c r="H1350"/>
  <c r="H1353"/>
  <c r="H1354"/>
  <c r="H1355"/>
  <c r="H1356"/>
  <c r="H1357"/>
  <c r="H1358"/>
  <c r="H1359"/>
  <c r="H1360"/>
  <c r="H1363"/>
  <c r="H1364"/>
  <c r="H1365"/>
  <c r="H1366"/>
  <c r="H1367"/>
  <c r="H1368"/>
  <c r="H1369"/>
  <c r="H1370"/>
  <c r="H1371"/>
  <c r="H1372"/>
  <c r="H1373"/>
  <c r="H1374"/>
  <c r="H1375"/>
  <c r="H1376"/>
  <c r="H1377"/>
  <c r="H1378"/>
  <c r="H1379"/>
  <c r="H1380"/>
  <c r="H1381"/>
  <c r="H1382"/>
  <c r="H1383"/>
  <c r="H1384"/>
  <c r="H1385"/>
  <c r="H1386"/>
  <c r="H1387"/>
  <c r="H1388"/>
  <c r="H1389"/>
  <c r="H1390"/>
  <c r="H1391"/>
  <c r="H1392"/>
  <c r="H1393"/>
  <c r="H1394"/>
  <c r="H1395"/>
  <c r="H1396"/>
  <c r="H1397"/>
  <c r="H1398"/>
  <c r="H1401"/>
  <c r="H1402"/>
  <c r="H1403"/>
  <c r="H1404"/>
  <c r="H1405"/>
  <c r="H1406"/>
  <c r="H1409"/>
  <c r="H1410"/>
  <c r="H1411"/>
  <c r="H1412"/>
  <c r="H1413"/>
  <c r="H1414"/>
  <c r="H1415"/>
  <c r="H1416"/>
  <c r="H1417"/>
  <c r="H1418"/>
  <c r="H1419"/>
  <c r="H1420"/>
  <c r="H1421"/>
  <c r="H1423"/>
  <c r="H1424"/>
  <c r="H1425"/>
  <c r="H1426"/>
  <c r="H1427"/>
  <c r="H1428"/>
  <c r="H1429"/>
  <c r="H1430"/>
  <c r="H1431"/>
  <c r="H1432"/>
  <c r="H1433"/>
  <c r="H1434"/>
  <c r="H1435"/>
  <c r="H1436"/>
  <c r="H1437"/>
  <c r="H1438"/>
  <c r="H1439"/>
  <c r="H1440"/>
  <c r="H1441"/>
  <c r="H1442"/>
  <c r="H1443"/>
  <c r="H1444"/>
  <c r="H1445"/>
  <c r="H1446"/>
  <c r="H1448"/>
  <c r="H1449"/>
  <c r="H1450"/>
  <c r="H1451"/>
  <c r="H1452"/>
  <c r="H1453"/>
  <c r="H1454"/>
  <c r="H1455"/>
  <c r="H1456"/>
  <c r="H1457"/>
  <c r="H1458"/>
  <c r="H1459"/>
  <c r="H1460"/>
  <c r="H1461"/>
  <c r="H1462"/>
  <c r="H1463"/>
  <c r="H1464"/>
  <c r="H1465"/>
  <c r="H1466"/>
  <c r="H1467"/>
  <c r="H1468"/>
  <c r="H1469"/>
  <c r="H1472"/>
  <c r="H1473"/>
  <c r="H1474"/>
  <c r="H1475"/>
  <c r="H1478"/>
  <c r="H1479"/>
  <c r="H1480"/>
  <c r="H1481"/>
  <c r="H1482"/>
  <c r="H1483"/>
  <c r="H1485"/>
  <c r="H1486"/>
  <c r="H1488"/>
  <c r="H1489"/>
  <c r="H1490"/>
  <c r="H1493"/>
  <c r="H1494"/>
  <c r="H1495"/>
  <c r="H1496"/>
  <c r="H1497"/>
  <c r="H1498"/>
  <c r="H1499"/>
  <c r="H1500"/>
  <c r="H1501"/>
  <c r="H1502"/>
  <c r="H1503"/>
  <c r="H1504"/>
  <c r="H1505"/>
  <c r="H1506"/>
  <c r="H1507"/>
  <c r="H1508"/>
  <c r="H1509"/>
  <c r="H1510"/>
  <c r="H1511"/>
  <c r="H1514"/>
  <c r="H1515"/>
  <c r="H1516"/>
  <c r="H1517"/>
  <c r="H1518"/>
  <c r="H1521"/>
  <c r="H1522"/>
  <c r="H1523"/>
  <c r="H1526"/>
  <c r="H1527"/>
  <c r="H1528"/>
  <c r="H1529"/>
  <c r="H1530"/>
  <c r="H1531"/>
  <c r="H1534"/>
  <c r="H1535"/>
  <c r="H1536"/>
  <c r="H1537"/>
  <c r="H1538"/>
  <c r="H1539"/>
  <c r="H1540"/>
  <c r="H1541"/>
  <c r="H1542"/>
  <c r="H1543"/>
  <c r="H1544"/>
  <c r="H1545"/>
  <c r="H1546"/>
  <c r="H1547"/>
  <c r="H1548"/>
  <c r="H1549"/>
  <c r="H1550"/>
  <c r="H1551"/>
  <c r="H1552"/>
  <c r="H1556"/>
  <c r="H1557"/>
  <c r="H1558"/>
  <c r="H1561"/>
  <c r="H1562"/>
  <c r="H1563"/>
  <c r="H1564"/>
  <c r="H1565"/>
  <c r="H1566"/>
  <c r="H1569"/>
  <c r="H1570"/>
  <c r="H1571"/>
  <c r="H1572"/>
  <c r="H1573"/>
  <c r="H1574"/>
  <c r="H1575"/>
  <c r="H1576"/>
  <c r="H1577"/>
  <c r="H1578"/>
  <c r="H1579"/>
  <c r="H1580"/>
  <c r="H1581"/>
  <c r="H1582"/>
  <c r="H1583"/>
  <c r="H1584"/>
  <c r="H1585"/>
  <c r="H1586"/>
  <c r="H1587"/>
  <c r="H1588"/>
  <c r="H1589"/>
  <c r="H1590"/>
  <c r="H1591"/>
  <c r="H1592"/>
  <c r="H1593"/>
  <c r="H1594"/>
  <c r="H1595"/>
  <c r="H1596"/>
  <c r="H1597"/>
  <c r="H1598"/>
  <c r="H1599"/>
  <c r="H1600"/>
  <c r="H1601"/>
  <c r="H1602"/>
  <c r="H1603"/>
  <c r="H1604"/>
  <c r="H1605"/>
  <c r="H1606"/>
  <c r="H1607"/>
  <c r="H1608"/>
  <c r="H1609"/>
  <c r="H1610"/>
  <c r="H1611"/>
  <c r="H1612"/>
  <c r="H1613"/>
  <c r="H1614"/>
  <c r="H1615"/>
  <c r="H1616"/>
  <c r="H1617"/>
  <c r="H1618"/>
  <c r="H1619"/>
  <c r="H1620"/>
  <c r="H1621"/>
  <c r="H1622"/>
  <c r="H1623"/>
  <c r="H1624"/>
  <c r="H1625"/>
  <c r="H1626"/>
  <c r="H1627"/>
  <c r="H1628"/>
  <c r="H1629"/>
  <c r="H1630"/>
  <c r="H1631"/>
  <c r="H1632"/>
  <c r="H1633"/>
  <c r="H1634"/>
  <c r="H1635"/>
  <c r="H1636"/>
  <c r="H1637"/>
  <c r="H1638"/>
  <c r="H1639"/>
  <c r="H1640"/>
  <c r="H1641"/>
  <c r="H1642"/>
  <c r="H1643"/>
  <c r="H1644"/>
  <c r="H1645"/>
  <c r="H1646"/>
  <c r="H1647"/>
  <c r="H1648"/>
  <c r="H1649"/>
  <c r="H1650"/>
  <c r="H1651"/>
  <c r="H1652"/>
  <c r="H1653"/>
  <c r="H1654"/>
  <c r="H1655"/>
  <c r="H1656"/>
  <c r="H1657"/>
  <c r="H1658"/>
  <c r="H1659"/>
  <c r="H1660"/>
  <c r="H1661"/>
  <c r="H1662"/>
  <c r="H1663"/>
  <c r="H1664"/>
  <c r="H1665"/>
  <c r="H1666"/>
  <c r="H1667"/>
  <c r="H1668"/>
  <c r="H1669"/>
  <c r="H1670"/>
  <c r="H1671"/>
  <c r="H1672"/>
  <c r="H1673"/>
  <c r="H1674"/>
  <c r="H1675"/>
  <c r="H1676"/>
  <c r="H1677"/>
  <c r="H1678"/>
  <c r="H1679"/>
  <c r="H1680"/>
  <c r="H1681"/>
  <c r="H1682"/>
  <c r="H1683"/>
  <c r="H1684"/>
  <c r="H1685"/>
  <c r="H1686"/>
  <c r="H1687"/>
  <c r="H1688"/>
  <c r="H1689"/>
  <c r="H1690"/>
  <c r="H1691"/>
  <c r="H1692"/>
  <c r="H1693"/>
  <c r="H1694"/>
  <c r="H1695"/>
  <c r="H1697"/>
  <c r="H1698"/>
  <c r="H1699"/>
  <c r="H1700"/>
  <c r="H1701"/>
  <c r="H1702"/>
  <c r="H1703"/>
  <c r="H1704"/>
  <c r="H1705"/>
  <c r="H1706"/>
  <c r="H1707"/>
  <c r="H1708"/>
  <c r="H1709"/>
  <c r="H1710"/>
  <c r="H1711"/>
  <c r="H1712"/>
  <c r="H1713"/>
  <c r="H1714"/>
  <c r="H1715"/>
  <c r="H1716"/>
  <c r="H1717"/>
  <c r="H1718"/>
  <c r="H1719"/>
  <c r="H1720"/>
  <c r="H1721"/>
  <c r="H1722"/>
  <c r="G1696"/>
  <c r="H1696" s="1"/>
  <c r="G1568"/>
  <c r="G1567" s="1"/>
  <c r="H1567" s="1"/>
  <c r="G1560"/>
  <c r="G1559" s="1"/>
  <c r="H1559" s="1"/>
  <c r="G1555"/>
  <c r="H1555" s="1"/>
  <c r="G1533"/>
  <c r="G1532" s="1"/>
  <c r="H1532" s="1"/>
  <c r="G1525"/>
  <c r="G1524" s="1"/>
  <c r="H1524" s="1"/>
  <c r="G1520"/>
  <c r="G1519" s="1"/>
  <c r="H1519" s="1"/>
  <c r="G1513"/>
  <c r="G1512" s="1"/>
  <c r="H1512" s="1"/>
  <c r="H1533" l="1"/>
  <c r="H1513"/>
  <c r="H1525"/>
  <c r="H1568"/>
  <c r="H1560"/>
  <c r="H1520"/>
  <c r="G1554"/>
  <c r="H1554" s="1"/>
  <c r="G1492"/>
  <c r="G1487"/>
  <c r="G1477"/>
  <c r="G1471"/>
  <c r="G1447"/>
  <c r="H1447" s="1"/>
  <c r="G1422"/>
  <c r="H1422" s="1"/>
  <c r="G1408"/>
  <c r="G1400"/>
  <c r="G1362"/>
  <c r="G1352"/>
  <c r="G1264"/>
  <c r="G1256"/>
  <c r="G1223"/>
  <c r="G1211"/>
  <c r="G1206"/>
  <c r="G1195"/>
  <c r="G1187"/>
  <c r="G1129"/>
  <c r="G1116"/>
  <c r="G1091"/>
  <c r="G1087"/>
  <c r="G1077"/>
  <c r="G1067"/>
  <c r="G1037"/>
  <c r="G1028"/>
  <c r="G992"/>
  <c r="H992" s="1"/>
  <c r="G985"/>
  <c r="G980"/>
  <c r="G963"/>
  <c r="H963" s="1"/>
  <c r="G929"/>
  <c r="H929" s="1"/>
  <c r="G674"/>
  <c r="H674" s="1"/>
  <c r="G556"/>
  <c r="H556" s="1"/>
  <c r="G840"/>
  <c r="H840" s="1"/>
  <c r="G809"/>
  <c r="F322"/>
  <c r="F314" s="1"/>
  <c r="F62"/>
  <c r="F440"/>
  <c r="G522"/>
  <c r="G542"/>
  <c r="H542" s="1"/>
  <c r="G440"/>
  <c r="G485"/>
  <c r="G477"/>
  <c r="G405"/>
  <c r="G322"/>
  <c r="G62"/>
  <c r="G365"/>
  <c r="H365" s="1"/>
  <c r="G1553" l="1"/>
  <c r="H1553" s="1"/>
  <c r="H62"/>
  <c r="G314"/>
  <c r="H314" s="1"/>
  <c r="H322"/>
  <c r="G1027"/>
  <c r="H1027" s="1"/>
  <c r="H1028"/>
  <c r="G1086"/>
  <c r="H1086" s="1"/>
  <c r="H1087"/>
  <c r="G1222"/>
  <c r="H1222" s="1"/>
  <c r="H1223"/>
  <c r="G1361"/>
  <c r="H1361" s="1"/>
  <c r="H1362"/>
  <c r="G1491"/>
  <c r="H1491" s="1"/>
  <c r="H1492"/>
  <c r="G521"/>
  <c r="H521" s="1"/>
  <c r="H522"/>
  <c r="G1074"/>
  <c r="H1074" s="1"/>
  <c r="H1077"/>
  <c r="G1210"/>
  <c r="H1210" s="1"/>
  <c r="H1211"/>
  <c r="G404"/>
  <c r="H404" s="1"/>
  <c r="H405"/>
  <c r="G979"/>
  <c r="H979" s="1"/>
  <c r="H980"/>
  <c r="G1036"/>
  <c r="H1036" s="1"/>
  <c r="H1037"/>
  <c r="G1090"/>
  <c r="H1090" s="1"/>
  <c r="H1091"/>
  <c r="G1194"/>
  <c r="H1194" s="1"/>
  <c r="H1195"/>
  <c r="G1255"/>
  <c r="H1255" s="1"/>
  <c r="H1256"/>
  <c r="G1399"/>
  <c r="H1399" s="1"/>
  <c r="H1400"/>
  <c r="G1470"/>
  <c r="H1470" s="1"/>
  <c r="H1471"/>
  <c r="G423"/>
  <c r="H423" s="1"/>
  <c r="H440"/>
  <c r="G1186"/>
  <c r="H1186" s="1"/>
  <c r="H1187"/>
  <c r="G484"/>
  <c r="H484" s="1"/>
  <c r="H485"/>
  <c r="G808"/>
  <c r="H808" s="1"/>
  <c r="H809"/>
  <c r="G1128"/>
  <c r="H1128" s="1"/>
  <c r="H1129"/>
  <c r="G1351"/>
  <c r="H1351" s="1"/>
  <c r="H1352"/>
  <c r="G1484"/>
  <c r="H1484" s="1"/>
  <c r="H1487"/>
  <c r="G476"/>
  <c r="H476" s="1"/>
  <c r="H477"/>
  <c r="G984"/>
  <c r="H984" s="1"/>
  <c r="H985"/>
  <c r="G1066"/>
  <c r="H1066" s="1"/>
  <c r="H1067"/>
  <c r="G1115"/>
  <c r="H1115" s="1"/>
  <c r="H1116"/>
  <c r="G1205"/>
  <c r="H1205" s="1"/>
  <c r="H1206"/>
  <c r="G1263"/>
  <c r="H1263" s="1"/>
  <c r="H1264"/>
  <c r="G1407"/>
  <c r="H1407" s="1"/>
  <c r="H1408"/>
  <c r="G1476"/>
  <c r="H1476" s="1"/>
  <c r="H1477"/>
  <c r="G541"/>
  <c r="H541" s="1"/>
  <c r="G555"/>
  <c r="H555" s="1"/>
  <c r="G896"/>
  <c r="H896" s="1"/>
  <c r="G237"/>
  <c r="F226"/>
  <c r="F61" s="1"/>
  <c r="F7" s="1"/>
  <c r="G226"/>
  <c r="G176"/>
  <c r="H176" s="1"/>
  <c r="G182"/>
  <c r="G157"/>
  <c r="G127"/>
  <c r="G118"/>
  <c r="G87"/>
  <c r="G79"/>
  <c r="G44"/>
  <c r="G978" l="1"/>
  <c r="H978" s="1"/>
  <c r="G126"/>
  <c r="H126" s="1"/>
  <c r="H127"/>
  <c r="G86"/>
  <c r="H86" s="1"/>
  <c r="H87"/>
  <c r="G181"/>
  <c r="H181" s="1"/>
  <c r="H182"/>
  <c r="G236"/>
  <c r="H236" s="1"/>
  <c r="H237"/>
  <c r="H226"/>
  <c r="G78"/>
  <c r="H78" s="1"/>
  <c r="H79"/>
  <c r="G156"/>
  <c r="H156" s="1"/>
  <c r="H157"/>
  <c r="G43"/>
  <c r="H43" s="1"/>
  <c r="H44"/>
  <c r="G117"/>
  <c r="H117" s="1"/>
  <c r="H118"/>
  <c r="G61"/>
  <c r="H61" s="1"/>
  <c r="G20"/>
  <c r="G23"/>
  <c r="G15"/>
  <c r="I92" i="44"/>
  <c r="J74"/>
  <c r="K21"/>
  <c r="K22"/>
  <c r="K23"/>
  <c r="K24"/>
  <c r="K27"/>
  <c r="K43"/>
  <c r="K53"/>
  <c r="K55"/>
  <c r="K62"/>
  <c r="K69"/>
  <c r="K77"/>
  <c r="K84"/>
  <c r="K85"/>
  <c r="K87"/>
  <c r="K94"/>
  <c r="K95"/>
  <c r="K97"/>
  <c r="K98"/>
  <c r="K99"/>
  <c r="K101"/>
  <c r="K110"/>
  <c r="K111"/>
  <c r="K118"/>
  <c r="K119"/>
  <c r="K123"/>
  <c r="K125"/>
  <c r="K127"/>
  <c r="K128"/>
  <c r="K129"/>
  <c r="K130"/>
  <c r="K133"/>
  <c r="K135"/>
  <c r="K136"/>
  <c r="K137"/>
  <c r="K139"/>
  <c r="K140"/>
  <c r="K141"/>
  <c r="K142"/>
  <c r="K155"/>
  <c r="K157"/>
  <c r="K159"/>
  <c r="K161"/>
  <c r="K163"/>
  <c r="K165"/>
  <c r="K167"/>
  <c r="K171"/>
  <c r="K175"/>
  <c r="K177"/>
  <c r="K178"/>
  <c r="K179"/>
  <c r="K182"/>
  <c r="K183"/>
  <c r="K184"/>
  <c r="K185"/>
  <c r="K186"/>
  <c r="K187"/>
  <c r="K188"/>
  <c r="K189"/>
  <c r="K191"/>
  <c r="K193"/>
  <c r="K194"/>
  <c r="K195"/>
  <c r="K196"/>
  <c r="K197"/>
  <c r="K198"/>
  <c r="K200"/>
  <c r="K201"/>
  <c r="K203"/>
  <c r="K204"/>
  <c r="K205"/>
  <c r="K211"/>
  <c r="K212"/>
  <c r="K220"/>
  <c r="K223"/>
  <c r="K230"/>
  <c r="K232"/>
  <c r="K243"/>
  <c r="K245"/>
  <c r="K246"/>
  <c r="K253"/>
  <c r="K256"/>
  <c r="K261"/>
  <c r="K262"/>
  <c r="K265"/>
  <c r="J264"/>
  <c r="J263" s="1"/>
  <c r="J260"/>
  <c r="J259" s="1"/>
  <c r="J258" s="1"/>
  <c r="J257" s="1"/>
  <c r="J173"/>
  <c r="I202"/>
  <c r="K202" s="1"/>
  <c r="J249"/>
  <c r="J244"/>
  <c r="I244"/>
  <c r="J242"/>
  <c r="J162"/>
  <c r="J149"/>
  <c r="I149"/>
  <c r="J145"/>
  <c r="J144" s="1"/>
  <c r="I145"/>
  <c r="I144" s="1"/>
  <c r="J132"/>
  <c r="J131" s="1"/>
  <c r="I132"/>
  <c r="I131" s="1"/>
  <c r="J124"/>
  <c r="J92" s="1"/>
  <c r="I124"/>
  <c r="J121"/>
  <c r="I121"/>
  <c r="J117"/>
  <c r="J116" s="1"/>
  <c r="I117"/>
  <c r="J109"/>
  <c r="I109"/>
  <c r="J100"/>
  <c r="J96"/>
  <c r="I96"/>
  <c r="J83"/>
  <c r="J82" s="1"/>
  <c r="J67"/>
  <c r="J64" s="1"/>
  <c r="J46"/>
  <c r="J45" s="1"/>
  <c r="J44" s="1"/>
  <c r="I46"/>
  <c r="I45" s="1"/>
  <c r="I44" s="1"/>
  <c r="J26"/>
  <c r="A3"/>
  <c r="G19" i="4" l="1"/>
  <c r="H19" s="1"/>
  <c r="H20"/>
  <c r="G14"/>
  <c r="H14" s="1"/>
  <c r="H15"/>
  <c r="G22"/>
  <c r="H22" s="1"/>
  <c r="H23"/>
  <c r="K96" i="44"/>
  <c r="K244"/>
  <c r="K109"/>
  <c r="K121"/>
  <c r="K131"/>
  <c r="K124"/>
  <c r="K132"/>
  <c r="K117"/>
  <c r="A1"/>
  <c r="A2"/>
  <c r="J12"/>
  <c r="I13"/>
  <c r="J14"/>
  <c r="I15"/>
  <c r="K15" s="1"/>
  <c r="I16"/>
  <c r="K16" s="1"/>
  <c r="I17"/>
  <c r="K17" s="1"/>
  <c r="I18"/>
  <c r="K18" s="1"/>
  <c r="I20"/>
  <c r="I19" s="1"/>
  <c r="J20"/>
  <c r="I26"/>
  <c r="K26" s="1"/>
  <c r="J29"/>
  <c r="I30"/>
  <c r="J31"/>
  <c r="I32"/>
  <c r="J34"/>
  <c r="I35"/>
  <c r="J37"/>
  <c r="I38"/>
  <c r="J39"/>
  <c r="I40"/>
  <c r="I42"/>
  <c r="I41" s="1"/>
  <c r="J42"/>
  <c r="J41" s="1"/>
  <c r="J50"/>
  <c r="I51"/>
  <c r="I52"/>
  <c r="J52"/>
  <c r="J54"/>
  <c r="I56"/>
  <c r="J58"/>
  <c r="I59"/>
  <c r="I61"/>
  <c r="I60" s="1"/>
  <c r="J61"/>
  <c r="I65"/>
  <c r="K65" s="1"/>
  <c r="I66"/>
  <c r="K66" s="1"/>
  <c r="J63"/>
  <c r="I68"/>
  <c r="I75"/>
  <c r="K75" s="1"/>
  <c r="I76"/>
  <c r="J80"/>
  <c r="I81"/>
  <c r="I83"/>
  <c r="I82" s="1"/>
  <c r="K82" s="1"/>
  <c r="J90"/>
  <c r="J89" s="1"/>
  <c r="I91"/>
  <c r="I93"/>
  <c r="J93"/>
  <c r="I100"/>
  <c r="K100" s="1"/>
  <c r="I103"/>
  <c r="I104"/>
  <c r="K104" s="1"/>
  <c r="J105"/>
  <c r="J102" s="1"/>
  <c r="I106"/>
  <c r="J107"/>
  <c r="I108"/>
  <c r="J112"/>
  <c r="I113"/>
  <c r="J114"/>
  <c r="I115"/>
  <c r="I116"/>
  <c r="K116" s="1"/>
  <c r="J120"/>
  <c r="I120"/>
  <c r="I148"/>
  <c r="I143" s="1"/>
  <c r="J148"/>
  <c r="I154"/>
  <c r="I153" s="1"/>
  <c r="J154"/>
  <c r="I156"/>
  <c r="J156"/>
  <c r="I160"/>
  <c r="J160"/>
  <c r="I162"/>
  <c r="K162" s="1"/>
  <c r="I164"/>
  <c r="J164"/>
  <c r="I166"/>
  <c r="J166"/>
  <c r="J168"/>
  <c r="I169"/>
  <c r="I170"/>
  <c r="J170"/>
  <c r="J172"/>
  <c r="I174"/>
  <c r="K174" s="1"/>
  <c r="I176"/>
  <c r="K176" s="1"/>
  <c r="I180"/>
  <c r="K180" s="1"/>
  <c r="I181"/>
  <c r="K181" s="1"/>
  <c r="I190"/>
  <c r="K190" s="1"/>
  <c r="I192"/>
  <c r="K192" s="1"/>
  <c r="I199"/>
  <c r="K199" s="1"/>
  <c r="J208"/>
  <c r="I209"/>
  <c r="K209" s="1"/>
  <c r="I210"/>
  <c r="K210" s="1"/>
  <c r="I213"/>
  <c r="K213" s="1"/>
  <c r="I214"/>
  <c r="K214" s="1"/>
  <c r="I215"/>
  <c r="K215" s="1"/>
  <c r="I216"/>
  <c r="K216" s="1"/>
  <c r="I217"/>
  <c r="K217" s="1"/>
  <c r="I218"/>
  <c r="K218" s="1"/>
  <c r="I219"/>
  <c r="K219" s="1"/>
  <c r="I221"/>
  <c r="K221" s="1"/>
  <c r="I222"/>
  <c r="K222" s="1"/>
  <c r="I224"/>
  <c r="K224" s="1"/>
  <c r="I225"/>
  <c r="K225" s="1"/>
  <c r="I226"/>
  <c r="K226" s="1"/>
  <c r="I227"/>
  <c r="K227" s="1"/>
  <c r="I228"/>
  <c r="K228" s="1"/>
  <c r="I229"/>
  <c r="K229" s="1"/>
  <c r="I231"/>
  <c r="K231" s="1"/>
  <c r="J233"/>
  <c r="I234"/>
  <c r="J235"/>
  <c r="I236"/>
  <c r="J237"/>
  <c r="I238"/>
  <c r="I241"/>
  <c r="J240"/>
  <c r="I242"/>
  <c r="K242" s="1"/>
  <c r="J248"/>
  <c r="I250"/>
  <c r="K250" s="1"/>
  <c r="I252"/>
  <c r="I251" s="1"/>
  <c r="J252"/>
  <c r="I255"/>
  <c r="I254" s="1"/>
  <c r="J255"/>
  <c r="I260"/>
  <c r="K260" s="1"/>
  <c r="I266"/>
  <c r="K266" s="1"/>
  <c r="B18" i="65"/>
  <c r="B25"/>
  <c r="B24"/>
  <c r="B12"/>
  <c r="B11" i="12"/>
  <c r="B17"/>
  <c r="B24" i="53"/>
  <c r="D9" i="26"/>
  <c r="G13" i="4" l="1"/>
  <c r="K103" i="44"/>
  <c r="K156"/>
  <c r="K120"/>
  <c r="K76"/>
  <c r="I74"/>
  <c r="K160"/>
  <c r="I114"/>
  <c r="K115"/>
  <c r="J73"/>
  <c r="I237"/>
  <c r="K238"/>
  <c r="I233"/>
  <c r="K234"/>
  <c r="I105"/>
  <c r="I102" s="1"/>
  <c r="K106"/>
  <c r="J25"/>
  <c r="I235"/>
  <c r="K236"/>
  <c r="J153"/>
  <c r="K153" s="1"/>
  <c r="K154"/>
  <c r="I107"/>
  <c r="K108"/>
  <c r="J88"/>
  <c r="J57"/>
  <c r="J19"/>
  <c r="K19" s="1"/>
  <c r="K20"/>
  <c r="J247"/>
  <c r="J207"/>
  <c r="J158"/>
  <c r="J143"/>
  <c r="I112"/>
  <c r="K113"/>
  <c r="J254"/>
  <c r="K254" s="1"/>
  <c r="K255"/>
  <c r="I240"/>
  <c r="I239" s="1"/>
  <c r="K241"/>
  <c r="I168"/>
  <c r="K169"/>
  <c r="J79"/>
  <c r="I67"/>
  <c r="K67" s="1"/>
  <c r="K68"/>
  <c r="J60"/>
  <c r="K60" s="1"/>
  <c r="K61"/>
  <c r="I54"/>
  <c r="K54" s="1"/>
  <c r="K56"/>
  <c r="I50"/>
  <c r="K50" s="1"/>
  <c r="K51"/>
  <c r="I39"/>
  <c r="K39" s="1"/>
  <c r="K40"/>
  <c r="I34"/>
  <c r="K34" s="1"/>
  <c r="K35"/>
  <c r="I29"/>
  <c r="K29" s="1"/>
  <c r="K30"/>
  <c r="K168"/>
  <c r="K235"/>
  <c r="K164"/>
  <c r="K114"/>
  <c r="K107"/>
  <c r="K83"/>
  <c r="J11"/>
  <c r="J239"/>
  <c r="K240"/>
  <c r="I80"/>
  <c r="I79" s="1"/>
  <c r="K81"/>
  <c r="J251"/>
  <c r="K251" s="1"/>
  <c r="K252"/>
  <c r="I90"/>
  <c r="K91"/>
  <c r="I58"/>
  <c r="I57" s="1"/>
  <c r="K42"/>
  <c r="I37"/>
  <c r="K37" s="1"/>
  <c r="K38"/>
  <c r="I31"/>
  <c r="K31" s="1"/>
  <c r="K32"/>
  <c r="I12"/>
  <c r="I11" s="1"/>
  <c r="K13"/>
  <c r="K237"/>
  <c r="K233"/>
  <c r="K170"/>
  <c r="K166"/>
  <c r="K112"/>
  <c r="K105"/>
  <c r="K93"/>
  <c r="K52"/>
  <c r="I264"/>
  <c r="K264" s="1"/>
  <c r="J206"/>
  <c r="I259"/>
  <c r="I249"/>
  <c r="I64"/>
  <c r="I173"/>
  <c r="I14"/>
  <c r="I10" s="1"/>
  <c r="I49"/>
  <c r="I48" s="1"/>
  <c r="J10"/>
  <c r="I36"/>
  <c r="I33" s="1"/>
  <c r="J36"/>
  <c r="I208"/>
  <c r="I207" s="1"/>
  <c r="I206" s="1"/>
  <c r="I25"/>
  <c r="I78"/>
  <c r="I73"/>
  <c r="I72" s="1"/>
  <c r="J49"/>
  <c r="C28" i="61"/>
  <c r="I1720" i="4"/>
  <c r="I1721"/>
  <c r="I1722"/>
  <c r="G12" l="1"/>
  <c r="H13"/>
  <c r="I88" i="44"/>
  <c r="K88" s="1"/>
  <c r="I89"/>
  <c r="I263"/>
  <c r="K263" s="1"/>
  <c r="I248"/>
  <c r="K249"/>
  <c r="K80"/>
  <c r="K208"/>
  <c r="K90"/>
  <c r="K25"/>
  <c r="J152"/>
  <c r="K239"/>
  <c r="K206"/>
  <c r="I172"/>
  <c r="K173"/>
  <c r="I258"/>
  <c r="K259"/>
  <c r="J72"/>
  <c r="K72" s="1"/>
  <c r="K73"/>
  <c r="K11"/>
  <c r="J33"/>
  <c r="K33" s="1"/>
  <c r="K36"/>
  <c r="I63"/>
  <c r="K63" s="1"/>
  <c r="K64"/>
  <c r="J48"/>
  <c r="K48" s="1"/>
  <c r="K49"/>
  <c r="K92"/>
  <c r="K102"/>
  <c r="J78"/>
  <c r="K79"/>
  <c r="K41"/>
  <c r="K12"/>
  <c r="K14"/>
  <c r="K207"/>
  <c r="K89"/>
  <c r="K74"/>
  <c r="K10"/>
  <c r="I71"/>
  <c r="I9" s="1"/>
  <c r="A2" i="66"/>
  <c r="A1"/>
  <c r="G11" i="4" l="1"/>
  <c r="H12"/>
  <c r="I158" i="44"/>
  <c r="K172"/>
  <c r="I247"/>
  <c r="K247" s="1"/>
  <c r="K248"/>
  <c r="K78"/>
  <c r="J71"/>
  <c r="I257"/>
  <c r="K257" s="1"/>
  <c r="K258"/>
  <c r="J151"/>
  <c r="B7" i="66"/>
  <c r="I1688" i="4"/>
  <c r="I1689"/>
  <c r="I1690"/>
  <c r="I1691"/>
  <c r="I1692"/>
  <c r="I1693"/>
  <c r="I1694"/>
  <c r="I1695"/>
  <c r="I1696"/>
  <c r="I1697"/>
  <c r="I1698"/>
  <c r="I1699"/>
  <c r="I1700"/>
  <c r="I1701"/>
  <c r="I1702"/>
  <c r="I1703"/>
  <c r="I1704"/>
  <c r="I1705"/>
  <c r="I1706"/>
  <c r="I1707"/>
  <c r="I1708"/>
  <c r="I1709"/>
  <c r="I1710"/>
  <c r="I1711"/>
  <c r="I1712"/>
  <c r="I1713"/>
  <c r="I1714"/>
  <c r="I1715"/>
  <c r="I1716"/>
  <c r="I1717"/>
  <c r="I1718"/>
  <c r="I1719"/>
  <c r="B11" i="18"/>
  <c r="B19" i="53"/>
  <c r="B11"/>
  <c r="B23" i="12"/>
  <c r="B22"/>
  <c r="B14"/>
  <c r="B12"/>
  <c r="B10"/>
  <c r="I1656" i="4"/>
  <c r="I1657"/>
  <c r="I1658"/>
  <c r="I1659"/>
  <c r="I1660"/>
  <c r="I1661"/>
  <c r="I1662"/>
  <c r="I1663"/>
  <c r="I1664"/>
  <c r="I1665"/>
  <c r="I1666"/>
  <c r="I1667"/>
  <c r="I1668"/>
  <c r="I1669"/>
  <c r="I1670"/>
  <c r="I1671"/>
  <c r="I1672"/>
  <c r="I1673"/>
  <c r="I1674"/>
  <c r="I1675"/>
  <c r="I1676"/>
  <c r="I1677"/>
  <c r="I1678"/>
  <c r="I1679"/>
  <c r="I1680"/>
  <c r="I1681"/>
  <c r="I1682"/>
  <c r="I1683"/>
  <c r="I1684"/>
  <c r="I1685"/>
  <c r="I1686"/>
  <c r="I1687"/>
  <c r="C26" i="24"/>
  <c r="D26"/>
  <c r="I1623" i="4"/>
  <c r="I1624"/>
  <c r="I1625"/>
  <c r="I1626"/>
  <c r="I1627"/>
  <c r="I1628"/>
  <c r="I1629"/>
  <c r="I1630"/>
  <c r="I1631"/>
  <c r="I1632"/>
  <c r="I1633"/>
  <c r="I1634"/>
  <c r="I1635"/>
  <c r="I1636"/>
  <c r="I1637"/>
  <c r="I1638"/>
  <c r="I1639"/>
  <c r="I1640"/>
  <c r="I1641"/>
  <c r="I1642"/>
  <c r="I1643"/>
  <c r="I1644"/>
  <c r="I1645"/>
  <c r="I1646"/>
  <c r="I1647"/>
  <c r="I1648"/>
  <c r="I1649"/>
  <c r="I1650"/>
  <c r="I1651"/>
  <c r="I1652"/>
  <c r="I1653"/>
  <c r="I1654"/>
  <c r="I1655"/>
  <c r="B20" i="12"/>
  <c r="G10" i="4" l="1"/>
  <c r="H11"/>
  <c r="I152" i="44"/>
  <c r="K158"/>
  <c r="K71"/>
  <c r="J9"/>
  <c r="B23" i="53"/>
  <c r="B18"/>
  <c r="B14"/>
  <c r="B13"/>
  <c r="B12"/>
  <c r="B9"/>
  <c r="B8"/>
  <c r="B7"/>
  <c r="G9" i="4" l="1"/>
  <c r="H10"/>
  <c r="I151" i="44"/>
  <c r="K152"/>
  <c r="K9"/>
  <c r="J267"/>
  <c r="C25" i="24"/>
  <c r="C24"/>
  <c r="C23"/>
  <c r="C22"/>
  <c r="C21"/>
  <c r="C20"/>
  <c r="C19"/>
  <c r="C18"/>
  <c r="C17"/>
  <c r="C16"/>
  <c r="C15"/>
  <c r="C14"/>
  <c r="C13"/>
  <c r="C12"/>
  <c r="C11"/>
  <c r="C10"/>
  <c r="C9"/>
  <c r="C8"/>
  <c r="G8" i="4" l="1"/>
  <c r="H9"/>
  <c r="I267" i="44"/>
  <c r="K267" s="1"/>
  <c r="K151"/>
  <c r="D10" i="24"/>
  <c r="G7" i="4" l="1"/>
  <c r="H8"/>
  <c r="I1616"/>
  <c r="I1617"/>
  <c r="I1618"/>
  <c r="I1619"/>
  <c r="I1620"/>
  <c r="I1621"/>
  <c r="I1622"/>
  <c r="I1578"/>
  <c r="I1579"/>
  <c r="I1580"/>
  <c r="I1581"/>
  <c r="I1582"/>
  <c r="I1583"/>
  <c r="I1584"/>
  <c r="I1585"/>
  <c r="I1586"/>
  <c r="I1587"/>
  <c r="I1588"/>
  <c r="I1589"/>
  <c r="I1590"/>
  <c r="I1591"/>
  <c r="I1592"/>
  <c r="I1593"/>
  <c r="I1594"/>
  <c r="I1595"/>
  <c r="I1596"/>
  <c r="I1597"/>
  <c r="I1598"/>
  <c r="I1599"/>
  <c r="I1600"/>
  <c r="I1601"/>
  <c r="I1602"/>
  <c r="I1603"/>
  <c r="I1604"/>
  <c r="I1605"/>
  <c r="I1606"/>
  <c r="I1607"/>
  <c r="I1608"/>
  <c r="I1609"/>
  <c r="I1610"/>
  <c r="I1611"/>
  <c r="I1612"/>
  <c r="I1613"/>
  <c r="I1614"/>
  <c r="I1615"/>
  <c r="B23" i="65"/>
  <c r="B21"/>
  <c r="B22"/>
  <c r="B19"/>
  <c r="B17"/>
  <c r="B15"/>
  <c r="B13"/>
  <c r="B9"/>
  <c r="B8"/>
  <c r="I1565" i="4"/>
  <c r="I1566"/>
  <c r="I1567"/>
  <c r="I1568"/>
  <c r="I1569"/>
  <c r="I1570"/>
  <c r="I1571"/>
  <c r="I1572"/>
  <c r="I1573"/>
  <c r="I1574"/>
  <c r="I1575"/>
  <c r="I1576"/>
  <c r="I1577"/>
  <c r="I1563"/>
  <c r="I1564"/>
  <c r="C11" i="61"/>
  <c r="C8"/>
  <c r="C6" s="1"/>
  <c r="C9" i="17"/>
  <c r="I1432" i="4"/>
  <c r="I1433"/>
  <c r="I1434"/>
  <c r="I1435"/>
  <c r="I1436"/>
  <c r="I1437"/>
  <c r="I1438"/>
  <c r="I1439"/>
  <c r="I1440"/>
  <c r="I1441"/>
  <c r="I1442"/>
  <c r="I1443"/>
  <c r="I1444"/>
  <c r="I1445"/>
  <c r="I1446"/>
  <c r="I1447"/>
  <c r="I1448"/>
  <c r="I1449"/>
  <c r="I1450"/>
  <c r="I1451"/>
  <c r="I1452"/>
  <c r="I1453"/>
  <c r="I1454"/>
  <c r="I1455"/>
  <c r="I1456"/>
  <c r="I1457"/>
  <c r="I1458"/>
  <c r="I1459"/>
  <c r="I1460"/>
  <c r="I1461"/>
  <c r="I1462"/>
  <c r="I1463"/>
  <c r="I1464"/>
  <c r="I1465"/>
  <c r="I1466"/>
  <c r="I1467"/>
  <c r="I1468"/>
  <c r="I1469"/>
  <c r="I1470"/>
  <c r="I1471"/>
  <c r="I1472"/>
  <c r="I1473"/>
  <c r="I1474"/>
  <c r="I1475"/>
  <c r="I1476"/>
  <c r="I1477"/>
  <c r="I1478"/>
  <c r="I1479"/>
  <c r="I1480"/>
  <c r="I1481"/>
  <c r="I1482"/>
  <c r="I1483"/>
  <c r="I1484"/>
  <c r="I1485"/>
  <c r="I1486"/>
  <c r="I1487"/>
  <c r="I1488"/>
  <c r="I1489"/>
  <c r="I1490"/>
  <c r="I1491"/>
  <c r="I1492"/>
  <c r="I1493"/>
  <c r="I1494"/>
  <c r="I1495"/>
  <c r="I1496"/>
  <c r="I1497"/>
  <c r="I1498"/>
  <c r="I1499"/>
  <c r="I1500"/>
  <c r="I1501"/>
  <c r="I1502"/>
  <c r="I1503"/>
  <c r="I1504"/>
  <c r="I1505"/>
  <c r="I1506"/>
  <c r="I1507"/>
  <c r="I1508"/>
  <c r="I1509"/>
  <c r="I1510"/>
  <c r="I1511"/>
  <c r="I1512"/>
  <c r="I1513"/>
  <c r="I1514"/>
  <c r="I1515"/>
  <c r="I1516"/>
  <c r="I1517"/>
  <c r="I1518"/>
  <c r="I1519"/>
  <c r="I1520"/>
  <c r="I1521"/>
  <c r="I1522"/>
  <c r="I1523"/>
  <c r="I1524"/>
  <c r="I1525"/>
  <c r="I1526"/>
  <c r="I1527"/>
  <c r="I1528"/>
  <c r="I1529"/>
  <c r="I1530"/>
  <c r="I1531"/>
  <c r="I1532"/>
  <c r="I1533"/>
  <c r="I1534"/>
  <c r="I1535"/>
  <c r="I1536"/>
  <c r="I1537"/>
  <c r="I1538"/>
  <c r="I1539"/>
  <c r="I1540"/>
  <c r="I1541"/>
  <c r="I1542"/>
  <c r="I1543"/>
  <c r="I1544"/>
  <c r="I1545"/>
  <c r="I1546"/>
  <c r="I1547"/>
  <c r="I1548"/>
  <c r="I1549"/>
  <c r="I1550"/>
  <c r="I1551"/>
  <c r="I1552"/>
  <c r="I1553"/>
  <c r="I1554"/>
  <c r="I1555"/>
  <c r="I1556"/>
  <c r="I1557"/>
  <c r="I1558"/>
  <c r="I1559"/>
  <c r="I1560"/>
  <c r="I1561"/>
  <c r="I1562"/>
  <c r="B13" i="18"/>
  <c r="B10"/>
  <c r="H7" i="4" l="1"/>
  <c r="D20" i="17"/>
  <c r="I1419" i="4"/>
  <c r="I1420"/>
  <c r="I1421"/>
  <c r="I1422"/>
  <c r="I1423"/>
  <c r="I1424"/>
  <c r="I1425"/>
  <c r="I1426"/>
  <c r="I1427"/>
  <c r="I1428"/>
  <c r="I1429"/>
  <c r="I1430"/>
  <c r="I1431"/>
  <c r="I1240" l="1"/>
  <c r="I1241"/>
  <c r="I1242"/>
  <c r="I1243"/>
  <c r="I1244"/>
  <c r="I1245"/>
  <c r="I1246"/>
  <c r="I1247"/>
  <c r="I1248"/>
  <c r="I1249"/>
  <c r="I1250"/>
  <c r="I1251"/>
  <c r="I1252"/>
  <c r="I1253"/>
  <c r="I1254"/>
  <c r="I1255"/>
  <c r="I1256"/>
  <c r="I1257"/>
  <c r="I1258"/>
  <c r="I1259"/>
  <c r="I1260"/>
  <c r="I1261"/>
  <c r="I1262"/>
  <c r="I1263"/>
  <c r="I1264"/>
  <c r="I1265"/>
  <c r="I1266"/>
  <c r="I1267"/>
  <c r="I1268"/>
  <c r="I1269"/>
  <c r="I1270"/>
  <c r="I1271"/>
  <c r="I1272"/>
  <c r="I1273"/>
  <c r="I1274"/>
  <c r="I1275"/>
  <c r="I1276"/>
  <c r="I1277"/>
  <c r="I1278"/>
  <c r="I1279"/>
  <c r="I1280"/>
  <c r="I1281"/>
  <c r="I1282"/>
  <c r="I1283"/>
  <c r="I1284"/>
  <c r="I1285"/>
  <c r="I1286"/>
  <c r="I1287"/>
  <c r="I1288"/>
  <c r="I1289"/>
  <c r="I1290"/>
  <c r="I1291"/>
  <c r="I1292"/>
  <c r="I1293"/>
  <c r="I1294"/>
  <c r="I1295"/>
  <c r="I1296"/>
  <c r="I1297"/>
  <c r="I1298"/>
  <c r="I1299"/>
  <c r="I1300"/>
  <c r="I1301"/>
  <c r="I1302"/>
  <c r="I1303"/>
  <c r="I1304"/>
  <c r="I1305"/>
  <c r="I1306"/>
  <c r="I1307"/>
  <c r="I1308"/>
  <c r="I1309"/>
  <c r="I1310"/>
  <c r="I1311"/>
  <c r="I1312"/>
  <c r="I1313"/>
  <c r="I1314"/>
  <c r="I1315"/>
  <c r="I1316"/>
  <c r="I1317"/>
  <c r="I1318"/>
  <c r="I1319"/>
  <c r="I1320"/>
  <c r="I1321"/>
  <c r="I1322"/>
  <c r="I1323"/>
  <c r="I1324"/>
  <c r="I1325"/>
  <c r="I1326"/>
  <c r="I1327"/>
  <c r="I1328"/>
  <c r="I1329"/>
  <c r="I1330"/>
  <c r="I1331"/>
  <c r="I1332"/>
  <c r="I1333"/>
  <c r="I1334"/>
  <c r="I1335"/>
  <c r="I1336"/>
  <c r="I1337"/>
  <c r="I1338"/>
  <c r="I1339"/>
  <c r="I1340"/>
  <c r="I1341"/>
  <c r="I1342"/>
  <c r="I1343"/>
  <c r="I1344"/>
  <c r="I1345"/>
  <c r="I1346"/>
  <c r="I1347"/>
  <c r="I1348"/>
  <c r="I1349"/>
  <c r="I1350"/>
  <c r="I1351"/>
  <c r="I1352"/>
  <c r="I1353"/>
  <c r="I1354"/>
  <c r="I1355"/>
  <c r="I1356"/>
  <c r="I1357"/>
  <c r="I1358"/>
  <c r="I1359"/>
  <c r="I1360"/>
  <c r="I1361"/>
  <c r="I1362"/>
  <c r="I1363"/>
  <c r="I1364"/>
  <c r="I1365"/>
  <c r="I1366"/>
  <c r="I1367"/>
  <c r="I1368"/>
  <c r="I1369"/>
  <c r="I1370"/>
  <c r="I1371"/>
  <c r="I1372"/>
  <c r="I1373"/>
  <c r="I1374"/>
  <c r="I1375"/>
  <c r="I1376"/>
  <c r="I1377"/>
  <c r="I1378"/>
  <c r="I1379"/>
  <c r="I1380"/>
  <c r="I1381"/>
  <c r="I1382"/>
  <c r="I1383"/>
  <c r="I1384"/>
  <c r="I1385"/>
  <c r="I1386"/>
  <c r="I1387"/>
  <c r="I1388"/>
  <c r="I1389"/>
  <c r="I1390"/>
  <c r="I1391"/>
  <c r="I1392"/>
  <c r="I1393"/>
  <c r="I1394"/>
  <c r="I1395"/>
  <c r="I1396"/>
  <c r="I1397"/>
  <c r="I1398"/>
  <c r="I1399"/>
  <c r="I1400"/>
  <c r="I1401"/>
  <c r="I1402"/>
  <c r="I1403"/>
  <c r="I1404"/>
  <c r="I1405"/>
  <c r="I1406"/>
  <c r="I1407"/>
  <c r="I1408"/>
  <c r="I1409"/>
  <c r="I1410"/>
  <c r="I1411"/>
  <c r="I1412"/>
  <c r="I1413"/>
  <c r="I1414"/>
  <c r="I1415"/>
  <c r="I1416"/>
  <c r="I1417"/>
  <c r="I1418"/>
  <c r="A4" i="65"/>
  <c r="A3"/>
  <c r="B22" i="53"/>
  <c r="B11" i="52"/>
  <c r="B10"/>
  <c r="B9"/>
  <c r="B8"/>
  <c r="B7"/>
  <c r="B21" i="12"/>
  <c r="B19"/>
  <c r="B18"/>
  <c r="B16"/>
  <c r="B15"/>
  <c r="B13"/>
  <c r="B9"/>
  <c r="B8"/>
  <c r="B7"/>
  <c r="H1085" i="45" l="1"/>
  <c r="H1086"/>
  <c r="H1087"/>
  <c r="H1088"/>
  <c r="H1089"/>
  <c r="I1228" i="4"/>
  <c r="I1229"/>
  <c r="I1230"/>
  <c r="I1231"/>
  <c r="I1232"/>
  <c r="I1233"/>
  <c r="I1234"/>
  <c r="I1235"/>
  <c r="I1236"/>
  <c r="I1237"/>
  <c r="I1238"/>
  <c r="I1239"/>
  <c r="I1225"/>
  <c r="I1226"/>
  <c r="I1227"/>
  <c r="F7" i="49"/>
  <c r="E7"/>
  <c r="E7" i="48"/>
  <c r="D7"/>
  <c r="G7" i="45"/>
  <c r="F7"/>
  <c r="I1200" i="4"/>
  <c r="I1201"/>
  <c r="I1202"/>
  <c r="I1203"/>
  <c r="I1204"/>
  <c r="I1205"/>
  <c r="I1206"/>
  <c r="I1207"/>
  <c r="I1208"/>
  <c r="I1209"/>
  <c r="I1210"/>
  <c r="I1211"/>
  <c r="I1212"/>
  <c r="I1213"/>
  <c r="I1214"/>
  <c r="I1215"/>
  <c r="I1216"/>
  <c r="I1217"/>
  <c r="I1218"/>
  <c r="I1219"/>
  <c r="I1220"/>
  <c r="I1221"/>
  <c r="I1222"/>
  <c r="I1223"/>
  <c r="I1224"/>
  <c r="H679" i="45" l="1"/>
  <c r="H680"/>
  <c r="H681"/>
  <c r="H682"/>
  <c r="H683"/>
  <c r="H684"/>
  <c r="H685"/>
  <c r="H686"/>
  <c r="H687"/>
  <c r="H688"/>
  <c r="H689"/>
  <c r="H690"/>
  <c r="H691"/>
  <c r="H692"/>
  <c r="H693"/>
  <c r="H694"/>
  <c r="H695"/>
  <c r="H696"/>
  <c r="H697"/>
  <c r="H698"/>
  <c r="H699"/>
  <c r="H700"/>
  <c r="H701"/>
  <c r="H702"/>
  <c r="H703"/>
  <c r="H704"/>
  <c r="H705"/>
  <c r="H706"/>
  <c r="H707"/>
  <c r="H708"/>
  <c r="H709"/>
  <c r="H710"/>
  <c r="H711"/>
  <c r="H712"/>
  <c r="H713"/>
  <c r="H714"/>
  <c r="H715"/>
  <c r="H716"/>
  <c r="H717"/>
  <c r="H718"/>
  <c r="H719"/>
  <c r="H720"/>
  <c r="H721"/>
  <c r="H722"/>
  <c r="H723"/>
  <c r="H724"/>
  <c r="H725"/>
  <c r="H726"/>
  <c r="H727"/>
  <c r="H728"/>
  <c r="H729"/>
  <c r="H730"/>
  <c r="H731"/>
  <c r="H732"/>
  <c r="H733"/>
  <c r="H734"/>
  <c r="H735"/>
  <c r="H736"/>
  <c r="H737"/>
  <c r="H738"/>
  <c r="H739"/>
  <c r="H740"/>
  <c r="H741"/>
  <c r="H742"/>
  <c r="H743"/>
  <c r="H744"/>
  <c r="H745"/>
  <c r="H746"/>
  <c r="H747"/>
  <c r="H748"/>
  <c r="H749"/>
  <c r="H750"/>
  <c r="H751"/>
  <c r="H752"/>
  <c r="H753"/>
  <c r="H754"/>
  <c r="H755"/>
  <c r="H756"/>
  <c r="H757"/>
  <c r="H758"/>
  <c r="H759"/>
  <c r="H760"/>
  <c r="H761"/>
  <c r="H762"/>
  <c r="H763"/>
  <c r="H764"/>
  <c r="H765"/>
  <c r="H766"/>
  <c r="H767"/>
  <c r="H768"/>
  <c r="H769"/>
  <c r="H770"/>
  <c r="H771"/>
  <c r="H772"/>
  <c r="H773"/>
  <c r="H774"/>
  <c r="H775"/>
  <c r="H776"/>
  <c r="H777"/>
  <c r="H778"/>
  <c r="H779"/>
  <c r="H780"/>
  <c r="H781"/>
  <c r="H782"/>
  <c r="H783"/>
  <c r="H784"/>
  <c r="H785"/>
  <c r="H786"/>
  <c r="H787"/>
  <c r="H788"/>
  <c r="H789"/>
  <c r="H790"/>
  <c r="H791"/>
  <c r="H792"/>
  <c r="H793"/>
  <c r="H794"/>
  <c r="H795"/>
  <c r="H796"/>
  <c r="H797"/>
  <c r="H798"/>
  <c r="H799"/>
  <c r="H800"/>
  <c r="H801"/>
  <c r="H802"/>
  <c r="H803"/>
  <c r="H804"/>
  <c r="H805"/>
  <c r="H806"/>
  <c r="H807"/>
  <c r="H808"/>
  <c r="H809"/>
  <c r="H810"/>
  <c r="H811"/>
  <c r="H812"/>
  <c r="H813"/>
  <c r="H814"/>
  <c r="H815"/>
  <c r="H816"/>
  <c r="H817"/>
  <c r="H818"/>
  <c r="H819"/>
  <c r="H820"/>
  <c r="H821"/>
  <c r="H822"/>
  <c r="H823"/>
  <c r="H824"/>
  <c r="H825"/>
  <c r="H826"/>
  <c r="H827"/>
  <c r="H828"/>
  <c r="H829"/>
  <c r="H830"/>
  <c r="H831"/>
  <c r="H832"/>
  <c r="H833"/>
  <c r="H834"/>
  <c r="H835"/>
  <c r="H836"/>
  <c r="H837"/>
  <c r="H838"/>
  <c r="H839"/>
  <c r="H840"/>
  <c r="H841"/>
  <c r="H842"/>
  <c r="H843"/>
  <c r="H844"/>
  <c r="H845"/>
  <c r="H846"/>
  <c r="H847"/>
  <c r="H848"/>
  <c r="H849"/>
  <c r="H850"/>
  <c r="H851"/>
  <c r="H852"/>
  <c r="H853"/>
  <c r="H854"/>
  <c r="H855"/>
  <c r="H856"/>
  <c r="H857"/>
  <c r="H858"/>
  <c r="H859"/>
  <c r="H860"/>
  <c r="H861"/>
  <c r="H862"/>
  <c r="H863"/>
  <c r="H864"/>
  <c r="H865"/>
  <c r="H866"/>
  <c r="H867"/>
  <c r="H868"/>
  <c r="H869"/>
  <c r="H870"/>
  <c r="H871"/>
  <c r="H872"/>
  <c r="H873"/>
  <c r="H874"/>
  <c r="H875"/>
  <c r="H876"/>
  <c r="H877"/>
  <c r="H878"/>
  <c r="H879"/>
  <c r="H880"/>
  <c r="H881"/>
  <c r="H882"/>
  <c r="H883"/>
  <c r="H884"/>
  <c r="H885"/>
  <c r="H886"/>
  <c r="H887"/>
  <c r="H888"/>
  <c r="H889"/>
  <c r="H890"/>
  <c r="H891"/>
  <c r="H892"/>
  <c r="H893"/>
  <c r="H894"/>
  <c r="H895"/>
  <c r="H896"/>
  <c r="H897"/>
  <c r="H898"/>
  <c r="H899"/>
  <c r="H900"/>
  <c r="H901"/>
  <c r="H902"/>
  <c r="H903"/>
  <c r="H904"/>
  <c r="H905"/>
  <c r="H906"/>
  <c r="H907"/>
  <c r="H908"/>
  <c r="H909"/>
  <c r="H910"/>
  <c r="H911"/>
  <c r="H912"/>
  <c r="H913"/>
  <c r="H914"/>
  <c r="H915"/>
  <c r="H916"/>
  <c r="H917"/>
  <c r="H918"/>
  <c r="H919"/>
  <c r="H920"/>
  <c r="H921"/>
  <c r="H922"/>
  <c r="H923"/>
  <c r="H924"/>
  <c r="H925"/>
  <c r="H926"/>
  <c r="H927"/>
  <c r="H928"/>
  <c r="H929"/>
  <c r="H930"/>
  <c r="H931"/>
  <c r="H932"/>
  <c r="H933"/>
  <c r="H934"/>
  <c r="H935"/>
  <c r="H936"/>
  <c r="H937"/>
  <c r="H938"/>
  <c r="H939"/>
  <c r="H940"/>
  <c r="H941"/>
  <c r="H942"/>
  <c r="H943"/>
  <c r="H944"/>
  <c r="H945"/>
  <c r="H946"/>
  <c r="H947"/>
  <c r="H948"/>
  <c r="H949"/>
  <c r="H950"/>
  <c r="H951"/>
  <c r="H952"/>
  <c r="H953"/>
  <c r="H954"/>
  <c r="H955"/>
  <c r="H956"/>
  <c r="H957"/>
  <c r="H958"/>
  <c r="H959"/>
  <c r="H960"/>
  <c r="H961"/>
  <c r="H962"/>
  <c r="H963"/>
  <c r="H964"/>
  <c r="H965"/>
  <c r="H966"/>
  <c r="H967"/>
  <c r="H968"/>
  <c r="H969"/>
  <c r="H970"/>
  <c r="H971"/>
  <c r="H972"/>
  <c r="H973"/>
  <c r="H974"/>
  <c r="H975"/>
  <c r="H976"/>
  <c r="H977"/>
  <c r="H978"/>
  <c r="H979"/>
  <c r="H980"/>
  <c r="H981"/>
  <c r="H982"/>
  <c r="H983"/>
  <c r="H984"/>
  <c r="H985"/>
  <c r="H986"/>
  <c r="H987"/>
  <c r="H988"/>
  <c r="H989"/>
  <c r="H990"/>
  <c r="H991"/>
  <c r="H992"/>
  <c r="H993"/>
  <c r="H994"/>
  <c r="H995"/>
  <c r="H996"/>
  <c r="H997"/>
  <c r="H998"/>
  <c r="H999"/>
  <c r="H1000"/>
  <c r="H1001"/>
  <c r="H1002"/>
  <c r="H1003"/>
  <c r="H1004"/>
  <c r="H1005"/>
  <c r="H1006"/>
  <c r="H1007"/>
  <c r="H1008"/>
  <c r="H1009"/>
  <c r="H1010"/>
  <c r="H1011"/>
  <c r="H1012"/>
  <c r="H1013"/>
  <c r="H1014"/>
  <c r="H1015"/>
  <c r="H1016"/>
  <c r="H1017"/>
  <c r="H1018"/>
  <c r="H1019"/>
  <c r="H1020"/>
  <c r="H1021"/>
  <c r="H1022"/>
  <c r="H1023"/>
  <c r="H1024"/>
  <c r="H1025"/>
  <c r="H1026"/>
  <c r="H1027"/>
  <c r="H1028"/>
  <c r="H1029"/>
  <c r="H1030"/>
  <c r="H1031"/>
  <c r="H1032"/>
  <c r="H1033"/>
  <c r="H1034"/>
  <c r="H1035"/>
  <c r="H1036"/>
  <c r="H1037"/>
  <c r="H1038"/>
  <c r="H1039"/>
  <c r="H1040"/>
  <c r="H1041"/>
  <c r="H1042"/>
  <c r="H1043"/>
  <c r="H1044"/>
  <c r="H1045"/>
  <c r="H1046"/>
  <c r="H1047"/>
  <c r="H1048"/>
  <c r="H1049"/>
  <c r="H1050"/>
  <c r="H1051"/>
  <c r="H1052"/>
  <c r="H1053"/>
  <c r="H1054"/>
  <c r="H1055"/>
  <c r="H1056"/>
  <c r="H1057"/>
  <c r="H1058"/>
  <c r="H1059"/>
  <c r="H1060"/>
  <c r="H1061"/>
  <c r="H1062"/>
  <c r="H1063"/>
  <c r="H1064"/>
  <c r="H1065"/>
  <c r="H1066"/>
  <c r="H1067"/>
  <c r="H1068"/>
  <c r="H1069"/>
  <c r="H1070"/>
  <c r="H1071"/>
  <c r="H1072"/>
  <c r="H1073"/>
  <c r="H1074"/>
  <c r="H1075"/>
  <c r="H1076"/>
  <c r="H1077"/>
  <c r="H1078"/>
  <c r="H1079"/>
  <c r="H1080"/>
  <c r="H1081"/>
  <c r="H1082"/>
  <c r="H1083"/>
  <c r="H1084"/>
  <c r="I736" i="4"/>
  <c r="I737"/>
  <c r="I738"/>
  <c r="I739"/>
  <c r="I740"/>
  <c r="I741"/>
  <c r="I742"/>
  <c r="I743"/>
  <c r="I744"/>
  <c r="I745"/>
  <c r="I746"/>
  <c r="I747"/>
  <c r="I748"/>
  <c r="I749"/>
  <c r="I750"/>
  <c r="I751"/>
  <c r="I752"/>
  <c r="I753"/>
  <c r="I754"/>
  <c r="I755"/>
  <c r="I756"/>
  <c r="I757"/>
  <c r="I758"/>
  <c r="I759"/>
  <c r="I760"/>
  <c r="I761"/>
  <c r="I762"/>
  <c r="I763"/>
  <c r="I764"/>
  <c r="I765"/>
  <c r="I766"/>
  <c r="I767"/>
  <c r="I768"/>
  <c r="I769"/>
  <c r="I770"/>
  <c r="I771"/>
  <c r="I772"/>
  <c r="I773"/>
  <c r="I774"/>
  <c r="I775"/>
  <c r="I776"/>
  <c r="I777"/>
  <c r="I778"/>
  <c r="I779"/>
  <c r="I780"/>
  <c r="I781"/>
  <c r="I782"/>
  <c r="I783"/>
  <c r="I784"/>
  <c r="I785"/>
  <c r="I786"/>
  <c r="I787"/>
  <c r="I788"/>
  <c r="I789"/>
  <c r="I790"/>
  <c r="I791"/>
  <c r="I792"/>
  <c r="I793"/>
  <c r="I794"/>
  <c r="I795"/>
  <c r="I796"/>
  <c r="I797"/>
  <c r="I798"/>
  <c r="I799"/>
  <c r="I800"/>
  <c r="I801"/>
  <c r="I802"/>
  <c r="I803"/>
  <c r="I804"/>
  <c r="I805"/>
  <c r="I806"/>
  <c r="I807"/>
  <c r="I808"/>
  <c r="I809"/>
  <c r="I810"/>
  <c r="I811"/>
  <c r="I812"/>
  <c r="I813"/>
  <c r="I814"/>
  <c r="I815"/>
  <c r="I816"/>
  <c r="I817"/>
  <c r="I818"/>
  <c r="I819"/>
  <c r="I820"/>
  <c r="I821"/>
  <c r="I822"/>
  <c r="I823"/>
  <c r="I824"/>
  <c r="I825"/>
  <c r="I826"/>
  <c r="I827"/>
  <c r="I828"/>
  <c r="I829"/>
  <c r="I830"/>
  <c r="I831"/>
  <c r="I832"/>
  <c r="I833"/>
  <c r="I834"/>
  <c r="I835"/>
  <c r="I836"/>
  <c r="I837"/>
  <c r="I838"/>
  <c r="I839"/>
  <c r="I840"/>
  <c r="I841"/>
  <c r="I842"/>
  <c r="I843"/>
  <c r="I844"/>
  <c r="I845"/>
  <c r="I846"/>
  <c r="I847"/>
  <c r="I848"/>
  <c r="I849"/>
  <c r="I850"/>
  <c r="I851"/>
  <c r="I852"/>
  <c r="I853"/>
  <c r="I854"/>
  <c r="I855"/>
  <c r="I856"/>
  <c r="I857"/>
  <c r="I858"/>
  <c r="I859"/>
  <c r="I860"/>
  <c r="I861"/>
  <c r="I862"/>
  <c r="I863"/>
  <c r="I864"/>
  <c r="I865"/>
  <c r="I866"/>
  <c r="I867"/>
  <c r="I868"/>
  <c r="I869"/>
  <c r="I870"/>
  <c r="I871"/>
  <c r="I872"/>
  <c r="I873"/>
  <c r="I874"/>
  <c r="I875"/>
  <c r="I876"/>
  <c r="I877"/>
  <c r="I878"/>
  <c r="I879"/>
  <c r="I880"/>
  <c r="I881"/>
  <c r="I882"/>
  <c r="I883"/>
  <c r="I884"/>
  <c r="I885"/>
  <c r="I886"/>
  <c r="I887"/>
  <c r="I888"/>
  <c r="I889"/>
  <c r="I890"/>
  <c r="I891"/>
  <c r="I892"/>
  <c r="I893"/>
  <c r="I894"/>
  <c r="I895"/>
  <c r="I896"/>
  <c r="I897"/>
  <c r="I898"/>
  <c r="I899"/>
  <c r="I900"/>
  <c r="I901"/>
  <c r="I902"/>
  <c r="I903"/>
  <c r="I904"/>
  <c r="I905"/>
  <c r="I906"/>
  <c r="I907"/>
  <c r="I908"/>
  <c r="I909"/>
  <c r="I910"/>
  <c r="I911"/>
  <c r="I912"/>
  <c r="I913"/>
  <c r="I914"/>
  <c r="I915"/>
  <c r="I916"/>
  <c r="I917"/>
  <c r="I918"/>
  <c r="I919"/>
  <c r="I920"/>
  <c r="I921"/>
  <c r="I922"/>
  <c r="I923"/>
  <c r="I924"/>
  <c r="I925"/>
  <c r="I926"/>
  <c r="I927"/>
  <c r="I928"/>
  <c r="I929"/>
  <c r="I930"/>
  <c r="I931"/>
  <c r="I932"/>
  <c r="I933"/>
  <c r="I934"/>
  <c r="I935"/>
  <c r="I936"/>
  <c r="I937"/>
  <c r="I938"/>
  <c r="I939"/>
  <c r="I940"/>
  <c r="I941"/>
  <c r="I942"/>
  <c r="I943"/>
  <c r="I944"/>
  <c r="I945"/>
  <c r="I946"/>
  <c r="I947"/>
  <c r="I948"/>
  <c r="I949"/>
  <c r="I950"/>
  <c r="I951"/>
  <c r="I952"/>
  <c r="I953"/>
  <c r="I954"/>
  <c r="I955"/>
  <c r="I956"/>
  <c r="I957"/>
  <c r="I958"/>
  <c r="I959"/>
  <c r="I960"/>
  <c r="I961"/>
  <c r="I962"/>
  <c r="I963"/>
  <c r="I964"/>
  <c r="I965"/>
  <c r="I966"/>
  <c r="I967"/>
  <c r="I968"/>
  <c r="I969"/>
  <c r="I970"/>
  <c r="I971"/>
  <c r="I972"/>
  <c r="I973"/>
  <c r="I974"/>
  <c r="I975"/>
  <c r="I976"/>
  <c r="I977"/>
  <c r="I978"/>
  <c r="I979"/>
  <c r="I980"/>
  <c r="I981"/>
  <c r="I982"/>
  <c r="I983"/>
  <c r="I984"/>
  <c r="I985"/>
  <c r="I986"/>
  <c r="I987"/>
  <c r="I988"/>
  <c r="I989"/>
  <c r="I990"/>
  <c r="I991"/>
  <c r="I992"/>
  <c r="I993"/>
  <c r="I994"/>
  <c r="I995"/>
  <c r="I996"/>
  <c r="I997"/>
  <c r="I998"/>
  <c r="I999"/>
  <c r="I1000"/>
  <c r="I1001"/>
  <c r="I1002"/>
  <c r="I1003"/>
  <c r="I1004"/>
  <c r="I1005"/>
  <c r="I1006"/>
  <c r="I1007"/>
  <c r="I1008"/>
  <c r="I1009"/>
  <c r="I1010"/>
  <c r="I1011"/>
  <c r="I1012"/>
  <c r="I1013"/>
  <c r="I1014"/>
  <c r="I1015"/>
  <c r="I1016"/>
  <c r="I1017"/>
  <c r="I1018"/>
  <c r="I1019"/>
  <c r="I1020"/>
  <c r="I1021"/>
  <c r="I1022"/>
  <c r="I1023"/>
  <c r="I1024"/>
  <c r="I1025"/>
  <c r="I1026"/>
  <c r="I1027"/>
  <c r="I1028"/>
  <c r="I1029"/>
  <c r="I1030"/>
  <c r="I1031"/>
  <c r="I1032"/>
  <c r="I1033"/>
  <c r="I1034"/>
  <c r="I1035"/>
  <c r="I1036"/>
  <c r="I1037"/>
  <c r="I1038"/>
  <c r="I1039"/>
  <c r="I1040"/>
  <c r="I1041"/>
  <c r="I1042"/>
  <c r="I1043"/>
  <c r="I1044"/>
  <c r="I1045"/>
  <c r="I1046"/>
  <c r="I1047"/>
  <c r="I1048"/>
  <c r="I1049"/>
  <c r="I1050"/>
  <c r="I1051"/>
  <c r="I1052"/>
  <c r="I1053"/>
  <c r="I1054"/>
  <c r="I1055"/>
  <c r="I1056"/>
  <c r="I1057"/>
  <c r="I1058"/>
  <c r="I1059"/>
  <c r="I1060"/>
  <c r="I1061"/>
  <c r="I1062"/>
  <c r="I1063"/>
  <c r="I1064"/>
  <c r="I1065"/>
  <c r="I1066"/>
  <c r="I1067"/>
  <c r="I1068"/>
  <c r="I1069"/>
  <c r="I1070"/>
  <c r="I1071"/>
  <c r="I1072"/>
  <c r="I1073"/>
  <c r="I1074"/>
  <c r="I1075"/>
  <c r="I1076"/>
  <c r="I1077"/>
  <c r="I1078"/>
  <c r="I1079"/>
  <c r="I1080"/>
  <c r="I1081"/>
  <c r="I1082"/>
  <c r="I1083"/>
  <c r="I1084"/>
  <c r="I1085"/>
  <c r="I1086"/>
  <c r="I1087"/>
  <c r="I1088"/>
  <c r="I1089"/>
  <c r="I1090"/>
  <c r="I1091"/>
  <c r="I1092"/>
  <c r="I1093"/>
  <c r="I1094"/>
  <c r="I1095"/>
  <c r="I1096"/>
  <c r="I1097"/>
  <c r="I1098"/>
  <c r="I1099"/>
  <c r="I1100"/>
  <c r="I1101"/>
  <c r="I1102"/>
  <c r="I1103"/>
  <c r="I1104"/>
  <c r="I1105"/>
  <c r="I1106"/>
  <c r="I1107"/>
  <c r="I1108"/>
  <c r="I1109"/>
  <c r="I1110"/>
  <c r="I1111"/>
  <c r="I1112"/>
  <c r="I1113"/>
  <c r="I1114"/>
  <c r="I1115"/>
  <c r="I1116"/>
  <c r="I1117"/>
  <c r="I1118"/>
  <c r="I1119"/>
  <c r="I1120"/>
  <c r="I1121"/>
  <c r="I1122"/>
  <c r="I1123"/>
  <c r="I1124"/>
  <c r="I1125"/>
  <c r="I1126"/>
  <c r="I1127"/>
  <c r="I1128"/>
  <c r="I1129"/>
  <c r="I1130"/>
  <c r="I1131"/>
  <c r="I1132"/>
  <c r="I1133"/>
  <c r="I1134"/>
  <c r="I1135"/>
  <c r="I1136"/>
  <c r="I1137"/>
  <c r="I1138"/>
  <c r="I1139"/>
  <c r="I1140"/>
  <c r="I1141"/>
  <c r="I1142"/>
  <c r="I1143"/>
  <c r="I1144"/>
  <c r="I1145"/>
  <c r="I1146"/>
  <c r="I1147"/>
  <c r="I1148"/>
  <c r="I1149"/>
  <c r="I1150"/>
  <c r="I1151"/>
  <c r="I1152"/>
  <c r="I1153"/>
  <c r="I1154"/>
  <c r="I1155"/>
  <c r="I1156"/>
  <c r="I1157"/>
  <c r="I1158"/>
  <c r="I1159"/>
  <c r="I1160"/>
  <c r="I1161"/>
  <c r="I1162"/>
  <c r="I1163"/>
  <c r="I1164"/>
  <c r="I1165"/>
  <c r="I1166"/>
  <c r="I1167"/>
  <c r="I1168"/>
  <c r="I1169"/>
  <c r="I1170"/>
  <c r="I1171"/>
  <c r="I1172"/>
  <c r="I1173"/>
  <c r="I1174"/>
  <c r="I1175"/>
  <c r="I1176"/>
  <c r="I1177"/>
  <c r="I1178"/>
  <c r="I1179"/>
  <c r="I1180"/>
  <c r="I1181"/>
  <c r="I1182"/>
  <c r="I1183"/>
  <c r="I1184"/>
  <c r="I1185"/>
  <c r="I1186"/>
  <c r="I1187"/>
  <c r="I1188"/>
  <c r="I1189"/>
  <c r="I1190"/>
  <c r="I1191"/>
  <c r="I1192"/>
  <c r="I1193"/>
  <c r="I1194"/>
  <c r="I1195"/>
  <c r="I1196"/>
  <c r="I1197"/>
  <c r="I1198"/>
  <c r="I1199"/>
  <c r="H677" i="45" l="1"/>
  <c r="H678"/>
  <c r="A1" i="62" l="1"/>
  <c r="B1" i="61"/>
  <c r="B7" i="65"/>
  <c r="A3" i="48" l="1"/>
  <c r="B2" i="61"/>
  <c r="A2" i="20"/>
  <c r="A2" i="52"/>
  <c r="A2" i="12"/>
  <c r="A2" i="35"/>
  <c r="A2" i="18"/>
  <c r="A2" i="6"/>
  <c r="A2" i="53"/>
  <c r="A2" i="24"/>
  <c r="A2" i="26"/>
  <c r="A2" i="49"/>
  <c r="A2" i="50"/>
  <c r="A2" i="48"/>
  <c r="A2" i="3"/>
  <c r="A2" i="45"/>
  <c r="A2" i="4"/>
  <c r="A2" i="23"/>
  <c r="A1"/>
  <c r="A2" i="47"/>
  <c r="A2" i="17"/>
  <c r="D6" i="26" l="1"/>
  <c r="C6" i="53"/>
  <c r="E7" i="24" l="1"/>
  <c r="E26"/>
  <c r="A3" i="35" l="1"/>
  <c r="C6" i="12"/>
  <c r="B6" i="64" l="1"/>
  <c r="A2" l="1"/>
  <c r="A1"/>
  <c r="A2" i="65"/>
  <c r="A1"/>
  <c r="A1" i="53"/>
  <c r="F26" i="24"/>
  <c r="B25"/>
  <c r="B24"/>
  <c r="B23"/>
  <c r="B22"/>
  <c r="B21"/>
  <c r="B20"/>
  <c r="B19"/>
  <c r="B18"/>
  <c r="B17"/>
  <c r="B16"/>
  <c r="B15"/>
  <c r="B14"/>
  <c r="B13"/>
  <c r="B12"/>
  <c r="B10"/>
  <c r="B9"/>
  <c r="B8"/>
  <c r="D7"/>
  <c r="C7"/>
  <c r="F7" l="1"/>
  <c r="B26"/>
  <c r="G26" s="1"/>
  <c r="B11"/>
  <c r="B7" s="1"/>
  <c r="G7" s="1"/>
  <c r="G45"/>
  <c r="I726" i="4" l="1"/>
  <c r="I727"/>
  <c r="I728"/>
  <c r="I729"/>
  <c r="I730"/>
  <c r="I731"/>
  <c r="I732"/>
  <c r="I733"/>
  <c r="I734"/>
  <c r="I735"/>
  <c r="I718" l="1"/>
  <c r="I719"/>
  <c r="I720"/>
  <c r="I721"/>
  <c r="I722"/>
  <c r="I723"/>
  <c r="I724"/>
  <c r="I725"/>
  <c r="A2" i="63"/>
  <c r="A1"/>
  <c r="B6"/>
  <c r="A2" i="62" l="1"/>
  <c r="B7"/>
  <c r="A2" i="60"/>
  <c r="A1"/>
  <c r="A2" i="58"/>
  <c r="A1"/>
  <c r="C6" i="60"/>
  <c r="D10" i="17" l="1"/>
  <c r="A1"/>
  <c r="I10" i="4"/>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165"/>
  <c r="I166"/>
  <c r="I167"/>
  <c r="I168"/>
  <c r="I169"/>
  <c r="I170"/>
  <c r="I171"/>
  <c r="I172"/>
  <c r="I173"/>
  <c r="I174"/>
  <c r="I175"/>
  <c r="I176"/>
  <c r="I177"/>
  <c r="I178"/>
  <c r="I179"/>
  <c r="I180"/>
  <c r="I181"/>
  <c r="I182"/>
  <c r="I183"/>
  <c r="I184"/>
  <c r="I185"/>
  <c r="I186"/>
  <c r="I187"/>
  <c r="I188"/>
  <c r="I189"/>
  <c r="I190"/>
  <c r="I191"/>
  <c r="I192"/>
  <c r="I193"/>
  <c r="I194"/>
  <c r="I195"/>
  <c r="I196"/>
  <c r="I197"/>
  <c r="I198"/>
  <c r="I199"/>
  <c r="I200"/>
  <c r="I201"/>
  <c r="I202"/>
  <c r="I203"/>
  <c r="I204"/>
  <c r="I205"/>
  <c r="I206"/>
  <c r="I207"/>
  <c r="I208"/>
  <c r="I209"/>
  <c r="I210"/>
  <c r="I211"/>
  <c r="I212"/>
  <c r="I213"/>
  <c r="I214"/>
  <c r="I215"/>
  <c r="I216"/>
  <c r="I217"/>
  <c r="I218"/>
  <c r="I219"/>
  <c r="I220"/>
  <c r="I221"/>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276"/>
  <c r="I277"/>
  <c r="I278"/>
  <c r="I279"/>
  <c r="I280"/>
  <c r="I281"/>
  <c r="I282"/>
  <c r="I283"/>
  <c r="I284"/>
  <c r="I285"/>
  <c r="I286"/>
  <c r="I287"/>
  <c r="I288"/>
  <c r="I289"/>
  <c r="I290"/>
  <c r="I291"/>
  <c r="I292"/>
  <c r="I293"/>
  <c r="I294"/>
  <c r="I295"/>
  <c r="I296"/>
  <c r="I297"/>
  <c r="I298"/>
  <c r="I299"/>
  <c r="I300"/>
  <c r="I301"/>
  <c r="I302"/>
  <c r="I303"/>
  <c r="I304"/>
  <c r="I305"/>
  <c r="I306"/>
  <c r="I307"/>
  <c r="I308"/>
  <c r="I309"/>
  <c r="I310"/>
  <c r="I311"/>
  <c r="I312"/>
  <c r="I313"/>
  <c r="I314"/>
  <c r="I315"/>
  <c r="I316"/>
  <c r="I317"/>
  <c r="I318"/>
  <c r="I319"/>
  <c r="I320"/>
  <c r="I321"/>
  <c r="I322"/>
  <c r="I323"/>
  <c r="I324"/>
  <c r="I325"/>
  <c r="I326"/>
  <c r="I327"/>
  <c r="I328"/>
  <c r="I329"/>
  <c r="I330"/>
  <c r="I331"/>
  <c r="I332"/>
  <c r="I333"/>
  <c r="I334"/>
  <c r="I335"/>
  <c r="I336"/>
  <c r="I337"/>
  <c r="I338"/>
  <c r="I339"/>
  <c r="I340"/>
  <c r="I341"/>
  <c r="I342"/>
  <c r="I343"/>
  <c r="I344"/>
  <c r="I345"/>
  <c r="I346"/>
  <c r="I347"/>
  <c r="I348"/>
  <c r="I349"/>
  <c r="I350"/>
  <c r="I351"/>
  <c r="I352"/>
  <c r="I353"/>
  <c r="I354"/>
  <c r="I355"/>
  <c r="I356"/>
  <c r="I357"/>
  <c r="I358"/>
  <c r="I359"/>
  <c r="I360"/>
  <c r="I361"/>
  <c r="I362"/>
  <c r="I363"/>
  <c r="I364"/>
  <c r="I365"/>
  <c r="I366"/>
  <c r="I367"/>
  <c r="I368"/>
  <c r="I369"/>
  <c r="I370"/>
  <c r="I371"/>
  <c r="I372"/>
  <c r="I373"/>
  <c r="I374"/>
  <c r="I375"/>
  <c r="I376"/>
  <c r="I377"/>
  <c r="I378"/>
  <c r="I379"/>
  <c r="I380"/>
  <c r="I381"/>
  <c r="I382"/>
  <c r="I383"/>
  <c r="I384"/>
  <c r="I385"/>
  <c r="I386"/>
  <c r="I387"/>
  <c r="I388"/>
  <c r="I389"/>
  <c r="I390"/>
  <c r="I391"/>
  <c r="I392"/>
  <c r="I393"/>
  <c r="I394"/>
  <c r="I395"/>
  <c r="I396"/>
  <c r="I397"/>
  <c r="I398"/>
  <c r="I399"/>
  <c r="I400"/>
  <c r="I401"/>
  <c r="I402"/>
  <c r="I403"/>
  <c r="I404"/>
  <c r="I405"/>
  <c r="I406"/>
  <c r="I407"/>
  <c r="I408"/>
  <c r="I409"/>
  <c r="I410"/>
  <c r="I411"/>
  <c r="I412"/>
  <c r="I413"/>
  <c r="I414"/>
  <c r="I415"/>
  <c r="I416"/>
  <c r="I417"/>
  <c r="I418"/>
  <c r="I419"/>
  <c r="I420"/>
  <c r="I421"/>
  <c r="I422"/>
  <c r="I423"/>
  <c r="I424"/>
  <c r="I425"/>
  <c r="I426"/>
  <c r="I427"/>
  <c r="I428"/>
  <c r="I429"/>
  <c r="I430"/>
  <c r="I431"/>
  <c r="I432"/>
  <c r="I433"/>
  <c r="I434"/>
  <c r="I435"/>
  <c r="I436"/>
  <c r="I437"/>
  <c r="I438"/>
  <c r="I439"/>
  <c r="I440"/>
  <c r="I441"/>
  <c r="I442"/>
  <c r="I443"/>
  <c r="I444"/>
  <c r="I445"/>
  <c r="I446"/>
  <c r="I447"/>
  <c r="I448"/>
  <c r="I449"/>
  <c r="I450"/>
  <c r="I451"/>
  <c r="I452"/>
  <c r="I453"/>
  <c r="I454"/>
  <c r="I455"/>
  <c r="I456"/>
  <c r="I457"/>
  <c r="I458"/>
  <c r="I459"/>
  <c r="I460"/>
  <c r="I461"/>
  <c r="I462"/>
  <c r="I463"/>
  <c r="I464"/>
  <c r="I465"/>
  <c r="I466"/>
  <c r="I467"/>
  <c r="I468"/>
  <c r="I469"/>
  <c r="I470"/>
  <c r="I471"/>
  <c r="I472"/>
  <c r="I473"/>
  <c r="I474"/>
  <c r="I475"/>
  <c r="I476"/>
  <c r="I477"/>
  <c r="I478"/>
  <c r="I479"/>
  <c r="I480"/>
  <c r="I481"/>
  <c r="I482"/>
  <c r="I483"/>
  <c r="I484"/>
  <c r="I485"/>
  <c r="I486"/>
  <c r="I487"/>
  <c r="I488"/>
  <c r="I489"/>
  <c r="I490"/>
  <c r="I491"/>
  <c r="I492"/>
  <c r="I493"/>
  <c r="I494"/>
  <c r="I495"/>
  <c r="I496"/>
  <c r="I497"/>
  <c r="I498"/>
  <c r="I499"/>
  <c r="I500"/>
  <c r="I501"/>
  <c r="I502"/>
  <c r="I503"/>
  <c r="I504"/>
  <c r="I505"/>
  <c r="I506"/>
  <c r="I507"/>
  <c r="I508"/>
  <c r="I509"/>
  <c r="I510"/>
  <c r="I511"/>
  <c r="I512"/>
  <c r="I513"/>
  <c r="I514"/>
  <c r="I515"/>
  <c r="I516"/>
  <c r="I517"/>
  <c r="I518"/>
  <c r="I519"/>
  <c r="I520"/>
  <c r="I521"/>
  <c r="I522"/>
  <c r="I523"/>
  <c r="I524"/>
  <c r="I525"/>
  <c r="I526"/>
  <c r="I527"/>
  <c r="I528"/>
  <c r="I529"/>
  <c r="I530"/>
  <c r="I531"/>
  <c r="I532"/>
  <c r="I533"/>
  <c r="I534"/>
  <c r="I535"/>
  <c r="I536"/>
  <c r="I537"/>
  <c r="I538"/>
  <c r="I539"/>
  <c r="I540"/>
  <c r="I541"/>
  <c r="I542"/>
  <c r="I543"/>
  <c r="I544"/>
  <c r="I545"/>
  <c r="I546"/>
  <c r="I547"/>
  <c r="I548"/>
  <c r="I549"/>
  <c r="I550"/>
  <c r="I551"/>
  <c r="I552"/>
  <c r="I553"/>
  <c r="I554"/>
  <c r="I555"/>
  <c r="I556"/>
  <c r="I557"/>
  <c r="I558"/>
  <c r="I559"/>
  <c r="I560"/>
  <c r="I561"/>
  <c r="I562"/>
  <c r="I563"/>
  <c r="I564"/>
  <c r="I565"/>
  <c r="I566"/>
  <c r="I567"/>
  <c r="I568"/>
  <c r="I569"/>
  <c r="I570"/>
  <c r="I571"/>
  <c r="I572"/>
  <c r="I573"/>
  <c r="I574"/>
  <c r="I575"/>
  <c r="A1" i="59" l="1"/>
  <c r="A1" i="12"/>
  <c r="A1" i="18"/>
  <c r="A1" i="24"/>
  <c r="A1" i="49"/>
  <c r="A1" i="50"/>
  <c r="A1" i="48"/>
  <c r="A1" i="3"/>
  <c r="A1" i="45"/>
  <c r="A1" i="47"/>
  <c r="A1" i="4"/>
  <c r="C6" i="20" l="1"/>
  <c r="B6"/>
  <c r="B9"/>
  <c r="C9"/>
  <c r="H251" i="45" l="1"/>
  <c r="H252"/>
  <c r="H253"/>
  <c r="H254"/>
  <c r="H257"/>
  <c r="C6" i="59"/>
  <c r="I576" i="4"/>
  <c r="I577"/>
  <c r="I578"/>
  <c r="I579"/>
  <c r="I580"/>
  <c r="I581"/>
  <c r="I582"/>
  <c r="I583"/>
  <c r="I584"/>
  <c r="I585"/>
  <c r="I586"/>
  <c r="I587"/>
  <c r="I588"/>
  <c r="I589"/>
  <c r="I590"/>
  <c r="I591"/>
  <c r="I592"/>
  <c r="I593"/>
  <c r="I594"/>
  <c r="I595"/>
  <c r="I596"/>
  <c r="I597"/>
  <c r="I598"/>
  <c r="I599"/>
  <c r="I600"/>
  <c r="I601"/>
  <c r="I602"/>
  <c r="I603"/>
  <c r="I604"/>
  <c r="I605"/>
  <c r="I606"/>
  <c r="I607"/>
  <c r="I608"/>
  <c r="I609"/>
  <c r="I610"/>
  <c r="I611"/>
  <c r="I612"/>
  <c r="I613"/>
  <c r="I614"/>
  <c r="I615"/>
  <c r="I616"/>
  <c r="I617"/>
  <c r="I618"/>
  <c r="I619"/>
  <c r="I620"/>
  <c r="I621"/>
  <c r="I622"/>
  <c r="I623"/>
  <c r="I624"/>
  <c r="I625"/>
  <c r="I626"/>
  <c r="I627"/>
  <c r="I628"/>
  <c r="I629"/>
  <c r="I630"/>
  <c r="I631"/>
  <c r="I632"/>
  <c r="I633"/>
  <c r="I634"/>
  <c r="I635"/>
  <c r="I636"/>
  <c r="I637"/>
  <c r="I638"/>
  <c r="I639"/>
  <c r="I640"/>
  <c r="I641"/>
  <c r="I642"/>
  <c r="I643"/>
  <c r="I644"/>
  <c r="I645"/>
  <c r="I646"/>
  <c r="I647"/>
  <c r="I648"/>
  <c r="I649"/>
  <c r="I650"/>
  <c r="I651"/>
  <c r="I652"/>
  <c r="I653"/>
  <c r="I654"/>
  <c r="I655"/>
  <c r="I656"/>
  <c r="I657"/>
  <c r="I658"/>
  <c r="I659"/>
  <c r="I660"/>
  <c r="I661"/>
  <c r="I662"/>
  <c r="I663"/>
  <c r="I664"/>
  <c r="I665"/>
  <c r="I666"/>
  <c r="I667"/>
  <c r="I668"/>
  <c r="I669"/>
  <c r="I670"/>
  <c r="I671"/>
  <c r="I672"/>
  <c r="I673"/>
  <c r="I674"/>
  <c r="I675"/>
  <c r="I676"/>
  <c r="I677"/>
  <c r="I678"/>
  <c r="I679"/>
  <c r="I680"/>
  <c r="I681"/>
  <c r="I682"/>
  <c r="I683"/>
  <c r="I684"/>
  <c r="I685"/>
  <c r="I686"/>
  <c r="I687"/>
  <c r="I688"/>
  <c r="I689"/>
  <c r="I690"/>
  <c r="I691"/>
  <c r="I692"/>
  <c r="I693"/>
  <c r="I694"/>
  <c r="I695"/>
  <c r="I696"/>
  <c r="I697"/>
  <c r="I698"/>
  <c r="I699"/>
  <c r="I700"/>
  <c r="I701"/>
  <c r="I702"/>
  <c r="I703"/>
  <c r="I704"/>
  <c r="I705"/>
  <c r="I706"/>
  <c r="I707"/>
  <c r="I708"/>
  <c r="I709"/>
  <c r="I710"/>
  <c r="I711"/>
  <c r="I712"/>
  <c r="I713"/>
  <c r="I714"/>
  <c r="I715"/>
  <c r="I716"/>
  <c r="I717"/>
  <c r="H441" i="45" l="1"/>
  <c r="H440"/>
  <c r="H439"/>
  <c r="B6" i="58" l="1"/>
  <c r="D6" s="1"/>
  <c r="B6" i="59" l="1"/>
  <c r="A2"/>
  <c r="I8" i="4" l="1"/>
  <c r="I9"/>
  <c r="A1" i="20"/>
  <c r="A1" i="52"/>
  <c r="A1" i="35"/>
  <c r="A1" i="6"/>
  <c r="A1" i="26"/>
  <c r="A1" i="56"/>
  <c r="E7" i="62" l="1"/>
  <c r="F7" i="59"/>
  <c r="A2" i="56" l="1"/>
  <c r="A3"/>
  <c r="J23" i="24"/>
  <c r="I22"/>
  <c r="I21"/>
  <c r="K21" l="1"/>
  <c r="J6" i="26" l="1"/>
  <c r="K6"/>
  <c r="L6"/>
  <c r="M6"/>
  <c r="I6"/>
  <c r="H63" i="45"/>
  <c r="H64"/>
  <c r="H65"/>
  <c r="H66"/>
  <c r="H67"/>
  <c r="H68"/>
  <c r="H69"/>
  <c r="H70"/>
  <c r="H71"/>
  <c r="H72"/>
  <c r="H73"/>
  <c r="H74"/>
  <c r="H75"/>
  <c r="H76"/>
  <c r="H77"/>
  <c r="H78"/>
  <c r="H79"/>
  <c r="H80"/>
  <c r="H81"/>
  <c r="H82"/>
  <c r="H83"/>
  <c r="H84"/>
  <c r="H85"/>
  <c r="H86"/>
  <c r="H87"/>
  <c r="H88"/>
  <c r="H89"/>
  <c r="H90"/>
  <c r="H91"/>
  <c r="H92"/>
  <c r="H93"/>
  <c r="H94"/>
  <c r="H95"/>
  <c r="H96"/>
  <c r="H97"/>
  <c r="H98"/>
  <c r="H99"/>
  <c r="H100"/>
  <c r="H101"/>
  <c r="H102"/>
  <c r="H103"/>
  <c r="H104"/>
  <c r="H105"/>
  <c r="H106"/>
  <c r="H107"/>
  <c r="H108"/>
  <c r="H109"/>
  <c r="H110"/>
  <c r="H111"/>
  <c r="H112"/>
  <c r="H113"/>
  <c r="H114"/>
  <c r="H115"/>
  <c r="H116"/>
  <c r="H117"/>
  <c r="H118"/>
  <c r="H119"/>
  <c r="H120"/>
  <c r="H121"/>
  <c r="H122"/>
  <c r="H123"/>
  <c r="H124"/>
  <c r="H125"/>
  <c r="H126"/>
  <c r="H127"/>
  <c r="H128"/>
  <c r="H129"/>
  <c r="H130"/>
  <c r="H131"/>
  <c r="H132"/>
  <c r="H133"/>
  <c r="H134"/>
  <c r="H135"/>
  <c r="H136"/>
  <c r="H137"/>
  <c r="H138"/>
  <c r="H139"/>
  <c r="H140"/>
  <c r="H141"/>
  <c r="H142"/>
  <c r="H143"/>
  <c r="H144"/>
  <c r="H145"/>
  <c r="H146"/>
  <c r="H147"/>
  <c r="H148"/>
  <c r="H149"/>
  <c r="H150"/>
  <c r="H151"/>
  <c r="H152"/>
  <c r="H153"/>
  <c r="H154"/>
  <c r="H155"/>
  <c r="H156"/>
  <c r="H157"/>
  <c r="H158"/>
  <c r="H159"/>
  <c r="H160"/>
  <c r="H161"/>
  <c r="H162"/>
  <c r="H163"/>
  <c r="H164"/>
  <c r="H165"/>
  <c r="H166"/>
  <c r="H167"/>
  <c r="H168"/>
  <c r="H169"/>
  <c r="H170"/>
  <c r="H171"/>
  <c r="H172"/>
  <c r="H173"/>
  <c r="H174"/>
  <c r="H175"/>
  <c r="H176"/>
  <c r="H177"/>
  <c r="H178"/>
  <c r="H179"/>
  <c r="H180"/>
  <c r="H181"/>
  <c r="H182"/>
  <c r="H183"/>
  <c r="H184"/>
  <c r="H185"/>
  <c r="H186"/>
  <c r="H187"/>
  <c r="H188"/>
  <c r="H189"/>
  <c r="H190"/>
  <c r="H191"/>
  <c r="H192"/>
  <c r="H193"/>
  <c r="H194"/>
  <c r="H195"/>
  <c r="H196"/>
  <c r="H197"/>
  <c r="H198"/>
  <c r="H199"/>
  <c r="H200"/>
  <c r="H201"/>
  <c r="H202"/>
  <c r="H203"/>
  <c r="H204"/>
  <c r="H205"/>
  <c r="H206"/>
  <c r="H207"/>
  <c r="H208"/>
  <c r="H209"/>
  <c r="H210"/>
  <c r="H211"/>
  <c r="H212"/>
  <c r="H213"/>
  <c r="H214"/>
  <c r="H215"/>
  <c r="H216"/>
  <c r="H217"/>
  <c r="H218"/>
  <c r="H219"/>
  <c r="H220"/>
  <c r="H221"/>
  <c r="H222"/>
  <c r="H223"/>
  <c r="H224"/>
  <c r="H225"/>
  <c r="H226"/>
  <c r="H227"/>
  <c r="H228"/>
  <c r="H229"/>
  <c r="H230"/>
  <c r="H231"/>
  <c r="H232"/>
  <c r="H233"/>
  <c r="H234"/>
  <c r="H235"/>
  <c r="H236"/>
  <c r="H237"/>
  <c r="H238"/>
  <c r="H239"/>
  <c r="H240"/>
  <c r="H241"/>
  <c r="H242"/>
  <c r="H243"/>
  <c r="H244"/>
  <c r="H245"/>
  <c r="H246"/>
  <c r="H247"/>
  <c r="H248"/>
  <c r="H249"/>
  <c r="H250"/>
  <c r="H258"/>
  <c r="H259"/>
  <c r="H260"/>
  <c r="H261"/>
  <c r="H262"/>
  <c r="H263"/>
  <c r="H264"/>
  <c r="H265"/>
  <c r="H266"/>
  <c r="H267"/>
  <c r="H268"/>
  <c r="H269"/>
  <c r="H270"/>
  <c r="H271"/>
  <c r="H272"/>
  <c r="H273"/>
  <c r="H274"/>
  <c r="H275"/>
  <c r="H276"/>
  <c r="H277"/>
  <c r="H278"/>
  <c r="H279"/>
  <c r="H280"/>
  <c r="H281"/>
  <c r="H282"/>
  <c r="H283"/>
  <c r="H284"/>
  <c r="H285"/>
  <c r="H286"/>
  <c r="H287"/>
  <c r="H288"/>
  <c r="H289"/>
  <c r="H290"/>
  <c r="H291"/>
  <c r="H292"/>
  <c r="H293"/>
  <c r="H294"/>
  <c r="H295"/>
  <c r="H296"/>
  <c r="H297"/>
  <c r="H298"/>
  <c r="H299"/>
  <c r="H300"/>
  <c r="H301"/>
  <c r="H302"/>
  <c r="H303"/>
  <c r="H304"/>
  <c r="H305"/>
  <c r="H306"/>
  <c r="H307"/>
  <c r="H308"/>
  <c r="H309"/>
  <c r="H310"/>
  <c r="H311"/>
  <c r="H312"/>
  <c r="H313"/>
  <c r="H314"/>
  <c r="H315"/>
  <c r="H316"/>
  <c r="H317"/>
  <c r="H318"/>
  <c r="H319"/>
  <c r="H320"/>
  <c r="H321"/>
  <c r="H322"/>
  <c r="H323"/>
  <c r="H324"/>
  <c r="H325"/>
  <c r="H326"/>
  <c r="H327"/>
  <c r="H328"/>
  <c r="H329"/>
  <c r="H330"/>
  <c r="H331"/>
  <c r="H332"/>
  <c r="H333"/>
  <c r="H334"/>
  <c r="H335"/>
  <c r="H336"/>
  <c r="H337"/>
  <c r="H338"/>
  <c r="H339"/>
  <c r="H340"/>
  <c r="H341"/>
  <c r="H342"/>
  <c r="H343"/>
  <c r="H344"/>
  <c r="H345"/>
  <c r="H346"/>
  <c r="H347"/>
  <c r="H350"/>
  <c r="H351"/>
  <c r="H352"/>
  <c r="H353"/>
  <c r="H354"/>
  <c r="H355"/>
  <c r="H356"/>
  <c r="H357"/>
  <c r="H358"/>
  <c r="H359"/>
  <c r="H360"/>
  <c r="H361"/>
  <c r="H362"/>
  <c r="H363"/>
  <c r="H364"/>
  <c r="H365"/>
  <c r="H366"/>
  <c r="H367"/>
  <c r="H368"/>
  <c r="H369"/>
  <c r="H370"/>
  <c r="H371"/>
  <c r="H372"/>
  <c r="H373"/>
  <c r="H374"/>
  <c r="H375"/>
  <c r="H376"/>
  <c r="H377"/>
  <c r="H378"/>
  <c r="H379"/>
  <c r="H380"/>
  <c r="H381"/>
  <c r="H382"/>
  <c r="H383"/>
  <c r="H384"/>
  <c r="H385"/>
  <c r="H386"/>
  <c r="H387"/>
  <c r="H388"/>
  <c r="H389"/>
  <c r="H390"/>
  <c r="H391"/>
  <c r="H392"/>
  <c r="H393"/>
  <c r="H394"/>
  <c r="H395"/>
  <c r="H396"/>
  <c r="H397"/>
  <c r="H398"/>
  <c r="H399"/>
  <c r="H400"/>
  <c r="H401"/>
  <c r="H402"/>
  <c r="H403"/>
  <c r="H404"/>
  <c r="H405"/>
  <c r="H406"/>
  <c r="H407"/>
  <c r="H408"/>
  <c r="H409"/>
  <c r="H410"/>
  <c r="H411"/>
  <c r="H412"/>
  <c r="H413"/>
  <c r="H414"/>
  <c r="H415"/>
  <c r="H416"/>
  <c r="H417"/>
  <c r="H418"/>
  <c r="H419"/>
  <c r="H420"/>
  <c r="H421"/>
  <c r="H422"/>
  <c r="H423"/>
  <c r="H424"/>
  <c r="H425"/>
  <c r="H426"/>
  <c r="H427"/>
  <c r="H428"/>
  <c r="H429"/>
  <c r="H430"/>
  <c r="H431"/>
  <c r="H432"/>
  <c r="H433"/>
  <c r="H434"/>
  <c r="H435"/>
  <c r="H436"/>
  <c r="H437"/>
  <c r="H442"/>
  <c r="H443"/>
  <c r="H444"/>
  <c r="H445"/>
  <c r="H446"/>
  <c r="H447"/>
  <c r="H448"/>
  <c r="H449"/>
  <c r="H450"/>
  <c r="H451"/>
  <c r="H452"/>
  <c r="H453"/>
  <c r="H454"/>
  <c r="H455"/>
  <c r="H456"/>
  <c r="H457"/>
  <c r="H458"/>
  <c r="H459"/>
  <c r="H460"/>
  <c r="H461"/>
  <c r="H462"/>
  <c r="H463"/>
  <c r="H464"/>
  <c r="H465"/>
  <c r="H466"/>
  <c r="H467"/>
  <c r="H468"/>
  <c r="H469"/>
  <c r="H470"/>
  <c r="H471"/>
  <c r="H472"/>
  <c r="H473"/>
  <c r="H474"/>
  <c r="H475"/>
  <c r="H476"/>
  <c r="H477"/>
  <c r="H478"/>
  <c r="H479"/>
  <c r="H480"/>
  <c r="H481"/>
  <c r="H482"/>
  <c r="H483"/>
  <c r="H484"/>
  <c r="H485"/>
  <c r="H486"/>
  <c r="H487"/>
  <c r="H488"/>
  <c r="H489"/>
  <c r="H490"/>
  <c r="H491"/>
  <c r="H492"/>
  <c r="H493"/>
  <c r="H494"/>
  <c r="H495"/>
  <c r="H496"/>
  <c r="H497"/>
  <c r="H498"/>
  <c r="H499"/>
  <c r="H500"/>
  <c r="H501"/>
  <c r="H502"/>
  <c r="H503"/>
  <c r="H504"/>
  <c r="H505"/>
  <c r="H506"/>
  <c r="H507"/>
  <c r="H508"/>
  <c r="H509"/>
  <c r="H510"/>
  <c r="H511"/>
  <c r="H512"/>
  <c r="H513"/>
  <c r="H514"/>
  <c r="H515"/>
  <c r="H516"/>
  <c r="H517"/>
  <c r="H518"/>
  <c r="H519"/>
  <c r="H520"/>
  <c r="H521"/>
  <c r="H522"/>
  <c r="H523"/>
  <c r="H524"/>
  <c r="H525"/>
  <c r="H526"/>
  <c r="H527"/>
  <c r="H528"/>
  <c r="H529"/>
  <c r="H530"/>
  <c r="H531"/>
  <c r="H532"/>
  <c r="H533"/>
  <c r="H534"/>
  <c r="H535"/>
  <c r="H536"/>
  <c r="H537"/>
  <c r="H538"/>
  <c r="H539"/>
  <c r="H540"/>
  <c r="H541"/>
  <c r="H542"/>
  <c r="H543"/>
  <c r="H544"/>
  <c r="H545"/>
  <c r="H546"/>
  <c r="H547"/>
  <c r="H548"/>
  <c r="H549"/>
  <c r="H550"/>
  <c r="H551"/>
  <c r="H552"/>
  <c r="H553"/>
  <c r="H554"/>
  <c r="H555"/>
  <c r="H556"/>
  <c r="H557"/>
  <c r="H558"/>
  <c r="H559"/>
  <c r="H560"/>
  <c r="H561"/>
  <c r="H562"/>
  <c r="H563"/>
  <c r="H564"/>
  <c r="H565"/>
  <c r="H566"/>
  <c r="H567"/>
  <c r="H568"/>
  <c r="H569"/>
  <c r="H570"/>
  <c r="H571"/>
  <c r="H572"/>
  <c r="H573"/>
  <c r="H574"/>
  <c r="H575"/>
  <c r="H576"/>
  <c r="H577"/>
  <c r="H578"/>
  <c r="H579"/>
  <c r="H580"/>
  <c r="H581"/>
  <c r="H582"/>
  <c r="H583"/>
  <c r="H584"/>
  <c r="H585"/>
  <c r="H586"/>
  <c r="H587"/>
  <c r="H588"/>
  <c r="H589"/>
  <c r="H590"/>
  <c r="H591"/>
  <c r="H592"/>
  <c r="H593"/>
  <c r="H594"/>
  <c r="H595"/>
  <c r="H596"/>
  <c r="H597"/>
  <c r="H598"/>
  <c r="H599"/>
  <c r="H600"/>
  <c r="H601"/>
  <c r="H602"/>
  <c r="H603"/>
  <c r="H604"/>
  <c r="H605"/>
  <c r="H606"/>
  <c r="H607"/>
  <c r="H608"/>
  <c r="H609"/>
  <c r="H610"/>
  <c r="H611"/>
  <c r="H612"/>
  <c r="H613"/>
  <c r="H614"/>
  <c r="H615"/>
  <c r="H616"/>
  <c r="H617"/>
  <c r="H618"/>
  <c r="H619"/>
  <c r="H620"/>
  <c r="H621"/>
  <c r="H622"/>
  <c r="H623"/>
  <c r="H624"/>
  <c r="H625"/>
  <c r="H626"/>
  <c r="H627"/>
  <c r="H628"/>
  <c r="H629"/>
  <c r="H630"/>
  <c r="H631"/>
  <c r="H632"/>
  <c r="H633"/>
  <c r="H634"/>
  <c r="H635"/>
  <c r="H636"/>
  <c r="H637"/>
  <c r="H638"/>
  <c r="H639"/>
  <c r="H640"/>
  <c r="H641"/>
  <c r="H642"/>
  <c r="H643"/>
  <c r="H644"/>
  <c r="H645"/>
  <c r="H646"/>
  <c r="H647"/>
  <c r="H648"/>
  <c r="H649"/>
  <c r="H650"/>
  <c r="H651"/>
  <c r="H652"/>
  <c r="H653"/>
  <c r="H654"/>
  <c r="H655"/>
  <c r="H656"/>
  <c r="H657"/>
  <c r="H658"/>
  <c r="H659"/>
  <c r="H660"/>
  <c r="H661"/>
  <c r="H662"/>
  <c r="H663"/>
  <c r="H664"/>
  <c r="H665"/>
  <c r="H666"/>
  <c r="H667"/>
  <c r="H668"/>
  <c r="H669"/>
  <c r="H670"/>
  <c r="H671"/>
  <c r="H672"/>
  <c r="H673"/>
  <c r="H674"/>
  <c r="H675"/>
  <c r="H676"/>
  <c r="C20" i="17" l="1"/>
  <c r="E20" s="1"/>
  <c r="H9" i="45"/>
  <c r="H10"/>
  <c r="H11"/>
  <c r="H12"/>
  <c r="H13"/>
  <c r="H14"/>
  <c r="H15"/>
  <c r="H16"/>
  <c r="H17"/>
  <c r="H18"/>
  <c r="H19"/>
  <c r="H20"/>
  <c r="H21"/>
  <c r="H22"/>
  <c r="H23"/>
  <c r="H24"/>
  <c r="H25"/>
  <c r="H26"/>
  <c r="H27"/>
  <c r="H28"/>
  <c r="H29"/>
  <c r="H30"/>
  <c r="H31"/>
  <c r="H32"/>
  <c r="H33"/>
  <c r="H34"/>
  <c r="H35"/>
  <c r="H36"/>
  <c r="H37"/>
  <c r="H38"/>
  <c r="H39"/>
  <c r="H40"/>
  <c r="H41"/>
  <c r="H42"/>
  <c r="H43"/>
  <c r="H44"/>
  <c r="H45"/>
  <c r="H46"/>
  <c r="H47"/>
  <c r="H48"/>
  <c r="H49"/>
  <c r="H50"/>
  <c r="H51"/>
  <c r="H52"/>
  <c r="H53"/>
  <c r="H54"/>
  <c r="H55"/>
  <c r="H56"/>
  <c r="H57"/>
  <c r="H58"/>
  <c r="H59"/>
  <c r="H60"/>
  <c r="H61"/>
  <c r="H62"/>
  <c r="G6" i="12" l="1"/>
  <c r="E7" i="53"/>
  <c r="B6" l="1"/>
  <c r="E6" s="1"/>
  <c r="K8" i="26" l="1"/>
  <c r="K7"/>
  <c r="C6" i="52" l="1"/>
  <c r="B6"/>
  <c r="E6" s="1"/>
  <c r="E8" i="53" l="1"/>
  <c r="G6" i="52"/>
  <c r="F6"/>
  <c r="A3" i="47" l="1"/>
  <c r="D6" i="35" l="1"/>
  <c r="C6"/>
  <c r="F6" s="1"/>
  <c r="F8" i="18"/>
  <c r="C6"/>
  <c r="F7" s="1"/>
  <c r="B6"/>
  <c r="F6" s="1"/>
  <c r="B6" i="12"/>
  <c r="F6" s="1"/>
  <c r="B44" i="6"/>
  <c r="B43"/>
  <c r="B42"/>
  <c r="B41"/>
  <c r="B40"/>
  <c r="B39"/>
  <c r="B38"/>
  <c r="B37"/>
  <c r="B36"/>
  <c r="B35"/>
  <c r="B34"/>
  <c r="B33"/>
  <c r="B32"/>
  <c r="B31"/>
  <c r="B30"/>
  <c r="B29"/>
  <c r="B28"/>
  <c r="B27"/>
  <c r="D26"/>
  <c r="C26"/>
  <c r="B25"/>
  <c r="B24"/>
  <c r="B23"/>
  <c r="B22"/>
  <c r="B21"/>
  <c r="B20"/>
  <c r="B19"/>
  <c r="B18"/>
  <c r="B17"/>
  <c r="B16"/>
  <c r="B15"/>
  <c r="B14"/>
  <c r="B13"/>
  <c r="B12"/>
  <c r="B11"/>
  <c r="B10"/>
  <c r="B9"/>
  <c r="B8"/>
  <c r="D7"/>
  <c r="C7"/>
  <c r="E10" i="26"/>
  <c r="D10"/>
  <c r="M8"/>
  <c r="L8"/>
  <c r="J8"/>
  <c r="I8"/>
  <c r="E8"/>
  <c r="D8"/>
  <c r="D12" s="1"/>
  <c r="M7"/>
  <c r="L7"/>
  <c r="J7"/>
  <c r="I7"/>
  <c r="A3" i="45"/>
  <c r="A3" i="4"/>
  <c r="E12" i="26" l="1"/>
  <c r="B7" i="6"/>
  <c r="B26"/>
  <c r="G8"/>
  <c r="G9"/>
  <c r="F7" i="35"/>
  <c r="F8" i="6"/>
  <c r="F8" i="35"/>
  <c r="G7" i="6"/>
  <c r="F7"/>
  <c r="F9"/>
  <c r="A3" i="23"/>
  <c r="D8" i="17" l="1"/>
  <c r="C8"/>
  <c r="C16" s="1"/>
  <c r="C7" l="1"/>
  <c r="D7"/>
  <c r="D19"/>
  <c r="C19" l="1"/>
  <c r="D18" s="1"/>
  <c r="D17" s="1"/>
  <c r="E19" l="1"/>
  <c r="C18"/>
  <c r="E18" s="1"/>
  <c r="E6" i="26"/>
  <c r="H7" s="1"/>
  <c r="H6"/>
  <c r="C17" i="17" l="1"/>
  <c r="E17" s="1"/>
  <c r="H8" i="26"/>
  <c r="C15" i="17" l="1"/>
  <c r="C14" s="1"/>
  <c r="C13" s="1"/>
  <c r="C12" s="1"/>
  <c r="C6" s="1"/>
  <c r="D15"/>
  <c r="D14" s="1"/>
  <c r="D13" s="1"/>
  <c r="D12" s="1"/>
  <c r="D6" l="1"/>
  <c r="E6" s="1"/>
  <c r="E12"/>
</calcChain>
</file>

<file path=xl/sharedStrings.xml><?xml version="1.0" encoding="utf-8"?>
<sst xmlns="http://schemas.openxmlformats.org/spreadsheetml/2006/main" count="29160" uniqueCount="2123">
  <si>
    <t>Другие вопросы в области культуры, кинематографии</t>
  </si>
  <si>
    <t>430</t>
  </si>
  <si>
    <t>ШТРАФЫ, САНКЦИИ, ВОЗМЕЩЕНИЕ УЩЕРБА</t>
  </si>
  <si>
    <t>Жилищное хозяйство</t>
  </si>
  <si>
    <t>Другие вопросы в области образования</t>
  </si>
  <si>
    <t>806</t>
  </si>
  <si>
    <t xml:space="preserve">Субвенции местным бюджетам на выполнение передаваемых полномочий субъектов Российской Федерации </t>
  </si>
  <si>
    <t>Субвенции бюджетам муниципальных районов на выполнение передаваемых полномочий субъектов Российской Федерации</t>
  </si>
  <si>
    <t>9902</t>
  </si>
  <si>
    <t xml:space="preserve">Прочие поступления от денежных взысканий (штрафов) и иных сумм в возмещение ущерба, зачисляемые в бюджет муниципальных районов </t>
  </si>
  <si>
    <t>90050</t>
  </si>
  <si>
    <t>151</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</si>
  <si>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</si>
  <si>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</si>
  <si>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</si>
  <si>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</si>
  <si>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Публ</t>
  </si>
  <si>
    <t>Ежегодная единовременная выплата (премия) лицам, удостоенным звания «Почетный гражданин Богучанского района»</t>
  </si>
  <si>
    <t xml:space="preserve">2. </t>
  </si>
  <si>
    <t>2.1.</t>
  </si>
  <si>
    <t>Пенсия за выслугу лет  лицам, замещавшим должности муниципальной службы муниципального образования  Богучанский район</t>
  </si>
  <si>
    <t>3.1.</t>
  </si>
  <si>
    <t xml:space="preserve">Выплата ежемесячной стипендии   одаренным  детям </t>
  </si>
  <si>
    <t>класс</t>
  </si>
  <si>
    <t>4910100</t>
  </si>
  <si>
    <t>7950180</t>
  </si>
  <si>
    <t>Охрана семьи и детства</t>
  </si>
  <si>
    <t>Единый сельскохозяйственный налог</t>
  </si>
  <si>
    <t>ГОСУДАРСТВЕННАЯ ПОШЛИНА</t>
  </si>
  <si>
    <t>Наименование</t>
  </si>
  <si>
    <t>04000</t>
  </si>
  <si>
    <t>07</t>
  </si>
  <si>
    <t>8</t>
  </si>
  <si>
    <t>50</t>
  </si>
  <si>
    <t>ВСЕГО  ДОХОДОВ</t>
  </si>
  <si>
    <t>09</t>
  </si>
  <si>
    <t>11</t>
  </si>
  <si>
    <t>120</t>
  </si>
  <si>
    <t>05000</t>
  </si>
  <si>
    <t xml:space="preserve">- погашение                                        </t>
  </si>
  <si>
    <t>08</t>
  </si>
  <si>
    <t>03000</t>
  </si>
  <si>
    <t>НАЛОГОВЫЕ И НЕНАЛОГОВЫЕ ДОХОДЫ</t>
  </si>
  <si>
    <t>НАЛОГИ НА ПРИБЫЛЬ, ДОХОДЫ</t>
  </si>
  <si>
    <t>финансовое управление администрации Богучанского района</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</si>
  <si>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</si>
  <si>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Благоустройство</t>
  </si>
  <si>
    <t>ПБС</t>
  </si>
  <si>
    <t xml:space="preserve">ЦА301 </t>
  </si>
  <si>
    <t xml:space="preserve">ЦБ302 </t>
  </si>
  <si>
    <t xml:space="preserve">ЦВ303 </t>
  </si>
  <si>
    <t xml:space="preserve">ЦГ304 </t>
  </si>
  <si>
    <t xml:space="preserve">ЦД305 </t>
  </si>
  <si>
    <t xml:space="preserve">ЦЕ306 </t>
  </si>
  <si>
    <t xml:space="preserve">ЦЖ307 </t>
  </si>
  <si>
    <t xml:space="preserve">ЦИ308 </t>
  </si>
  <si>
    <t xml:space="preserve">ЦК309 </t>
  </si>
  <si>
    <t xml:space="preserve">ЦЛ310 </t>
  </si>
  <si>
    <t xml:space="preserve">ЦМ311 </t>
  </si>
  <si>
    <t xml:space="preserve">ЦН312 </t>
  </si>
  <si>
    <t xml:space="preserve">ЦО313 </t>
  </si>
  <si>
    <t xml:space="preserve">ЦП314 </t>
  </si>
  <si>
    <t xml:space="preserve">ЦР315 </t>
  </si>
  <si>
    <t xml:space="preserve">ЦС316 </t>
  </si>
  <si>
    <t xml:space="preserve">ЦТ317 </t>
  </si>
  <si>
    <t xml:space="preserve">ЦУ318 </t>
  </si>
  <si>
    <t>Администрация Ангарского сельсовета</t>
  </si>
  <si>
    <t>Администрация Богучанского сельсовета</t>
  </si>
  <si>
    <t>Администрация Говорковского сельсовета</t>
  </si>
  <si>
    <t>03030</t>
  </si>
  <si>
    <t>Резервные фонды</t>
  </si>
  <si>
    <t>Прочие субсидии</t>
  </si>
  <si>
    <t>Прочие субсидии бюджетам муниципальных районов</t>
  </si>
  <si>
    <t>Наименование групп, подгрупп, статей, подстатей, элементов, программ (подпрограмм), кодов классификации операций сектора государственного управления</t>
  </si>
  <si>
    <t>Код</t>
  </si>
  <si>
    <t>Администратора</t>
  </si>
  <si>
    <t>Группы</t>
  </si>
  <si>
    <t>Подгруппы</t>
  </si>
  <si>
    <t>Статьи и   подстатьи</t>
  </si>
  <si>
    <t>Элемента</t>
  </si>
  <si>
    <t>Программы</t>
  </si>
  <si>
    <t>Классификация операций сектора государственного управления</t>
  </si>
  <si>
    <t>Другие вопросы в области социальной политики</t>
  </si>
  <si>
    <t>Получение кредитов от других бюджетов бюджетной системы Российской Федерации бюджетом муниципального района в валюте Российской Федерации</t>
  </si>
  <si>
    <t>Погашение бюджетом муниципального района кредитов от других бюджетов бюджетной системы Российской Федерации в валюте Российской Федерации</t>
  </si>
  <si>
    <t>01 05 02 01 05 0000 510</t>
  </si>
  <si>
    <t>Увеличение прочих остатков денежных средств бюджета муниципальных районов</t>
  </si>
  <si>
    <t>01 05 02 01 05 0000 610</t>
  </si>
  <si>
    <t>Уменьшение прочих остатков денежных средств бюджета муниципальных районов</t>
  </si>
  <si>
    <t>863</t>
  </si>
  <si>
    <t>Управление муниципальной собственностью администрации Богучанского района</t>
  </si>
  <si>
    <t>01 06 01 00 05 0000 630</t>
  </si>
  <si>
    <t>Субвенции бюджетам субъектов Российской Федерации и муниципальных образований</t>
  </si>
  <si>
    <t>Функционирование законодательных (представительных) органов государственной власти и представительных органов муниципальных образований</t>
  </si>
  <si>
    <t>Иные межбюджетные трансферты</t>
  </si>
  <si>
    <t>(в рублях)</t>
  </si>
  <si>
    <t>ВСЕГО</t>
  </si>
  <si>
    <t>13</t>
  </si>
  <si>
    <t>130</t>
  </si>
  <si>
    <t>14</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</si>
  <si>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</si>
  <si>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410</t>
  </si>
  <si>
    <t>048</t>
  </si>
  <si>
    <t>Средства от продажи акций и иных форм участия в капитале, находящихся в собственности муниципальных районов</t>
  </si>
  <si>
    <t>межбюджетные трансферты на осуществление полномочий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t>
  </si>
  <si>
    <t>Наименование поселения</t>
  </si>
  <si>
    <t>Всего межбюджетных трансфертов, перечисляемых из бюджетов поселений</t>
  </si>
  <si>
    <t>Администрация Артюгинского  сельсовета</t>
  </si>
  <si>
    <t>Администрация Манзенского  сельсовета</t>
  </si>
  <si>
    <t>Администрация Новохайского сельсовета</t>
  </si>
  <si>
    <t>Администрация Пинчугского сельсовета</t>
  </si>
  <si>
    <t>Администрация Октябрьского сельсовета</t>
  </si>
  <si>
    <t>Администрация Таежнинского сельсовета</t>
  </si>
  <si>
    <t>Администрация Такучетского  сельсовета</t>
  </si>
  <si>
    <t>Администрация Шиверского сельсовета</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</si>
  <si>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</si>
  <si>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БЕЗВОЗМЕЗДНЫЕ ПОСТУПЛЕНИЯ</t>
  </si>
  <si>
    <t>НАЛОГИ НА СОВОКУПНЫЙ ДОХОД</t>
  </si>
  <si>
    <t>Единый налог на вмененный доход для отдельных видов деятельности</t>
  </si>
  <si>
    <t>НАЛОГИ НА ИМУЩЕСТВО</t>
  </si>
  <si>
    <t>Земельный налог</t>
  </si>
  <si>
    <t>Государственная пошлина по делам, рассматриваемым в судах общей юрисдикции, мировыми судьями</t>
  </si>
  <si>
    <t>Увеличение остатков средств бюджетов</t>
  </si>
  <si>
    <t>Увеличение прочих остатков средств бюджетов</t>
  </si>
  <si>
    <t>Уменьшение остатков средств бюджетов</t>
  </si>
  <si>
    <t>Уменьшение прочих остатков средств бюджетов</t>
  </si>
  <si>
    <t>Пенсионное обеспечение</t>
  </si>
  <si>
    <t>Социальное обеспечение населения</t>
  </si>
  <si>
    <t>Прочие местные налоги и сборы, мобилизуемые на территориях муниципальных районов</t>
  </si>
  <si>
    <t>ДОХОДЫ ОТ ИСПОЛЬЗОВАНИЯ ИМУЩЕСТВА, НАХОДЯЩЕГОСЯ В ГОСУДАРСТВЕННОЙ И МУНИЦИПАЛЬНОЙ СОБСТВЕННОСТИ</t>
  </si>
  <si>
    <t>Получение кредитов от кредитных организаций бюджетам муниципальных районов в валюте Российской Федерации</t>
  </si>
  <si>
    <t>01 02 00 00 05 0000 810</t>
  </si>
  <si>
    <t>Погашение бюджетом муниципального района кредитов от кредитных организаций в валюте Российской Федерации</t>
  </si>
  <si>
    <t>Обеспечение пожарной безопасности</t>
  </si>
  <si>
    <t>год</t>
  </si>
  <si>
    <t>Дефицит</t>
  </si>
  <si>
    <t>ФФП</t>
  </si>
  <si>
    <t>Молодежь Приангарья</t>
  </si>
  <si>
    <t>Сбалансированность</t>
  </si>
  <si>
    <t>ВУС</t>
  </si>
  <si>
    <t>Методика ВУС</t>
  </si>
  <si>
    <t>Полномочия поселений</t>
  </si>
  <si>
    <t>Администраторы доходов</t>
  </si>
  <si>
    <t>Администраторы источников</t>
  </si>
  <si>
    <t>Доходы</t>
  </si>
  <si>
    <t>КОД</t>
  </si>
  <si>
    <t xml:space="preserve">Наименование </t>
  </si>
  <si>
    <t>890 01 00 00 00 00 0000 000</t>
  </si>
  <si>
    <t>ИСТОЧНИКИ ВНУТРЕННЕГО ФИНАНСИРОВАНИЯ ДЕФИЦИТОВ БЮДЖЕТОВ</t>
  </si>
  <si>
    <t>Бюджетные кредиты от других бюджетов бюджетной системы Российской Федерации</t>
  </si>
  <si>
    <t>890 01 03 00 00 00 0000 700</t>
  </si>
  <si>
    <t>Получение бюджетных кредитов от других бюджетов бюджетной системы Российской Федерации в валюте Российской Федерации</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</si>
  <si>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</si>
  <si>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ПЛАТЕЖИ ПРИ ПОЛЬЗОВАНИИ ПРИРОДНЫМИ РЕСУРСАМИ</t>
  </si>
  <si>
    <t>ДОХОДЫ ОТ ПРОДАЖИ МАТЕРИАЛЬНЫХ И НЕМАТЕРИАЛЬНЫХ АКТИВОВ</t>
  </si>
  <si>
    <t>Доходы от продажи земельных участков, государственная собственность на которые не разграничена и которые расположены в границах поселений</t>
  </si>
  <si>
    <t>16</t>
  </si>
  <si>
    <t>140</t>
  </si>
  <si>
    <t>1</t>
  </si>
  <si>
    <t>00</t>
  </si>
  <si>
    <t>00000</t>
  </si>
  <si>
    <t>0000</t>
  </si>
  <si>
    <t>182</t>
  </si>
  <si>
    <t>01</t>
  </si>
  <si>
    <t>01000</t>
  </si>
  <si>
    <t>110</t>
  </si>
  <si>
    <t>28000</t>
  </si>
  <si>
    <t>Субсидии бюджетам субъектов Российской Федерации и муниципальных образований (межбюджетные субсидии)</t>
  </si>
  <si>
    <t>Администрация Невонского сельсовета</t>
  </si>
  <si>
    <t>Администрация Нижнетерянского сельсовета</t>
  </si>
  <si>
    <t xml:space="preserve">Администрация Таежнинского сельсовета </t>
  </si>
  <si>
    <t>Администрация Хребтовского сельсовета</t>
  </si>
  <si>
    <t>Администрация Чуноярского сельсовета</t>
  </si>
  <si>
    <t>ОБРАЗОВАНИЕ</t>
  </si>
  <si>
    <t>СОЦИАЛЬНАЯ ПОЛИТИКА</t>
  </si>
  <si>
    <t>Безвозмездные поступления от других бюджетов бюджетной системы Российской Федерации</t>
  </si>
  <si>
    <t>848</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</si>
  <si>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</si>
  <si>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автономных учреждений)</t>
  </si>
  <si>
    <t>Другие вопросы в области национальной экономики</t>
  </si>
  <si>
    <t>Коммунальное хозяйство</t>
  </si>
  <si>
    <t>Изменение остатков средств на счетах по учету средств бюджета</t>
  </si>
  <si>
    <t>890 01 05 00 00 00 0000 500</t>
  </si>
  <si>
    <t>890 01 05 02 00 00 0000 500</t>
  </si>
  <si>
    <t>890 01 05 02 01 00 0000 510</t>
  </si>
  <si>
    <t>Другие вопросы в области жилищно-коммунального хозяйства</t>
  </si>
  <si>
    <t>Дошкольное образование</t>
  </si>
  <si>
    <t>Общее образование</t>
  </si>
  <si>
    <t>Увеличение прочих остатков денежных средств бюджетов муниципальных районов</t>
  </si>
  <si>
    <t>890 01 05 00 00 00 0000 600</t>
  </si>
  <si>
    <t>890 01 05 02 00 00 0000 600</t>
  </si>
  <si>
    <t>890 01 05 02 01 00 0000 610</t>
  </si>
  <si>
    <t>Уменьшение прочих остатков денежных средств бюджетов</t>
  </si>
  <si>
    <t>890 01 05 02 01 05 0000 610</t>
  </si>
  <si>
    <t>Уменьшение прочих остатков денежных средств бюджетов муниципальных районов</t>
  </si>
  <si>
    <t>Методика комиссий</t>
  </si>
  <si>
    <t>000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</si>
  <si>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</si>
  <si>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 строки</t>
  </si>
  <si>
    <t>Администрация Белякинского сельсовета</t>
  </si>
  <si>
    <t>Администрация Осиновомысского сельсовета</t>
  </si>
  <si>
    <t>0920300</t>
  </si>
  <si>
    <t>Итого</t>
  </si>
  <si>
    <t>Код ведом-ства</t>
  </si>
  <si>
    <t>Код группы, подгруппы, статьи и вида источников</t>
  </si>
  <si>
    <t xml:space="preserve">Наименование показателя </t>
  </si>
  <si>
    <t>2</t>
  </si>
  <si>
    <t>01 02 00 00 05 0000 710</t>
  </si>
  <si>
    <t>Полученные кредитов от других бюджетов бюджетной системы Российской Федерации бюджетами муниципальных районов в валюте Российской Федерации</t>
  </si>
  <si>
    <t>890 01 03 00 00 00 0000 800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</si>
  <si>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</si>
  <si>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890 01 05 00 00 00 0000 000</t>
  </si>
  <si>
    <t>КБК</t>
  </si>
  <si>
    <t>801</t>
  </si>
  <si>
    <t>802</t>
  </si>
  <si>
    <t>Контрольно-счетная комиссия Богучанского района</t>
  </si>
  <si>
    <t>Администрация Богучанского района</t>
  </si>
  <si>
    <t xml:space="preserve">Внутренние заимствования (привлечение/погашение)  </t>
  </si>
  <si>
    <t>НАЦИОНАЛЬНАЯ ЭКОНОМИКА</t>
  </si>
  <si>
    <t>Сельское хозяйство и рыболовство</t>
  </si>
  <si>
    <t>Транспорт</t>
  </si>
  <si>
    <t xml:space="preserve">Возврат бюджетных кредитов, предоставленных внутри страны в валюте Российской Федерации </t>
  </si>
  <si>
    <t>890 01 06 05 02 05 0000 640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</si>
  <si>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</si>
  <si>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890 01 06 05 00 00 0000 500</t>
  </si>
  <si>
    <t xml:space="preserve">Предоставление бюджетных кредитов внутри страны в валюте Российской Федерации </t>
  </si>
  <si>
    <t>890 01 06 05 02 05 0000 540</t>
  </si>
  <si>
    <t>Управление муниципальной собственностью Богучанского района</t>
  </si>
  <si>
    <t>НАЦИОНАЛЬНАЯ ОБОРОНА</t>
  </si>
  <si>
    <t>Мобилизационная и вневойсковая подготовка</t>
  </si>
  <si>
    <t>адм комиссии</t>
  </si>
  <si>
    <t>Увеличение прочих остатков денежных средств бюджетов</t>
  </si>
  <si>
    <t>890 01 05 02 01 05 0000 510</t>
  </si>
  <si>
    <t>10</t>
  </si>
  <si>
    <t>05020</t>
  </si>
  <si>
    <t>05025</t>
  </si>
  <si>
    <t>05030</t>
  </si>
  <si>
    <t>05035</t>
  </si>
  <si>
    <t>07010</t>
  </si>
  <si>
    <t>07015</t>
  </si>
  <si>
    <t>12</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</si>
  <si>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</si>
  <si>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830</t>
  </si>
  <si>
    <t xml:space="preserve">Бюджетные кредиты от других бюджетов бюджетной системы Российской Федерации                                     </t>
  </si>
  <si>
    <t>- погашение</t>
  </si>
  <si>
    <t xml:space="preserve">Общий объем заимствований, направляемых на покрытие дефицита районного бюджета и погашение муниципальных долговых обязательств района       </t>
  </si>
  <si>
    <t>03010</t>
  </si>
  <si>
    <t>07000</t>
  </si>
  <si>
    <t>875</t>
  </si>
  <si>
    <t>890</t>
  </si>
  <si>
    <t>Культура</t>
  </si>
  <si>
    <t>890 01 06 05 00 00 0000 000</t>
  </si>
  <si>
    <t xml:space="preserve">Бюджетные кредиты, предоставленные внутри страны в валюте Российской Федерации </t>
  </si>
  <si>
    <t>890 01 06 05 00 00 0000 600</t>
  </si>
  <si>
    <t>Массовый спорт</t>
  </si>
  <si>
    <t>Дотации на выравнивание бюджетной обеспеченности субъектов Российской Федерации и муниципальных образований</t>
  </si>
  <si>
    <t>05010</t>
  </si>
  <si>
    <t>Доходы, получаемые в виде арендной платы за земельные участки, государственная собственность на которые не разграничена ,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</si>
  <si>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</si>
  <si>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06010</t>
  </si>
  <si>
    <t>Обеспечение деятельности финансовых, налоговых и таможенных органов и органов финансового (финансово-бюджетного) надзора</t>
  </si>
  <si>
    <t>Другие общегосударственные вопросы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</si>
  <si>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</si>
  <si>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получение                                   </t>
  </si>
  <si>
    <t xml:space="preserve">Налог на прибыль организаций, зачисляемый в бюджеты бюджетной системы Российской Федерации по соответствующим ставкам </t>
  </si>
  <si>
    <t>01010</t>
  </si>
  <si>
    <t>01012</t>
  </si>
  <si>
    <t>02</t>
  </si>
  <si>
    <t>02000</t>
  </si>
  <si>
    <t>02010</t>
  </si>
  <si>
    <t>02020</t>
  </si>
  <si>
    <t>05</t>
  </si>
  <si>
    <t>06</t>
  </si>
  <si>
    <t>06000</t>
  </si>
  <si>
    <t>856</t>
  </si>
  <si>
    <t>Администрация Красногорьевского сельсовета</t>
  </si>
  <si>
    <t>Наименование показателя</t>
  </si>
  <si>
    <t>Подраздел</t>
  </si>
  <si>
    <t>ОБЩЕГОСУДАРСТВЕННЫЕ ВОПРОСЫ</t>
  </si>
  <si>
    <t>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</si>
  <si>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</si>
  <si>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</si>
  <si>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НАЦИОНАЛЬНАЯ БЕЗОПАСНОСТЬ И ПРАВООХРАНИТЕЛЬНАЯ ДЕЯТЕЛЬНОСТЬ</t>
  </si>
  <si>
    <t>ЖИЛИЩНО-КОММУНАЛЬНОЕ ХОЗЯЙСТВО</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</si>
  <si>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</si>
  <si>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</si>
  <si>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01030</t>
  </si>
  <si>
    <t>05013</t>
  </si>
  <si>
    <t>Прочие доходы от оказания платных услуг (работ) получателями средств  бюджетов муниципальных районов</t>
  </si>
  <si>
    <t>01995</t>
  </si>
  <si>
    <t>Заимствования</t>
  </si>
  <si>
    <t>ЗДРАВООХРАНЕНИЕ</t>
  </si>
  <si>
    <t>ФИЗИЧЕСКАЯ КУЛЬТУРА И СПОРТ</t>
  </si>
  <si>
    <t>КУЛЬТУРА, КИНЕМАТОГРАФИЯ</t>
  </si>
  <si>
    <t>ОБСЛУЖИВАНИЕ ГОСУДАРСТВЕННОГО И МУНИЦИПАЛЬНОГО ДОЛГА</t>
  </si>
  <si>
    <t>Обслуживание государственного внутреннего и муниципального долга</t>
  </si>
  <si>
    <t>Прочие межбюджетные трансферты общего характера</t>
  </si>
  <si>
    <t>06013</t>
  </si>
  <si>
    <t>Дорожное хозяйство (дорожные фонды)</t>
  </si>
  <si>
    <t>Муниципальное казенное учреждение "Муниципальная служба Заказчика"</t>
  </si>
  <si>
    <t>Муниципальное казенное учреждение "Управление культуры Богучанского района"</t>
  </si>
  <si>
    <t>управление образования администрации Богучанского района Красноярского края</t>
  </si>
  <si>
    <t>дата Первого решения</t>
  </si>
  <si>
    <t>№ Первого решения</t>
  </si>
  <si>
    <t>9992</t>
  </si>
  <si>
    <t>Защита населения и территории от чрезвычайных ситуаций природного и техногенного характера, гражданская оборона</t>
  </si>
  <si>
    <t>откл</t>
  </si>
  <si>
    <t>02030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</si>
  <si>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ст.227 НК РФ</t>
  </si>
  <si>
    <t>Налог на доходы физических лиц с доходов, полученных физическими лицами в соответствии со ст. 228 НК РФ</t>
  </si>
  <si>
    <t>номер</t>
  </si>
  <si>
    <t>приложение</t>
  </si>
  <si>
    <t>плановый период</t>
  </si>
  <si>
    <t>Суммы по искам о возмещении вреда, причиненного окружающей среде, подлежащие зачислению в бюджеты муниципальных районов</t>
  </si>
  <si>
    <t>35030</t>
  </si>
  <si>
    <t>Финансовое управление администрации Богучанского района</t>
  </si>
  <si>
    <t>3</t>
  </si>
  <si>
    <t>4</t>
  </si>
  <si>
    <t>5</t>
  </si>
  <si>
    <t>6</t>
  </si>
  <si>
    <t>7</t>
  </si>
  <si>
    <t>Акцизы по подакцизным товарам (продукции), производимым на территории РФ</t>
  </si>
  <si>
    <t>100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</si>
  <si>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</si>
  <si>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02230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</si>
  <si>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</si>
  <si>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02240</t>
  </si>
  <si>
    <t>Доходы от уплаты акцизов на автомобильный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</si>
  <si>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02250</t>
  </si>
  <si>
    <t>Доходы от уплаты акцизов на прямогонный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</si>
  <si>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02260</t>
  </si>
  <si>
    <t>Налог, взимаемый в связи с применением патентной системы налогообложения, зачисляемый в бюджеты муниципальных районов</t>
  </si>
  <si>
    <t>04020</t>
  </si>
  <si>
    <t xml:space="preserve">  Государственная пошлина за выдачу разрешения  на установку рекламной конструкции</t>
  </si>
  <si>
    <t>01040</t>
  </si>
  <si>
    <t>7555</t>
  </si>
  <si>
    <t>7456</t>
  </si>
  <si>
    <t>Субвенции бюджетам муниципальных образований края на осуществление государственных полномочий по первичному воинскому учету на территориях, где отсутствуют военные комиссариаты, в соответствии с Федеральным законом 
от 28 марта 1998 года № 53-ФЗ «О воинской обязанности и военной службе» на 2014 год и плановый период 2015 - 2016 годов</t>
  </si>
  <si>
    <t>0151</t>
  </si>
  <si>
    <t>7554</t>
  </si>
  <si>
    <t>7564</t>
  </si>
  <si>
    <t>7566</t>
  </si>
  <si>
    <t>7588</t>
  </si>
  <si>
    <t>7552</t>
  </si>
  <si>
    <t>7513</t>
  </si>
  <si>
    <t>7519</t>
  </si>
  <si>
    <t>7604</t>
  </si>
  <si>
    <t>7514</t>
  </si>
  <si>
    <t>7577</t>
  </si>
  <si>
    <t>7518</t>
  </si>
  <si>
    <t>7517</t>
  </si>
  <si>
    <t>7467</t>
  </si>
  <si>
    <t>7601</t>
  </si>
  <si>
    <t>№ ПП</t>
  </si>
  <si>
    <t>Код главного администратора</t>
  </si>
  <si>
    <t>Код бюджетной классификации</t>
  </si>
  <si>
    <t>Наименование кода бюджетной классификации</t>
  </si>
  <si>
    <t>Богучанский район</t>
  </si>
  <si>
    <t>1 11 05013 05 1000 120</t>
  </si>
  <si>
    <t>1 11 05013 05 2000 120</t>
  </si>
  <si>
    <t>1 11 05013 05 3000 120</t>
  </si>
  <si>
    <t>1 11 05025 05 1000 120</t>
  </si>
  <si>
    <t>1 11 05025 05 2000 120</t>
  </si>
  <si>
    <t>1 11 05025 05 3000 120</t>
  </si>
  <si>
    <t>1 11 05035 05 1000 120</t>
  </si>
  <si>
    <t>1 11 05035 05 2000 120</t>
  </si>
  <si>
    <t>1 11 05035 05 3000 120</t>
  </si>
  <si>
    <t>1 11 05035 05 9960 120</t>
  </si>
  <si>
    <t>1 11 07015 05 1000 120</t>
  </si>
  <si>
    <t>Прочие доходы от компенсации затрат государства</t>
  </si>
  <si>
    <t>1 14 02053 05 1000 410</t>
  </si>
  <si>
    <t>1 14 06013 05 1000 430</t>
  </si>
  <si>
    <t>1 17 01050 05 0000 180</t>
  </si>
  <si>
    <t>Невыясненные поступления, зачисляемые в бюджеты муниципальных районов</t>
  </si>
  <si>
    <t>1 17 05050 05 0000 180</t>
  </si>
  <si>
    <t xml:space="preserve">Прочие неналоговые доходы бюджетов муниципальных районов </t>
  </si>
  <si>
    <t>1 08 07150 01 1000 110</t>
  </si>
  <si>
    <t>1 13 01995 05 0000 130</t>
  </si>
  <si>
    <t>1 13 01995 05 9901 130</t>
  </si>
  <si>
    <t>Прочие доходы от оказания платных услуг получателями средств бюджетов муниципальных районов (платные услуги муниципальных учреждений, находящимся в ведении органов местного самоуправления муниципальных районов)</t>
  </si>
  <si>
    <t>Денежные взыскания (штрафы) за нарушение законодательства в области охраны окружающей среды</t>
  </si>
  <si>
    <t>Прочие поступления от денежных взысканий (штрафов) и иных сумм в возмещение ущерба, зачисляемые в бюджеты муниципальных районов</t>
  </si>
  <si>
    <t>1 16 90050 05 3000 140</t>
  </si>
  <si>
    <t>1 17 05050 05 1000 180</t>
  </si>
  <si>
    <t>Прочие безвозмездные поступления в бюджеты муниципальных районов</t>
  </si>
  <si>
    <t>Прочие безвозмездные поступления в бюджеты муниципальных районов (гранты, премии муниципальным учреждениям, находящимся в ведении органов местного самоуправления муниципальных районов)</t>
  </si>
  <si>
    <t>Прочие безвозмездные поступления в бюджеты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</si>
  <si>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Прочие безвозмездные поступления в бюджеты муниципальных районов (содействие занятости населения)</t>
  </si>
  <si>
    <t>1 11 05035 05 0000 120</t>
  </si>
  <si>
    <t>1 13 01995 05 9902 130</t>
  </si>
  <si>
    <t>Прочие безвозмездные поступления в бюджеты муниципальных районов (добровольные пожертвования детским школам искусств, находящимся в ведении органов местного самоуправления муниципальных районов)</t>
  </si>
  <si>
    <t>Прочие доходы от оказания платных услуг получателями средств бюджетов муниципальных районов (родительская плата в дошкольных муниципальных учреждениях, находящимся в ведении органов местного самоуправления муниципальных районов)</t>
  </si>
  <si>
    <t>1 13 01995 05 9992 130</t>
  </si>
  <si>
    <t>Прочие доходы от оказания платных услуг получателями средств бюджетов муниципальных районов (плата в общеобразовательных учреждениях, находящимся в ведении органов местного самоуправления муниципальных районов за питание в школьных столовых)</t>
  </si>
  <si>
    <t>1 13 02065 05 9991 130</t>
  </si>
  <si>
    <t>Доходы, поступающие в порядке возмещения расходов, понесенных в связи с эксплуатацией имущества муниципальных районов (возмещение коммунальных услуг)</t>
  </si>
  <si>
    <t>1 16 18050 05 0000 140</t>
  </si>
  <si>
    <t>Денежные взыскания (штрафы) за нарушение бюджетного законодательства (в части бюджетов муниципальных районов)</t>
  </si>
  <si>
    <t>1 16 23051 05 0000 140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</si>
  <si>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муниципальных районов</t>
  </si>
  <si>
    <t>1 16 23052 05 0000 140</t>
  </si>
  <si>
    <t>Доходы от возмещения ущерба при возникновении иных страховых случаев, когда выгодоприобретателями выступают получатели средств бюджетов муниципальных районов</t>
  </si>
  <si>
    <t>1 16 32000 05 0000 140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</si>
  <si>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</si>
  <si>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Прочие неналоговые доходы бюджетов муниципальных районов</t>
  </si>
  <si>
    <t>Дотации бюджетам муниципальных районов на выравнивание бюджетной обеспеченности</t>
  </si>
  <si>
    <t>Дотации бюджетам муниципальных районов на поддержку мер по обеспечению сбалансированности бюджетов</t>
  </si>
  <si>
    <t>Прочие безвозмездные поступления в бюджеты муниципальных районов от бюджетов субъектов Российской Федерации</t>
  </si>
  <si>
    <t>Богучанский районный Совет депутатов</t>
  </si>
  <si>
    <t>0102</t>
  </si>
  <si>
    <t>Функционирование высшего должностного лица муниципального образования в рамках непрограммных расходов органов местного самоуправления</t>
  </si>
  <si>
    <t>121</t>
  </si>
  <si>
    <t>Иные выплаты персоналу государственных (муниципальных) органов, за исключением фонда оплаты труда</t>
  </si>
  <si>
    <t>122</t>
  </si>
  <si>
    <t>0103</t>
  </si>
  <si>
    <t>Руководство и управление в сфере установленных функций в рамках непрограммных расходов органов местного самоуправления</t>
  </si>
  <si>
    <t>244</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</si>
  <si>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</si>
  <si>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0106</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</si>
  <si>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</si>
  <si>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0104</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</si>
  <si>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</si>
  <si>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</si>
  <si>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</si>
  <si>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0113</t>
  </si>
  <si>
    <t>Выполнение государственных полномочий в области архивного дела в рамках непрограммных расходов органов местного самоуправления</t>
  </si>
  <si>
    <t>Публичные нормативные выплаты гражданам несоциального характера</t>
  </si>
  <si>
    <t>330</t>
  </si>
  <si>
    <t>0309</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</si>
  <si>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</si>
  <si>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111</t>
  </si>
  <si>
    <t>Закупка товаров, работ, услуг в целях капитального ремонта государственного (муниципального) имущества</t>
  </si>
  <si>
    <t>243</t>
  </si>
  <si>
    <t>0310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</si>
  <si>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</si>
  <si>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</si>
  <si>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</si>
  <si>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</si>
  <si>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</si>
  <si>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</si>
  <si>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0405</t>
  </si>
  <si>
    <t>Субсидии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рамках подпрограммы "Поддержка малых форм хозяйствования" муниципальной программы "Развитие сельского хозяйства в Богучанском районе"</t>
  </si>
  <si>
    <t>810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</si>
  <si>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</si>
  <si>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0408</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</si>
  <si>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</si>
  <si>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0409</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</si>
  <si>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</si>
  <si>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0412</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</si>
  <si>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</si>
  <si>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"Устойчивое развитие сельских территорий" муниципальной программы "Развитие сельского хозяйства в Богучанском районе"</t>
  </si>
  <si>
    <t>Софинансирование за счет средств местного бюджета расходов на 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</si>
  <si>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0502</t>
  </si>
  <si>
    <t>0707</t>
  </si>
  <si>
    <t>Субсидии бюджетным учреждениям на иные цели</t>
  </si>
  <si>
    <t>612</t>
  </si>
  <si>
    <t>Софинансирование за счет средств местного бюджета расходов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</si>
  <si>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</si>
  <si>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</si>
  <si>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</si>
  <si>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</si>
  <si>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0909</t>
  </si>
  <si>
    <t>Организация и проведение акарицидных обработок мест массового отдыха населения в рамках непрограммных расходов администрации Богучанского района</t>
  </si>
  <si>
    <t>1001</t>
  </si>
  <si>
    <t>Иные пенсии, социальные доплаты к пенсиям</t>
  </si>
  <si>
    <t>312</t>
  </si>
  <si>
    <t>1003</t>
  </si>
  <si>
    <t>Пособия, компенсации и иные социальные выплаты гражданам, кроме публичных нормативных обязательств</t>
  </si>
  <si>
    <t>321</t>
  </si>
  <si>
    <t>1102</t>
  </si>
  <si>
    <t>Расходы на организацию и проведение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</si>
  <si>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участия в краевых спортивных мероприятиях, акциях, соревнованиях, сборах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</si>
  <si>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и проведение профилактических мероприятий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</si>
  <si>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Расходы на повышение уровня компетентности и квалификации специалистов, работающих с детьми и молодежью, и осуществляющих деятельность по профилактике наркомании и алкоголизма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</si>
  <si>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0501</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</si>
  <si>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</si>
  <si>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0503</t>
  </si>
  <si>
    <t>0505</t>
  </si>
  <si>
    <t>Обеспечение деятельности муниципального казенного учреждения "Муниципальная служба Заказчика" в рамках непрограммных расходов</t>
  </si>
  <si>
    <t>112</t>
  </si>
  <si>
    <t>0801</t>
  </si>
  <si>
    <t>Управление социальной защиты населения администрации Богучанского района</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</si>
  <si>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</si>
  <si>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1006</t>
  </si>
  <si>
    <t>0702</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</si>
  <si>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</si>
  <si>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</si>
  <si>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</si>
  <si>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библиотечному обслуживанию населения в рамках подпрограммы "Культурное наследие" муниципальной программы Богучанского района "Развитие культуры"</t>
  </si>
  <si>
    <t>Расходы на проведение культурно-массовых мероприятий в рамках подпрограммы "Культурное наследие" муниципальной программы Богучанского района "Развитие культуры"</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</si>
  <si>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</si>
  <si>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0804</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</si>
  <si>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</si>
  <si>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Бюджетные инвестиции на приобретение объектов недвижимого имущества в государственную (муниципальную) собственность</t>
  </si>
  <si>
    <t>412</t>
  </si>
  <si>
    <t>Софинансирование за счет средств местного бюджета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</si>
  <si>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</si>
  <si>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0701</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</si>
  <si>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</si>
  <si>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</si>
  <si>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</si>
  <si>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</si>
  <si>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</si>
  <si>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</si>
  <si>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</si>
  <si>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</si>
  <si>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</si>
  <si>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</si>
  <si>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части предоставления субсидий бюджетным учреждениям на приобретение основных средств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</si>
  <si>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0709</t>
  </si>
  <si>
    <t>Выполнение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</si>
  <si>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Выполнение государственных полномочий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</si>
  <si>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1004</t>
  </si>
  <si>
    <t>Выполнение государственных полномочий по выплате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</si>
  <si>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</si>
  <si>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0111</t>
  </si>
  <si>
    <t>Резервные фонды местных администраций в рамках непрограммных расходов органов местного самоуправления</t>
  </si>
  <si>
    <t>Резервные средства</t>
  </si>
  <si>
    <t>870</t>
  </si>
  <si>
    <t>540</t>
  </si>
  <si>
    <t>Отдельные мероприятия в рамках непрограммных расходов органов местного самоуправления</t>
  </si>
  <si>
    <t>831</t>
  </si>
  <si>
    <t>0203</t>
  </si>
  <si>
    <t>Субвенции</t>
  </si>
  <si>
    <t>530</t>
  </si>
  <si>
    <t>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t>
  </si>
  <si>
    <t>1301</t>
  </si>
  <si>
    <t>Обслуживание муниципального долга</t>
  </si>
  <si>
    <t>730</t>
  </si>
  <si>
    <t>1401</t>
  </si>
  <si>
    <t>511</t>
  </si>
  <si>
    <t>1403</t>
  </si>
  <si>
    <t>ВСЕГО РАСХОДОВ</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</si>
  <si>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администрации Богучанского района</t>
  </si>
  <si>
    <t>Доходы бюджетов муниципальных районов от возврата бюджетными учреждениями остатков субсидий прошлых лет</t>
  </si>
  <si>
    <t>Муниципальная программа "Развитие образования Богучанского района"</t>
  </si>
  <si>
    <t>Подпрограмма "Развитие дошкольного, общего и дополнительного образования детей"</t>
  </si>
  <si>
    <t>011</t>
  </si>
  <si>
    <t>Подпрограмма "Государственная поддержка детей-сирот, расширение практики применения семейных форм воспитания"</t>
  </si>
  <si>
    <t>013</t>
  </si>
  <si>
    <t>Подпрограмма "Обеспечение реализации муниципальной программы и прочие мероприятия"</t>
  </si>
  <si>
    <t>014</t>
  </si>
  <si>
    <t>021</t>
  </si>
  <si>
    <t>Подпрограмма "Повышение качества и доступности социальных услуг населению"</t>
  </si>
  <si>
    <t>024</t>
  </si>
  <si>
    <t>Муниципальная программа "Реформирование и модернизация жилищно-коммунального хозяйства и повышение энергетической эффективности"</t>
  </si>
  <si>
    <t>032</t>
  </si>
  <si>
    <t>Подпрограмма "Энергосбережение и повышение энергетической эффективности на территории Богучанского района"</t>
  </si>
  <si>
    <t>034</t>
  </si>
  <si>
    <t>Муниципальная программа "Защита населения и территории Богучанского района от чрезвычайных ситуаций природного и техногенного характера"</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</si>
  <si>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</si>
  <si>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t>
  </si>
  <si>
    <t>Подпрограмма "Борьба с пожарами в населенных пунктах Богучанского района"</t>
  </si>
  <si>
    <t>042</t>
  </si>
  <si>
    <t>Муниципальная программа Богучанского района "Развитие культуры"</t>
  </si>
  <si>
    <t>Подпрограмма "Культурное наследие"</t>
  </si>
  <si>
    <t>051</t>
  </si>
  <si>
    <t>052</t>
  </si>
  <si>
    <t>053</t>
  </si>
  <si>
    <t>Муниципальная программа "Молодежь Приангарья"</t>
  </si>
  <si>
    <t>Подпрограмма "Вовлечение молодежи Богучанского района в социальную практику"</t>
  </si>
  <si>
    <t>061</t>
  </si>
  <si>
    <t>Подпрограмма "Патриотическое воспитание молодежи Богучанского района"</t>
  </si>
  <si>
    <t>062</t>
  </si>
  <si>
    <t>Подпрограмма "Обеспечение жильем молодых семей в Богучанском районе"</t>
  </si>
  <si>
    <t>063</t>
  </si>
  <si>
    <t>064</t>
  </si>
  <si>
    <t>Муниципальная программа "Развитие физической культуры и спорта, в Богучанском районе"</t>
  </si>
  <si>
    <t>Подпрограмма "Развитие массовой физической культуры и спорта"</t>
  </si>
  <si>
    <t>071</t>
  </si>
  <si>
    <t>Подпрограмма "Формирование культуры здорового образа жизни"</t>
  </si>
  <si>
    <t>072</t>
  </si>
  <si>
    <t>Муниципальная программа "Развитие инвестиционной, инновационной деятельности, малого и среднего предпринимательства на территории Богучанского района"</t>
  </si>
  <si>
    <t>Подпрограмма "Развитие субъектов малого и среднего предпринимательства в Богучанском районе"</t>
  </si>
  <si>
    <t>081</t>
  </si>
  <si>
    <t>083</t>
  </si>
  <si>
    <t>Муниципальная программа "Развитие транспортной системы Богучанского района"</t>
  </si>
  <si>
    <t>Подпрограмма "Дороги Богучанского района"</t>
  </si>
  <si>
    <t>091</t>
  </si>
  <si>
    <t>Подпрограмма "Развитие транспортного комплекса Богучанского района"</t>
  </si>
  <si>
    <t>092</t>
  </si>
  <si>
    <t>Подпрограмма "Безопасность дорожного движения в Богучанском районе"</t>
  </si>
  <si>
    <t>093</t>
  </si>
  <si>
    <t>105</t>
  </si>
  <si>
    <t>Муниципальная программа "Управление муниципальными финансами"</t>
  </si>
  <si>
    <t>Подпрограмма "Обеспечение реализации муниципальной программы"</t>
  </si>
  <si>
    <t>Муниципальная программа "Развитие сельского хозяйства в Богучанском районе"</t>
  </si>
  <si>
    <t>Подпрограмма "Поддержка малых форм хозяйствования"</t>
  </si>
  <si>
    <t>Подпрограмма "Устойчивое развитие сельских территорий"</t>
  </si>
  <si>
    <t>123</t>
  </si>
  <si>
    <t>ак</t>
  </si>
  <si>
    <t>852</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</si>
  <si>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</si>
  <si>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Проведение выборов и референдумов в рамках непрограммных расходов органов местного самоуправления</t>
  </si>
  <si>
    <t>Ежегодная единовременная выплата (премия) лицам, удостоенным звания "Почетный гражданин Богучанского района" в рамках непрограммных администрации Богучанского района</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</si>
  <si>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</si>
  <si>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государственных полномочий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</si>
  <si>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Пенсия за выслугу лет лицам, замещавшим должности муниципальной службы муниципального образования Богучанский район в рамках подпрограммы "Повышение качества жизни отдельных категорий граждан, в т. ч. инвалидов, степени их социальной защищенности" муниципальной программы "Система социальной защиты населения Богучанского района"</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</si>
  <si>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</si>
  <si>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Софинансирование за счет средств местного бюджета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</si>
  <si>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Мероприятия по проектированию и реконструкции, строительству и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</si>
  <si>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содержанию учреждений социального обслуживания населения в рамках подпрограммы "Повышение качества и доступности социальных услуг населению" муниципальной программы "Система социальной защиты населения Богучанского района"</t>
  </si>
  <si>
    <t>Расходы на проведение культурно-массовых мероприятий в рамках подпрограммы "Искусство и народное творчество"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</si>
  <si>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</si>
  <si>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</si>
  <si>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</si>
  <si>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</si>
  <si>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</si>
  <si>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</si>
  <si>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"Культурное наследие"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</si>
  <si>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</si>
  <si>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</si>
  <si>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</si>
  <si>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</si>
  <si>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</si>
  <si>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</si>
  <si>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персональных выплат, устанавливаемых в целях повышения оплаты труда молодым специалистам,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</si>
  <si>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"Искусство и народное творчество"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</si>
  <si>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</si>
  <si>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</si>
  <si>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</si>
  <si>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</si>
  <si>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Отдельные мероприятия в рамках подпрограммы "Приобретение жилых помещений работникам бюджетной сферы Богучанского района" муниципальной программы "Обеспечение доступным и комфортным жильем граждан Богучанского района"</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</si>
  <si>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</si>
  <si>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</si>
  <si>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Иные выплаты населению</t>
  </si>
  <si>
    <t>360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</si>
  <si>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</si>
  <si>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</si>
  <si>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</si>
  <si>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</si>
  <si>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Межбюджетные трансферты на выполнение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</si>
  <si>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Субвенции на осуществление государственных полномочий по первичному воинскому учету на территориях, где отсутствуют военные комиссариаты,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</si>
  <si>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</si>
  <si>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</si>
  <si>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Межбюджетные трансферты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</si>
  <si>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</si>
  <si>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033</t>
  </si>
  <si>
    <t>Доходы, поступающие в порядке возмещения расходов, понесенных в связи с эксплуатацией имущества муниципальных районов</t>
  </si>
  <si>
    <t>02065</t>
  </si>
  <si>
    <t>9991</t>
  </si>
  <si>
    <t>25050</t>
  </si>
  <si>
    <t>43000</t>
  </si>
  <si>
    <t>180</t>
  </si>
  <si>
    <t>Дотации бюджетам субъектов Российской Федерации и муниципальных образований</t>
  </si>
  <si>
    <t>Дотации на выравнивание бюджетной обеспеченности</t>
  </si>
  <si>
    <t>2711</t>
  </si>
  <si>
    <t>7429</t>
  </si>
  <si>
    <t>7570</t>
  </si>
  <si>
    <t>9904</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</si>
  <si>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</si>
  <si>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</si>
  <si>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</si>
  <si>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1 11 07015 05 2000 120</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</si>
  <si>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</si>
  <si>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</si>
  <si>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1 14 01050 05 0000 410</t>
  </si>
  <si>
    <t>Доходы от продажи квартир, находящихся в собственности муниципальных районов</t>
  </si>
  <si>
    <t>1 14 06025 05 1000 430</t>
  </si>
  <si>
    <t>Поступления от денежных пожертвований, предоставляемых физическими лицами получателям средств бюджетов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</si>
  <si>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Поступления от денежных пожертвований, предоставляемых физическими лицами получателям средств бюджетов муниципальных районов  (добровольные пожертвования детским школам искусств, находящимся в ведении органов местного самоуправления муниципальных районов)</t>
  </si>
  <si>
    <t>1 16 21050 05 0000 140</t>
  </si>
  <si>
    <t xml:space="preserve">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
</t>
  </si>
  <si>
    <t>2017 год</t>
  </si>
  <si>
    <t>2016 год</t>
  </si>
  <si>
    <t>311</t>
  </si>
  <si>
    <t>320</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</si>
  <si>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</si>
  <si>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</si>
  <si>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</si>
  <si>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</si>
  <si>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Выполнение государственных полномочий Красноярского края по реализации мер дополнительной поддержки населения, направленных на соблюдение размера вносимой гражданами платы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</si>
  <si>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</si>
  <si>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Обеспечение бесплатного проезда детей до места нахождения детских оздоровительных лагерей и обратно в рамках подпрограммы "Социальная поддержка семей, имеющих детей" муниципальной программы "Система социальной защиты населения Богучанского района"</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</si>
  <si>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"Система социальной защиты населения Богучанского района"</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</si>
  <si>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</si>
  <si>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</si>
  <si>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</si>
  <si>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"Культурное наследие"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</si>
  <si>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</si>
  <si>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</si>
  <si>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</si>
  <si>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</si>
  <si>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</si>
  <si>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</si>
  <si>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</si>
  <si>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</si>
  <si>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</si>
  <si>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</si>
  <si>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</si>
  <si>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</si>
  <si>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</si>
  <si>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библиотечного фонда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</si>
  <si>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</si>
  <si>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</si>
  <si>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</si>
  <si>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Муниципальная программа "Система социальной защиты населения Богучанского района"</t>
  </si>
  <si>
    <t>Подпрограмма "Повышение качества жизни отдельных категорий граждан, в т. ч. инвалидов, степени их социальной защищенности"</t>
  </si>
  <si>
    <t>Подпрограмма "Социальная поддержка семей, имеющих детей"</t>
  </si>
  <si>
    <t>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t>
  </si>
  <si>
    <t>Подпрограмма "Создание условий для безубыточной деятельности организаций жилищно-коммунального комплекса Богучанского района"</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</si>
  <si>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</si>
  <si>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Подпрограмма "Реконструкция и капитальный ремонт объектов коммунальной инфраструктуры муниципального образования Богучанский район"</t>
  </si>
  <si>
    <t>Подпрограмма "Искусство и народное творчество"</t>
  </si>
  <si>
    <t>Подпрограмма "Обеспечение условий реализации программы и прочие мероприятия"</t>
  </si>
  <si>
    <t>Муниципальная программа "Обеспечение доступным и комфортным жильем граждан Богучанского района"</t>
  </si>
  <si>
    <t>Подпрограмма "Приобретение жилых помещений работникам бюджетной сферы Богучанского района"</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</si>
  <si>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t>
  </si>
  <si>
    <t>Непрограммные расходы на обеспечение деятельности органов местного самоуправления</t>
  </si>
  <si>
    <t>Обеспечение деятельности местных администраций в рамках непрограммных расходов органов местного самоуправления</t>
  </si>
  <si>
    <t>Другие непрограммные расходы органов местного самоуправления</t>
  </si>
  <si>
    <t>322</t>
  </si>
  <si>
    <t>Субсидии гражданам на приобретение жилья</t>
  </si>
  <si>
    <t>дата Нового решения</t>
  </si>
  <si>
    <t>№ Нового решения</t>
  </si>
  <si>
    <t>номер нового</t>
  </si>
  <si>
    <t>Софинансирование за счет средств местного бюджета 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</si>
  <si>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</si>
  <si>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</si>
  <si>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</si>
  <si>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</si>
  <si>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</si>
  <si>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</si>
  <si>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</si>
  <si>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</si>
  <si>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Подпрограмма "Обеспечение реализации муниципальной программы и прочие мероприятия в области образования"</t>
  </si>
  <si>
    <t>Предоставление субсидий бюджетным учреждениям на приобретение основных средств в рамках подпрограммы "Культурное наследие" муниципальной программы Богучанского района "Развитие культуры"</t>
  </si>
  <si>
    <t>Земельный налог с организаций, обладающих земельным участком, расположенным в границах межселенных территорий</t>
  </si>
  <si>
    <t>06033</t>
  </si>
  <si>
    <t>06043</t>
  </si>
  <si>
    <t xml:space="preserve">Земельный налог с физических лиц, обладающих земельным участком, расположенным в границах межселенных территорий
</t>
  </si>
  <si>
    <t>02040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</si>
  <si>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</si>
  <si>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1.1.</t>
  </si>
  <si>
    <t>Администрация Ангарского  сельсовета</t>
  </si>
  <si>
    <t>- получение</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</si>
  <si>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</si>
  <si>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Выполнение полномочий поселений по библиотечному обслуживанию населения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"Культурное наследие" муниципальной программы Богучанского района "Развитие культуры"</t>
  </si>
  <si>
    <t>Субсидии бюджетам муниципальных районов на реализацию федеральных целевых программ</t>
  </si>
  <si>
    <t>2018 год</t>
  </si>
  <si>
    <t>Налог, взимаемый в связи с применением патентной системы налогообложения</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</si>
  <si>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</si>
  <si>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09000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</si>
  <si>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</si>
  <si>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09040</t>
  </si>
  <si>
    <t>Прочие поступления от использования имущества, находящегося в собственности муниципальных районов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</si>
  <si>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09045</t>
  </si>
  <si>
    <t>Плата за выбросы загрязняющих веществ в атмосферный воздух стацианарными объектами</t>
  </si>
  <si>
    <t>Плата за выбросы загрязняющих веществ в водные объекты</t>
  </si>
  <si>
    <t>Плата за размещение отходов производства и потребления</t>
  </si>
  <si>
    <t>08010</t>
  </si>
  <si>
    <t>Денежные взыскания (штрафы) за нарушение земельного законодательства</t>
  </si>
  <si>
    <t>25060</t>
  </si>
  <si>
    <t>Прочие денежные взыскания (штрафы) за правонарушения в области дорожного движения</t>
  </si>
  <si>
    <t>30030</t>
  </si>
  <si>
    <t>45000</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</si>
  <si>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</si>
  <si>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Субвенции бюджетам муниципальных образований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16 декабря 2014 года № 7-3023 «Об организации социального обслуживания граждан в Красноярском крае»),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</si>
  <si>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</si>
  <si>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</si>
  <si>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</si>
  <si>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</si>
  <si>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7408</t>
  </si>
  <si>
    <t>7409</t>
  </si>
  <si>
    <t>Прочие доходы от оказания платных услуг (работ) получателями средств бюджетов муниципальных районов</t>
  </si>
  <si>
    <t>Всего расходов</t>
  </si>
  <si>
    <t>8020060000</t>
  </si>
  <si>
    <t>8020067000</t>
  </si>
  <si>
    <t>8030060000</t>
  </si>
  <si>
    <t>8030067000</t>
  </si>
  <si>
    <t>8040060000</t>
  </si>
  <si>
    <t>8040067000</t>
  </si>
  <si>
    <t>8010060000</t>
  </si>
  <si>
    <t>0420080040</t>
  </si>
  <si>
    <t>8020074670</t>
  </si>
  <si>
    <t>8020076040</t>
  </si>
  <si>
    <t>8020061000</t>
  </si>
  <si>
    <t>802006Б000</t>
  </si>
  <si>
    <t>80200Ч0010</t>
  </si>
  <si>
    <t>9040051200</t>
  </si>
  <si>
    <t>9020080000</t>
  </si>
  <si>
    <t>8020074290</t>
  </si>
  <si>
    <t>8020075190</t>
  </si>
  <si>
    <t>9060080000</t>
  </si>
  <si>
    <t>0410040010</t>
  </si>
  <si>
    <t>0410041010</t>
  </si>
  <si>
    <t>0420040010</t>
  </si>
  <si>
    <t>Оплата жилищно-коммунальных услуг за исключением электроэнергии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</si>
  <si>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</si>
  <si>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0420080020</t>
  </si>
  <si>
    <t>0420080030</t>
  </si>
  <si>
    <t>Обеспечение деятельности (оказание услуг)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</si>
  <si>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0420040090</t>
  </si>
  <si>
    <t>Оплата жилищно-коммунальных услуг за исключением электроэнергии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</si>
  <si>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042004Г090</t>
  </si>
  <si>
    <t>0410080010</t>
  </si>
  <si>
    <t>1210022480</t>
  </si>
  <si>
    <t>1230075170</t>
  </si>
  <si>
    <t>09200П0000</t>
  </si>
  <si>
    <t>0910080000</t>
  </si>
  <si>
    <t>0810080020</t>
  </si>
  <si>
    <t>Расходы на реализацию мероприятий,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</si>
  <si>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0810080010</t>
  </si>
  <si>
    <t>0830080030</t>
  </si>
  <si>
    <t>1220075180</t>
  </si>
  <si>
    <t>12200S5410</t>
  </si>
  <si>
    <t>0320075770</t>
  </si>
  <si>
    <t>0320075700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</si>
  <si>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</si>
  <si>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</si>
  <si>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06100S4560</t>
  </si>
  <si>
    <t>0620080000</t>
  </si>
  <si>
    <t>0640074560</t>
  </si>
  <si>
    <t>0640040000</t>
  </si>
  <si>
    <t>0640041000</t>
  </si>
  <si>
    <t>0210080010</t>
  </si>
  <si>
    <t>0710080010</t>
  </si>
  <si>
    <t>0710080020</t>
  </si>
  <si>
    <t>0720080010</t>
  </si>
  <si>
    <t>0720080020</t>
  </si>
  <si>
    <t>0720080030</t>
  </si>
  <si>
    <t>0350080000</t>
  </si>
  <si>
    <t>9050040000</t>
  </si>
  <si>
    <t>9050047000</t>
  </si>
  <si>
    <t>0110083010</t>
  </si>
  <si>
    <t>01100S5620</t>
  </si>
  <si>
    <t>0220002750</t>
  </si>
  <si>
    <t>0240001510</t>
  </si>
  <si>
    <t>0250075130</t>
  </si>
  <si>
    <t>0260075130</t>
  </si>
  <si>
    <t>0520080520</t>
  </si>
  <si>
    <t>0530040000</t>
  </si>
  <si>
    <t>0530041000</t>
  </si>
  <si>
    <t>0530045000</t>
  </si>
  <si>
    <t>0530047000</t>
  </si>
  <si>
    <t>053004Г000</t>
  </si>
  <si>
    <t>0510040000</t>
  </si>
  <si>
    <t>0510041000</t>
  </si>
  <si>
    <t>0510047000</t>
  </si>
  <si>
    <t>051004Г000</t>
  </si>
  <si>
    <t>05100S4880</t>
  </si>
  <si>
    <t>05100Ч0040</t>
  </si>
  <si>
    <t>05100Ч1040</t>
  </si>
  <si>
    <t>05100Ч7040</t>
  </si>
  <si>
    <t>05100ЧГ040</t>
  </si>
  <si>
    <t>0510080520</t>
  </si>
  <si>
    <t>0510080530</t>
  </si>
  <si>
    <t>05100Ф0000</t>
  </si>
  <si>
    <t>0520040000</t>
  </si>
  <si>
    <t>0520041000</t>
  </si>
  <si>
    <t>0520045000</t>
  </si>
  <si>
    <t>0520047000</t>
  </si>
  <si>
    <t>052004Г000</t>
  </si>
  <si>
    <t>05200Ч0030</t>
  </si>
  <si>
    <t>05200Ч1030</t>
  </si>
  <si>
    <t>05200Ч5030</t>
  </si>
  <si>
    <t>05200Ч7030</t>
  </si>
  <si>
    <t>05200ЧГ030</t>
  </si>
  <si>
    <t>05300L1440</t>
  </si>
  <si>
    <t>05300Ф0000</t>
  </si>
  <si>
    <t>05300Ц0000</t>
  </si>
  <si>
    <t>0530051440</t>
  </si>
  <si>
    <t>90900Д0000</t>
  </si>
  <si>
    <t>90900Ж0000</t>
  </si>
  <si>
    <t>1050080000</t>
  </si>
  <si>
    <t>0330080000</t>
  </si>
  <si>
    <t>06300S4580</t>
  </si>
  <si>
    <t>0110075880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</si>
  <si>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</si>
  <si>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</si>
  <si>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0110040010</t>
  </si>
  <si>
    <t>0110041010</t>
  </si>
  <si>
    <t>0110047010</t>
  </si>
  <si>
    <t>011004Г010</t>
  </si>
  <si>
    <t>011004П010</t>
  </si>
  <si>
    <t>0110075640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</si>
  <si>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</si>
  <si>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</si>
  <si>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0110040020</t>
  </si>
  <si>
    <t>0110041020</t>
  </si>
  <si>
    <t>0110047020</t>
  </si>
  <si>
    <t>011004Г020</t>
  </si>
  <si>
    <t>0110040030</t>
  </si>
  <si>
    <t>0110041030</t>
  </si>
  <si>
    <t>0110045030</t>
  </si>
  <si>
    <t>0110043020</t>
  </si>
  <si>
    <t>011004П020</t>
  </si>
  <si>
    <t>0110047030</t>
  </si>
  <si>
    <t>011004Г030</t>
  </si>
  <si>
    <t>0110080020</t>
  </si>
  <si>
    <t>011008Ж020</t>
  </si>
  <si>
    <t>011008П020</t>
  </si>
  <si>
    <t>0110080040</t>
  </si>
  <si>
    <t>0340080000</t>
  </si>
  <si>
    <t>0930080010</t>
  </si>
  <si>
    <t>0110040040</t>
  </si>
  <si>
    <t>0110041040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</si>
  <si>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</si>
  <si>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</si>
  <si>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01100Ф0030</t>
  </si>
  <si>
    <t>01100Ц0010</t>
  </si>
  <si>
    <t>Софинансирование за счет средств местного бюджета расходов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</si>
  <si>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</si>
  <si>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0140080000</t>
  </si>
  <si>
    <t>0110080030</t>
  </si>
  <si>
    <t>0130075520</t>
  </si>
  <si>
    <t>0140040000</t>
  </si>
  <si>
    <t>0140041000</t>
  </si>
  <si>
    <t>0140047000</t>
  </si>
  <si>
    <t>014004Г000</t>
  </si>
  <si>
    <t>0140060000</t>
  </si>
  <si>
    <t>0140067000</t>
  </si>
  <si>
    <t>0140040050</t>
  </si>
  <si>
    <t>0110075540</t>
  </si>
  <si>
    <t>0110075660</t>
  </si>
  <si>
    <t>0110075560</t>
  </si>
  <si>
    <t>1120060000</t>
  </si>
  <si>
    <t>1120061000</t>
  </si>
  <si>
    <t>1120067000</t>
  </si>
  <si>
    <t>112006Г000</t>
  </si>
  <si>
    <t>11200Ч0060</t>
  </si>
  <si>
    <t>9010080000</t>
  </si>
  <si>
    <t>1110075140</t>
  </si>
  <si>
    <t>9090080000</t>
  </si>
  <si>
    <t>1110051180</t>
  </si>
  <si>
    <t>Межбюджетные трансферты на осуществление полномочий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</si>
  <si>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09200Ч0090</t>
  </si>
  <si>
    <t>06100Ч0050</t>
  </si>
  <si>
    <t>9090075550</t>
  </si>
  <si>
    <t>1110076010</t>
  </si>
  <si>
    <t>1110080130</t>
  </si>
  <si>
    <t>1110080120</t>
  </si>
  <si>
    <t>03100S5710</t>
  </si>
  <si>
    <t>0360080000</t>
  </si>
  <si>
    <t>014008П000</t>
  </si>
  <si>
    <t>022</t>
  </si>
  <si>
    <t>026</t>
  </si>
  <si>
    <t>035</t>
  </si>
  <si>
    <t>80</t>
  </si>
  <si>
    <t>803</t>
  </si>
  <si>
    <t>804</t>
  </si>
  <si>
    <t>90</t>
  </si>
  <si>
    <t>901</t>
  </si>
  <si>
    <t>902</t>
  </si>
  <si>
    <t>904</t>
  </si>
  <si>
    <t>905</t>
  </si>
  <si>
    <t>906</t>
  </si>
  <si>
    <t>909</t>
  </si>
  <si>
    <t>Подпрограмма "Развитие и модернизация объектов коммунальной инфраструктуры на территории Богучанского района"</t>
  </si>
  <si>
    <t>031</t>
  </si>
  <si>
    <t>Подпрограмма "Обращение с отходами на территории Богучанского района"</t>
  </si>
  <si>
    <t>036</t>
  </si>
  <si>
    <t>09200L0000</t>
  </si>
  <si>
    <t>Отдельные мероприятия в области воздушного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</si>
  <si>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Расходы по строительству полигона ТБО в с. Богучаны за счет спонсорский средств, средств добровольных пожертвований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</si>
  <si>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0110026540</t>
  </si>
  <si>
    <t>На компенсацию расходов муниципальных спортивных школ, подготовивших спортсмена, ставшего членом спортивной сборной команды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</si>
  <si>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0110042220</t>
  </si>
  <si>
    <t>Софинансирование за счет средств местного бюджета частичного финансирования (возмещения)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</si>
  <si>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0110045020</t>
  </si>
  <si>
    <t>Персональные выплаты, устанавливаемые в целях повышения оплаты труда молодым специалистам,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</si>
  <si>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</si>
  <si>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</si>
  <si>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0110074410</t>
  </si>
  <si>
    <t>Финансовая поддержка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</si>
  <si>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0110074700</t>
  </si>
  <si>
    <t>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</si>
  <si>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0110075580</t>
  </si>
  <si>
    <t>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</si>
  <si>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0110075620</t>
  </si>
  <si>
    <t>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</si>
  <si>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0110075840</t>
  </si>
  <si>
    <t>На 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</si>
  <si>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0110075850</t>
  </si>
  <si>
    <t>Организация отдыха, оздоровления и занятости детей в муниципальных загородных оздоровительных лагерях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</si>
  <si>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0110077460</t>
  </si>
  <si>
    <t>Средства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</si>
  <si>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0110080010</t>
  </si>
  <si>
    <t>Мероприятия по обеспечению жизнедеятельности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</si>
  <si>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0110080050</t>
  </si>
  <si>
    <t>Расходы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</si>
  <si>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0110082310</t>
  </si>
  <si>
    <t>0110082330</t>
  </si>
  <si>
    <t>Софинансирование за счет средств местного бюджета расходов на мероприятия государственной программы Российской Федерации «Доступная среда» на 2011 - 2015 годы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</si>
  <si>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0110082340</t>
  </si>
  <si>
    <t>Софинансирование за счет средств местного бюджета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</si>
  <si>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0110082350</t>
  </si>
  <si>
    <t>Софинансирование за счет средств местного бюджета расходов 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</si>
  <si>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01100Ц2170</t>
  </si>
  <si>
    <t>Софинансирование за счет средств местного бюджета расходов на финансовую поддержку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</si>
  <si>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027</t>
  </si>
  <si>
    <t>Подпрограмма "Доступная среда"</t>
  </si>
  <si>
    <t>0270010950</t>
  </si>
  <si>
    <t>На 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</si>
  <si>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0270050270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</si>
  <si>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«Доступная среда» муниципальной программы «Система социальной защиты Богучанского района»</t>
  </si>
  <si>
    <t>0270082330</t>
  </si>
  <si>
    <t>Софинансирование за счет средств местного бюджета расходов на обеспечение беспрепятственного доступа к муниципальным учреждениям социальной инфраструструктуры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</si>
  <si>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0310075710</t>
  </si>
  <si>
    <t>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</si>
  <si>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0350077450</t>
  </si>
  <si>
    <t>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</si>
  <si>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0350082360</t>
  </si>
  <si>
    <t>Софинансирование за счет средств местного бюджета расходов 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</si>
  <si>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0360083010</t>
  </si>
  <si>
    <t>0370080000</t>
  </si>
  <si>
    <t>Отдельные мероприятия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</si>
  <si>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03700Ч0080</t>
  </si>
  <si>
    <t>Межбюджетные трансферты на реализацию отдельных мероприятий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</si>
  <si>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0420080060</t>
  </si>
  <si>
    <t>Устройство летнего противопожарного водопровода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</si>
  <si>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04200Ф0000</t>
  </si>
  <si>
    <t>Расходы на приобретение основных средств, включая предоставление субсидий бюджетным учреждениям на приобретение основных средств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</si>
  <si>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0510051440</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</si>
  <si>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</si>
  <si>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0510074880</t>
  </si>
  <si>
    <t>Комплектование книжных фондов библиотек муниципальных образований Красноярского края в рамках подпрограммы "Культурное наследие" муниципальной программы Богучанского района "Развитие культуры"</t>
  </si>
  <si>
    <t>0510082290</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</si>
  <si>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</si>
  <si>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05200Ч0070</t>
  </si>
  <si>
    <t>Межбюджетные трансферты на предоставление субсидий бюджетным учреждениям в рамках подпрограммы "Искусство и народное творчество" муниципальной программы Богучанского района "Развитие культуры"</t>
  </si>
  <si>
    <t>0530051470</t>
  </si>
  <si>
    <t>Государственная поддержка муниципальных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</si>
  <si>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0530051480</t>
  </si>
  <si>
    <t>Государственная поддержка лучших работников муниципальных учреждений культуры, находящихся на территориях сельских поселений,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</si>
  <si>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0530080020</t>
  </si>
  <si>
    <t>Предоставление субсидий бюджетным учреждениям на отдельные мероприятия 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</si>
  <si>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0530080030</t>
  </si>
  <si>
    <t>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</si>
  <si>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0530082290</t>
  </si>
  <si>
    <t>0630050200</t>
  </si>
  <si>
    <t>Реализация мероприятий по обеспечению жильем молодых семей федеральной целевой программы "Жилище" на 2011-2015 годы в рамках подпрограммы "Обеспечение жильем молодых семей в Богучанском районе" муниципальной программы "Молодежь Приангарья"</t>
  </si>
  <si>
    <t>0630074580</t>
  </si>
  <si>
    <t>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</si>
  <si>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0640047000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</si>
  <si>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</si>
  <si>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0810076070</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</si>
  <si>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</si>
  <si>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0910075080</t>
  </si>
  <si>
    <t>Межбюджетные трансферты на содержание автомобильных дорог общего пользования местного значения городских округов,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</si>
  <si>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0910075940</t>
  </si>
  <si>
    <t>Межбюджетные трансферты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</si>
  <si>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101</t>
  </si>
  <si>
    <t>Подпрограмма "Переселение граждан из аварийного жилищного фонда в муниципальных образованиях Богучанского района"</t>
  </si>
  <si>
    <t>1010080010</t>
  </si>
  <si>
    <t>Снос жилых домов, признанных в установленном порядке аварийными и подлежащими сносу,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</si>
  <si>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103</t>
  </si>
  <si>
    <t>Подпрограмма "Обеспечение жильем работников бюджетной сферы на территории Богучанского района"</t>
  </si>
  <si>
    <t>1030076080</t>
  </si>
  <si>
    <t>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</si>
  <si>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1030080000</t>
  </si>
  <si>
    <t>Отдельные мероприятия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</si>
  <si>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1030082120</t>
  </si>
  <si>
    <t>Софинансирование за счет средств местного бюджета расходов на 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</si>
  <si>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1110010210</t>
  </si>
  <si>
    <t>Межбюджетные трансферты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</si>
  <si>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1110010310</t>
  </si>
  <si>
    <t>Межбюджетные трансферты на персональные выплаты, устанавливаемые в целях повышения оплаты труда молодым специалистам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</si>
  <si>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1110077410</t>
  </si>
  <si>
    <t>Межбюджетные трансферты для реализации проектов по благоустройству территорий поселений, городских округов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</si>
  <si>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112006Б000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</si>
  <si>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</si>
  <si>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1210050550</t>
  </si>
  <si>
    <t>Субсидии на возмещение части процентной ставки по долгосрочным, среднесрочным и краткосрочным кредитам, взятым малыми формами хозяйствования за счет средств федерального бюджета в рамках подпрограммы "Поддержка малых форм хозяйствования" муниципальной программы "Развитие сельского хозяйства в Богучанском районе"</t>
  </si>
  <si>
    <t>1220074510</t>
  </si>
  <si>
    <t>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</si>
  <si>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80200Ч0020</t>
  </si>
  <si>
    <t>Выполнение полномочий поселений по градостроительной деятельности в рамках непрограммных расходов органов местного самоуправления</t>
  </si>
  <si>
    <t>805</t>
  </si>
  <si>
    <t>Обеспечение деятельности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</si>
  <si>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8050060000</t>
  </si>
  <si>
    <t>8050067000</t>
  </si>
  <si>
    <t>Оплата стоимости проезда в отпуск в соответствии с законодательством,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</si>
  <si>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9090082320</t>
  </si>
  <si>
    <t>Софинансирование за счет средств местного бюджета расходов на приведение зданий (помещений) в муниципальных образованиях Красноярского края в соответствие с требованиями, установленными для многофункциональных центров, в рамках непрограмных расходов органов местного самоуправления</t>
  </si>
  <si>
    <t>Отдельные мероприятия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</si>
  <si>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0820080010</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</si>
  <si>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реализации муниципальной программы и прочие мероприятия" муниципальной программы "Система социальной защиты населения Богучанского района"</t>
  </si>
  <si>
    <t>Расходы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инновационной деятельности на территории Богучанского района"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</si>
  <si>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09200Л0000</t>
  </si>
  <si>
    <t>880</t>
  </si>
  <si>
    <t>Фонд оплаты труда государственных (муниципальных) органов</t>
  </si>
  <si>
    <t>Уплата прочих налогов, сборов</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</si>
  <si>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</si>
  <si>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</si>
  <si>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Отдельные мероприятия в рамках подпрограммы "Вовлечение молодежи Богучанского района в социальную практику" муниципальной программы "Молодежь Приангарья"</t>
  </si>
  <si>
    <t>0610080000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</si>
  <si>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</si>
  <si>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</si>
  <si>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</si>
  <si>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</si>
  <si>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</si>
  <si>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</si>
  <si>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Расходы на приобретение основных средств в подведомственных учреждениях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</si>
  <si>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053004Ф000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</si>
  <si>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</si>
  <si>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</si>
  <si>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</si>
  <si>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</si>
  <si>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</si>
  <si>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</si>
  <si>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</si>
  <si>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</si>
  <si>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</si>
  <si>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</si>
  <si>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0100000000</t>
  </si>
  <si>
    <t>0110000000</t>
  </si>
  <si>
    <t>0130000000</t>
  </si>
  <si>
    <t>0200000000</t>
  </si>
  <si>
    <t>0210000000</t>
  </si>
  <si>
    <t>0220000000</t>
  </si>
  <si>
    <t>0240000000</t>
  </si>
  <si>
    <t>0260000000</t>
  </si>
  <si>
    <t>0300000000</t>
  </si>
  <si>
    <t>0320000000</t>
  </si>
  <si>
    <t>0330000000</t>
  </si>
  <si>
    <t>0350000000</t>
  </si>
  <si>
    <t>0400000000</t>
  </si>
  <si>
    <t>0410000000</t>
  </si>
  <si>
    <t>0420000000</t>
  </si>
  <si>
    <t>0500000000</t>
  </si>
  <si>
    <t>0510000000</t>
  </si>
  <si>
    <t>0520000000</t>
  </si>
  <si>
    <t>0530000000</t>
  </si>
  <si>
    <t>0600000000</t>
  </si>
  <si>
    <t>0610000000</t>
  </si>
  <si>
    <t>0630000000</t>
  </si>
  <si>
    <t>0640000000</t>
  </si>
  <si>
    <t>0700000000</t>
  </si>
  <si>
    <t>0710000000</t>
  </si>
  <si>
    <t>0720000000</t>
  </si>
  <si>
    <t>0800000000</t>
  </si>
  <si>
    <t>0810000000</t>
  </si>
  <si>
    <t>0900000000</t>
  </si>
  <si>
    <t>0910000000</t>
  </si>
  <si>
    <t>0920000000</t>
  </si>
  <si>
    <t>0930000000</t>
  </si>
  <si>
    <t>1000000000</t>
  </si>
  <si>
    <t>1050000000</t>
  </si>
  <si>
    <t>1100000000</t>
  </si>
  <si>
    <t>1110000000</t>
  </si>
  <si>
    <t>1120000000</t>
  </si>
  <si>
    <t>1200000000</t>
  </si>
  <si>
    <t>1210000000</t>
  </si>
  <si>
    <t>1220000000</t>
  </si>
  <si>
    <t>1230000000</t>
  </si>
  <si>
    <t>8000000000</t>
  </si>
  <si>
    <t>8010000000</t>
  </si>
  <si>
    <t>8020000000</t>
  </si>
  <si>
    <t>8030000000</t>
  </si>
  <si>
    <t>8040000000</t>
  </si>
  <si>
    <t>9000000000</t>
  </si>
  <si>
    <t>9010000000</t>
  </si>
  <si>
    <t>9050000000</t>
  </si>
  <si>
    <t>9060000000</t>
  </si>
  <si>
    <t>9090000000</t>
  </si>
  <si>
    <t>Раздел</t>
  </si>
  <si>
    <t>Нормативы</t>
  </si>
  <si>
    <t>№ п/п</t>
  </si>
  <si>
    <t>Наименование доходов</t>
  </si>
  <si>
    <t>муници-пальный район</t>
  </si>
  <si>
    <t>посе-ления</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</si>
  <si>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</si>
  <si>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прибыль организаций консолидированных групп налогоплательщиков, зачисляемый в бюджеты субъектов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</si>
  <si>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</si>
  <si>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</si>
  <si>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</si>
  <si>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</si>
  <si>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Доходы от уплаты акцизов на дизельное топливо,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</si>
  <si>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моторные масла для дизельных и (или) карбюраторных (инжекторных) двигателей,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</si>
  <si>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автомобильный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</si>
  <si>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прямогонный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</si>
  <si>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Единый сельскохозяйственный налог (за налоговые периоды, истекшие до 1 января 2011 года)***</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</si>
  <si>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</si>
  <si>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</si>
  <si>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</si>
  <si>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иные виды негативного воздействия на окружающую среду</t>
  </si>
  <si>
    <t>Плата за выбросы загрязняющих веществ, образующихся при сжигании на факельных установках и (или) рассеивании попутного нефтяного газа</t>
  </si>
  <si>
    <t>(в процентах)</t>
  </si>
  <si>
    <t xml:space="preserve">Налог на имущество физических лиц, в границах  межселенной территории </t>
  </si>
  <si>
    <t>Налог на имущество физических лиц, в границах  поселений</t>
  </si>
  <si>
    <t>Государственная пошлина за совершение нотариальных действий (за исключением действий, совершаемых консульскими учреждениями РФ)</t>
  </si>
  <si>
    <t>ЗАДОЛЖЕННОСТЬ И ПЕРЕРАСЧЕТЫ ПО ОТМЕНЕННЫМ НАЛОГАМ, СБОРАМ И ИНЫМ ОБЯЗАТЕЛЬНЫМ ПЛАТЕЖАМ:</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</si>
  <si>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автономных учреждений)</t>
  </si>
  <si>
    <t>Денежные   взыскания   (штрафы)   за   нарушение законодательства   Российской    Федерации    о промышленной безопасности</t>
  </si>
  <si>
    <t>Невыясненные поступления бюджетов муниципальных районов</t>
  </si>
  <si>
    <t>Невыясненные поступления бюджетов поселений</t>
  </si>
  <si>
    <t xml:space="preserve">** акцизы распределяются в централизованном порядке по дифференцированным нормативам </t>
  </si>
  <si>
    <t>и плановый период 2017-2018 годов»</t>
  </si>
  <si>
    <t xml:space="preserve">в местные бюджеты в соответствии с приложением  к  Закону края «О краевом бюджете на 2016 год </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</si>
  <si>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муниципальных районов)</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</si>
  <si>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поселений)</t>
  </si>
  <si>
    <t>Земельный налог с организаций, в границах межселенных территорий</t>
  </si>
  <si>
    <t>Земельный налог с физических лиц, в границиах межселенных территорий</t>
  </si>
  <si>
    <t xml:space="preserve">890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</si>
  <si>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</si>
  <si>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</si>
  <si>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119</t>
  </si>
  <si>
    <t>Уплата иных платежей</t>
  </si>
  <si>
    <t>853</t>
  </si>
  <si>
    <t>113</t>
  </si>
  <si>
    <t>0360000000</t>
  </si>
  <si>
    <t>Администрация Артюгинского сельсовета</t>
  </si>
  <si>
    <t>Администрация Манзенского сельсовета</t>
  </si>
  <si>
    <t>Администрация Осиновомыского сельсовета</t>
  </si>
  <si>
    <t>Администрация Такучетского сельсовета</t>
  </si>
  <si>
    <t>ВСЕГО:</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</si>
  <si>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</si>
  <si>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0510045000</t>
  </si>
  <si>
    <t>32000</t>
  </si>
  <si>
    <t>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рамках подпрограммы "Социальная поддержка семей, имеющих детей" муниципальной программы "Система социальной защиты населения Богучанского района"</t>
  </si>
  <si>
    <t>0220006400</t>
  </si>
  <si>
    <t>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</si>
  <si>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0110073970</t>
  </si>
  <si>
    <t>Дотации поселениям на выравнивание бюджетной обеспеченности из районного фонда финансовой поддержки поселений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</si>
  <si>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Муниципальное казенное учреждение "Централизованная бухгалтерия"</t>
  </si>
  <si>
    <t>Обеспечение деятельности муниципального казенного учреждения в рамках непрограммных расходов</t>
  </si>
  <si>
    <t>9070000000</t>
  </si>
  <si>
    <t>Доходы бюджетов муниципальных районов от возврата иными организациями остатков субсидий прошлых лет</t>
  </si>
  <si>
    <t>1 16 32000 10 0000 140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</si>
  <si>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поселений)</t>
  </si>
  <si>
    <t>2019 год</t>
  </si>
  <si>
    <t>15001</t>
  </si>
  <si>
    <t>20000</t>
  </si>
  <si>
    <t>29999</t>
  </si>
  <si>
    <t>30000</t>
  </si>
  <si>
    <t>35118</t>
  </si>
  <si>
    <t>30024</t>
  </si>
  <si>
    <t>0640</t>
  </si>
  <si>
    <t>30029</t>
  </si>
  <si>
    <t>40000</t>
  </si>
  <si>
    <t>40014</t>
  </si>
  <si>
    <t>88**</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</si>
  <si>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</si>
  <si>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межбюджетные трансферты на осуществление полномочий по формированию, исполнению бюджетов поселений и контролю за их исполнением</t>
  </si>
  <si>
    <t>софин</t>
  </si>
  <si>
    <t>Оплата за электроэнергию в рамках непрограммных расходов органов местного самоуправления</t>
  </si>
  <si>
    <t>802006Э000</t>
  </si>
  <si>
    <t>Молодежная политика</t>
  </si>
  <si>
    <t>9070040000</t>
  </si>
  <si>
    <t>Дополнительное образование детей</t>
  </si>
  <si>
    <t>0703</t>
  </si>
  <si>
    <t xml:space="preserve">Решение Богучанского районного  Совета депутатов от 16.06.2016г. № 8/1-56 «Об утверждении Положения о почетном звании «Почетный гражданин Богучанского района» </t>
  </si>
  <si>
    <t>в том числе:</t>
  </si>
  <si>
    <t xml:space="preserve">за счет  средств субвенции на реализацию государственных  полномочий по расчету и предоставлению дотаций поселениям, входящим в состав  муниципального района края </t>
  </si>
  <si>
    <t>за счет собственных средств районного бюджета</t>
  </si>
  <si>
    <t>0620000000</t>
  </si>
  <si>
    <t xml:space="preserve">Налог на прибыль организаций (за исключением консолидированных групп налогоплательщиков), зачисляемый в бюджеты субъектов Российской Федерации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</si>
  <si>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227,227.1 и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</si>
  <si>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гражданами,осуществляющимим трудовую деятельность по найму у физических лиц на основании патента в соответствии со статьей 227.1 Налогового кодекса РФ</t>
  </si>
  <si>
    <t>Земельный налог с организаций</t>
  </si>
  <si>
    <t>06030</t>
  </si>
  <si>
    <t>Земельный налог с физических лиц</t>
  </si>
  <si>
    <t>06040</t>
  </si>
  <si>
    <t>НАЛОГ НА ПРИБЫЛЬ ОРГАНИЗАЦИЙ</t>
  </si>
  <si>
    <t>НАЛОГ НА ДОХОДЫ ФИЗИЧЕСКИХ ЛИЦ</t>
  </si>
  <si>
    <t>НАЛОГИ НА ТОВАРЫ (РАБОТЫ, УСЛУГИ), РЕАЛИЗУЕМЫЕ НА ТЕРРИТОРИИ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</si>
  <si>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</si>
  <si>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</si>
  <si>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</si>
  <si>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</si>
  <si>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</si>
  <si>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</si>
  <si>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Плата за негативное воздействие на окружающую среду</t>
  </si>
  <si>
    <t>ДОХОДЫ ОТ ОКАЗАНИЯ ПЛАТНЫХ УСЛУГ (РАБОТ) И КОМПЕНСАЦИИ ЗАТРАТ ГОСУДАРСТВА</t>
  </si>
  <si>
    <t>Доходы от оказаниы платных услуг (работ)</t>
  </si>
  <si>
    <t>Прочие доходы от оказания платных услуг (работ)</t>
  </si>
  <si>
    <t>01990</t>
  </si>
  <si>
    <t>Доходы от компенсации затрат государства</t>
  </si>
  <si>
    <t>Доходы, поступающие в порядке возмещения расходов, понесенных в связи с эксплуатацией имущества</t>
  </si>
  <si>
    <t>02060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</si>
  <si>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</si>
  <si>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</si>
  <si>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Денежные взыскания (штрафы) за нарушение законодательства о налогах и сборах</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</si>
  <si>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</si>
  <si>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08000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</si>
  <si>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</si>
  <si>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25000</t>
  </si>
  <si>
    <t>Денежные взыскания (штрафы) за правонарушения в области дорожного движения</t>
  </si>
  <si>
    <t>Денежные взыскания, налагаемые в возмещение ущерба, причиненного в результате незаконного или нецелевого использования бюджетных средств</t>
  </si>
  <si>
    <t>Суммы по искам о возмещении вреда, причиненного окружающей среде</t>
  </si>
  <si>
    <t>35000</t>
  </si>
  <si>
    <t>Прочие поступления от денежных взысканий (штрафов) и иных сумм в возмещение ущерба</t>
  </si>
  <si>
    <t>90000</t>
  </si>
  <si>
    <t>Прочие доходы от оказания платных услуг (работ) получателями средств бюджетов муниципальных районов(платные услуги муниципальных учреждений, находящимся в ведении органов местного самоуправления муниципальных районов)</t>
  </si>
  <si>
    <t>Прочие доходы от оказания платных услуг (работ) получателями средств бюджетов муниципальных районов (родительская плата муниципальных учреждений, находящимся в ведении органов местного самоуправления муниципальных районов)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</si>
  <si>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от поступления штрафов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</si>
  <si>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от поступления пени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</si>
  <si>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основному платежу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</si>
  <si>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по основному платежу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</si>
  <si>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от поступления пени</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</si>
  <si>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от поступления штрафов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</si>
  <si>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от социального найма жилых помещений</t>
  </si>
  <si>
    <t xml:space="preserve">Прочие доходы от оказания платных услуг (работ) получателями средств  бюджетов муниципальных районов </t>
  </si>
  <si>
    <t>01 03 01 00 05 0000 710</t>
  </si>
  <si>
    <t>01 03 01 00 05 0000 810</t>
  </si>
  <si>
    <t>Государственная пошлина за выдачу разрешения на установку рекламной конструкции (основной платеж)</t>
  </si>
  <si>
    <t>Прочие неналоговые доходы бюджетов муниципальных районов (основной платеж)</t>
  </si>
  <si>
    <t>Доходы бюджетов муниципальных районов от возврата иными организациями остатков субсидий прошлых лет (восстановление кассового расхода по целевым средствам прошлых лет)</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</si>
  <si>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учреждений)(по основному платежу)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</si>
  <si>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учреждений)(по пени)</t>
  </si>
  <si>
    <t>Прочие неналоговые доходы бюджетов муниципальных районов (по основному платежу)</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</si>
  <si>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 поосновному платежу</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</si>
  <si>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 от поступления пени</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</si>
  <si>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</si>
  <si>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по основному платежу</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</si>
  <si>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по основному платежу</t>
  </si>
  <si>
    <t>Прочие неналоговые доходы бюджетов муниципальных районов ( по основному платежу)</t>
  </si>
  <si>
    <t>Доходы бюджетов муниципальных районов от возврата иными организациями остатков субсидий прошлых лет(Поступление в доход бюджета средств прошлых лет по ЦСР 0220074080)</t>
  </si>
  <si>
    <t>Доходы бюджетов муниципальных районов от возврата иными организациями остатков субсидий прошлых лет (Поступление в доход бюджета средств прошлых лет по ЦСР 0220074090)</t>
  </si>
  <si>
    <t>Доходы бюджетов муниципальных районов от возврата иными организациями остатков субсидий прошлых лет(по целевым средствам прошлых лет (ЦСР 5056504, 0340192))</t>
  </si>
  <si>
    <t>Доходы бюджетов муниципальных районов от возврата иными организациями остатков субсидий прошлых лет(по целевым средствам прошлых лет (ЦСР 5056501, 0340191))</t>
  </si>
  <si>
    <t>Доходы бюджетов муниципальных районов от возврата иными организациями остатков субсидий прошлых лет(по целевым средствам прошлых лет (ЦСР 5056608, 5056610, 0310212 2014 год))</t>
  </si>
  <si>
    <t>Доходы бюджетов муниципальных районов от возврата иными организациями остатков субсидий прошлых лет(по целевым средствам прошлых лет (ЦСР 5056602 (2009 год), 5056609 (2010 год), 0310211(2014год))</t>
  </si>
  <si>
    <t>Доходы бюджетов муниципальных районов от возврата иными организациями остатков субсидий прошлых лет(по целевым средствам прошлых лет (ЦСР 5056604))</t>
  </si>
  <si>
    <t>Доходы бюджетов муниципальных районов от возврата иными организациями остатков субсидий прошлых лет(по целевым средствам прошлых лет (ЦСР 5055301, 0320171 2014год))</t>
  </si>
  <si>
    <t>Доходы бюджетов муниципальных районов от возврата иными организациями остатков субсидий прошлых лет(по целевым средствам прошлых лет (ЦСР 5057805, 0320272 2014г.))</t>
  </si>
  <si>
    <t>Доходы бюджетов муниципальных районов от возврата иными организациями остатков субсидий прошлых лет(по целевым средствам прошлых лет (ЦСР 5057806, 0320273 2014г))</t>
  </si>
  <si>
    <t>Доходы бюджетов муниципальных районов от возврата иными организациями остатков субсидий прошлых лет(по целевым средствам прошлых лет (ЦСР 5210230, 5223738, 5227410, 0227561))</t>
  </si>
  <si>
    <t>Доходы бюджетов муниципальных районов от возврата иными организациями остатков субсидий прошлых лет( по целевым средствам прошлых лет (ЦСР 5210202))</t>
  </si>
  <si>
    <t>Доходы бюджетов муниципальных районов от возврата иными организациями остатков субсидий прошлых лет(по целевым средствам прошлых лет (ЦСР 5056801, 0340231 2014г))</t>
  </si>
  <si>
    <t>Доходы бюджетов муниципальных районов от возврата иными организациями остатков субсидий прошлых лет(по целевым средствам прошлых лет (ЦСР 5056005, 0310181 2014г))</t>
  </si>
  <si>
    <t>Доходы бюджетов муниципальных районов от возврата иными организациями остатков субсидий прошлых лет(по целевым средствам прошлых лет (ЦСР 5221701 (2010 год)))</t>
  </si>
  <si>
    <t>Доходы бюджетов муниципальных районов от возврата иными организациями остатков субсидий прошлых лет(по целевым средствам прошлых лет (ЦСР 5201003 ))</t>
  </si>
  <si>
    <t>Доходы бюджетов муниципальных районов от возврата иными организациями остатков субсидий прошлых лет(по целевым средствам прошлых лет (ЦСР 5057904))</t>
  </si>
  <si>
    <t>Доходы бюджетов муниципальных районов от возврата иными организациями остатков субсидий прошлых лет(по целевым средствам прошлых лет (ЦСР 0312696))</t>
  </si>
  <si>
    <t>Доходы бюджетов муниципальных районов от возврата иными организациями остатков субсидий прошлых лет( по целевым средствам прошлых лет (ЦСР 0320461))</t>
  </si>
  <si>
    <t>Доходы бюджетов муниципальных районов от возврата иными организациями остатков субсидий прошлых лет(по целевым средствам прошлых лет (ЦСР 0310286))</t>
  </si>
  <si>
    <t>Доходы бюджетов муниципальных районов от возврата иными организациями остатков субсидий прошлых лет(по целевым средствам прошлых лет (ЦСР0320276))</t>
  </si>
  <si>
    <t>Доходы бюджетов муниципальных районов от возврата иными организациями остатков субсидий прошлых лет(по целевым средствам прошлых лет (ЦСР 0310288))</t>
  </si>
  <si>
    <t>Доходы бюджетов муниципальных районов от возврата бюджетными учреждениями остатков субсидий прошлых лет( по целевым средствам прошлых лет (ЦСР 5225108))</t>
  </si>
  <si>
    <t>Доходы бюджетов муниципальных районов от возврата иными организациями остатков субсидий прошлых лет(выплаты по программе "Жилище")</t>
  </si>
  <si>
    <t>Доходы бюджетов муниципальных районов от возврата иными организациями остатков субсидий прошлых лет(по целевым средствам прошлых лет (ЦСР 5210212, 0227564, 0220075640))</t>
  </si>
  <si>
    <t>Доходы бюджетов муниципальных районов от возврата иными организациями остатков субсидий прошлых лет(по целевым средствам прошлых лет (ЦСР4367500, 0110075880))</t>
  </si>
  <si>
    <t>Доходы бюджетов муниципальных районов от возврата бюджетными учреждениями остатков субсидий прошлых лет (по целевым средствам прошлых лет (ЦСР 5210212, 0227564, 0220075640))</t>
  </si>
  <si>
    <t>Доходы бюджетов муниципальных районов от возврата иными организациями остатков субсидий прошлых лет(по целевым средствам прошлых лет (ЦСР 8160000, 0497578, 0497570, 049007570))</t>
  </si>
  <si>
    <t>Прочие неналоговые доходы бюджетов муниципальных районов( по основному платежу)</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</si>
  <si>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</si>
  <si>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 на выполнение государственных полномочий по созданию и обеспечению деятельности административных комиссий)</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</si>
  <si>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обеспечение первичных мер пожарной безопасности)</t>
  </si>
  <si>
    <t>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муниципальных районов</t>
  </si>
  <si>
    <t>Возврат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</si>
  <si>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</si>
  <si>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</si>
  <si>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890 01 03 01 00 05 0000 710</t>
  </si>
  <si>
    <t>890 01 03 01 00 05 0000 810</t>
  </si>
  <si>
    <t>0120075520</t>
  </si>
  <si>
    <t>0130080000</t>
  </si>
  <si>
    <t>013008П000</t>
  </si>
  <si>
    <t>0130040000</t>
  </si>
  <si>
    <t>0130041000</t>
  </si>
  <si>
    <t>0130047000</t>
  </si>
  <si>
    <t>013004Г000</t>
  </si>
  <si>
    <t>0130060000</t>
  </si>
  <si>
    <t>0130067000</t>
  </si>
  <si>
    <t>0130040050</t>
  </si>
  <si>
    <t>0120000000</t>
  </si>
  <si>
    <t>0100</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</si>
  <si>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</si>
  <si>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0300</t>
  </si>
  <si>
    <t>Фонд оплаты труда учреждений</t>
  </si>
  <si>
    <t>Взносы по обязательному социальному страхованию на выплаты по оплате труда работников и иные выплаты работникам учреждений</t>
  </si>
  <si>
    <t>0400</t>
  </si>
  <si>
    <t>0500</t>
  </si>
  <si>
    <t>0700</t>
  </si>
  <si>
    <t>1000</t>
  </si>
  <si>
    <t>1100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</si>
  <si>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</si>
  <si>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</si>
  <si>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Иные выплаты персоналу учреждений, за исключением фонда оплаты труда</t>
  </si>
  <si>
    <t>0800</t>
  </si>
  <si>
    <t>Иные выплаты, за исключением фонда оплаты труда учреждений, лицам, привлекаемым согласно законодательству для выполнения отдельных полномочий</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</si>
  <si>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</si>
  <si>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</si>
  <si>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</si>
  <si>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</si>
  <si>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013004Э000</t>
  </si>
  <si>
    <t>0200</t>
  </si>
  <si>
    <t>0900</t>
  </si>
  <si>
    <t>Другие вопросы в области здравоохранения</t>
  </si>
  <si>
    <t>1300</t>
  </si>
  <si>
    <t>МЕЖБЮДЖЕТНЫЕ ТРАНСФЕРТЫ ОБЩЕГО ХАРАКТЕРА БЮДЖЕТАМ БЮДЖЕТНОЙ СИСТЕМЫ РОССИЙСКОЙ ФЕДЕРАЦИИ</t>
  </si>
  <si>
    <t>1400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</si>
  <si>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 в рамках подпрограммы "Переселение граждан из аварийного жилищного фонда"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</si>
  <si>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краевого бюджета, направляемых на долевое финансирование, в рамках подпрограммы "Переселение граждан из аварийного жилищного фонда"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</si>
  <si>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</si>
  <si>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</si>
  <si>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</si>
  <si>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</si>
  <si>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7397</t>
  </si>
  <si>
    <t>Субсидии бюджетам муниципальных образований на организацию отдыха детей в каникулярное время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</si>
  <si>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7412</t>
  </si>
  <si>
    <t>7413</t>
  </si>
  <si>
    <t>25519</t>
  </si>
  <si>
    <t>Субсидия бюджетам на развитие отрасли культуры</t>
  </si>
  <si>
    <t>7492</t>
  </si>
  <si>
    <t>Субсидии бюджетам муниципальных образований на реализацию мероприятий, направленных на повышение безопасности дорожного движения, в рамках подпрограммы «Повышение безопасности дорожного движения» государственной программы Красноярского края «Развитие транспортной системы»</t>
  </si>
  <si>
    <t>7508</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</si>
  <si>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</si>
  <si>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на возмещение части затрат на уплату процентов по кредитам и (или) займам, полученным на развитие малых форм хозяйствования,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</si>
  <si>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7509</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</si>
  <si>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</si>
  <si>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повышение размеров оплаты труда специалистов по работе с молодежью, методистов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</si>
  <si>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</si>
  <si>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</si>
  <si>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19</t>
  </si>
  <si>
    <t>60010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</si>
  <si>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</si>
  <si>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Прочие межбюджетные трансферты, передаваемые бюджетам</t>
  </si>
  <si>
    <t>49999</t>
  </si>
  <si>
    <t>Прочие межбюджетные трансферты, передаваемые бюджетам муниципальных районов</t>
  </si>
  <si>
    <t>17</t>
  </si>
  <si>
    <t>05050</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</si>
  <si>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t>
  </si>
  <si>
    <t>18</t>
  </si>
  <si>
    <t>Доходы бюджетов бюджетной системы Российской Федерации от возврата организациями остатков субсидий прошлых лет</t>
  </si>
  <si>
    <t>Доходы бюджетов муниципальных районов от возврата организациями остатков субсидий прошлых лет</t>
  </si>
  <si>
    <t>дороги с</t>
  </si>
  <si>
    <t>дороги кап</t>
  </si>
  <si>
    <t>пожарка</t>
  </si>
  <si>
    <t>0430080000</t>
  </si>
  <si>
    <t>0420074120</t>
  </si>
  <si>
    <t>814</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</si>
  <si>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</si>
  <si>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</si>
  <si>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Исполнение судебных актов Российской Федерации и мировых соглашений по возмещению причиненного вреда</t>
  </si>
  <si>
    <t>0430000000</t>
  </si>
  <si>
    <t>Администрация Таежнинского сельсовета Богучанского района Красноярского края</t>
  </si>
  <si>
    <t>Межбюджетные трансферты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t>
  </si>
  <si>
    <t>Субсидии бюджетам муниципальных образований на развитие инфраструктуры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</si>
  <si>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7563</t>
  </si>
  <si>
    <t>Субсидии бюджетам муниципальных образований на проведение мероприятий, направленных на обеспечение безопасного участия детей в дорожном движении, в рамках подпрограммы «Повышение безопасности дорожного движения» государственной программы Красноярского края «Развитие транспортной системы»</t>
  </si>
  <si>
    <t>7398</t>
  </si>
  <si>
    <t>Дотации бюджетам на поддержку мер по обеспечению сбалансированности бюджетов</t>
  </si>
  <si>
    <t>15002</t>
  </si>
  <si>
    <t>20051</t>
  </si>
  <si>
    <t>Безвозмездные поступления от негосударственных организаций</t>
  </si>
  <si>
    <t>Безвозмездные поступления от негосударственных организаций в бюджеты муниципальных районов</t>
  </si>
  <si>
    <t>Прочие безвозмездные поступления от негосударственных организаций в бюджеты муниципальных районов</t>
  </si>
  <si>
    <t>05099</t>
  </si>
  <si>
    <t>Отдельные мероприятия в рамках подпрограммы "Профилактика терроризма и экстремизма, а также минимизация и ликвидация последствий его проявлений на территории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</si>
  <si>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Муниципальное казенное учреждение "Муниципальная пожарная часть № 1"</t>
  </si>
  <si>
    <t>Подпрограмма "Профилактика терроризма и экстремизма, а также минимизация и ликвидация последствий его проявлений на территории Богучанского района"</t>
  </si>
  <si>
    <t>государств гарантии</t>
  </si>
  <si>
    <t>Субсидии бюджетам муниципальных образований на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</si>
  <si>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7571</t>
  </si>
  <si>
    <t>9964</t>
  </si>
  <si>
    <t xml:space="preserve">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 </t>
  </si>
  <si>
    <t xml:space="preserve">Персональные выплаты, установленные в целях повышения оплаты труда молодым специалистам, персональные выплаты, устанавливаемые с учетом опыта работы при наличии учетной степени, почетного звания, нагрудного знака (значка), по министерству финансов Красноярского края в рамках непрограммных расходов отдельных органов исполнительной власти </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</si>
  <si>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</si>
  <si>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</si>
  <si>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1021</t>
  </si>
  <si>
    <t>Субсидии бюджетам муниципальных образований края для реализации проектов по благоустройству территорий поселений, городских округов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</si>
  <si>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7741</t>
  </si>
  <si>
    <t>7749</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</si>
  <si>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XXI веке»</t>
  </si>
  <si>
    <t>7454</t>
  </si>
  <si>
    <t>Доходы бюджетов муниципальных районов от возврата иными организациями остатков субсидий прошлых лет(по целевым средствам прошлых лет (ЦСР  5054681, 5054682, 5054683 2012-2013 гг, 023525082 2014год))</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</si>
  <si>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основному платежу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</si>
  <si>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штрафам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</si>
  <si>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пени</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</si>
  <si>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по основному платежу</t>
  </si>
  <si>
    <t>Субсидии бюджетам муниципальных образований для реализации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государственной программы Красноярского края «Развитие инвестиционной деятельности, малого и среднего предпринимательства»</t>
  </si>
  <si>
    <t>7607</t>
  </si>
  <si>
    <t>Подпрограмма "Осуществление градостроительной деятельности в Богучанском районе"</t>
  </si>
  <si>
    <t>1040000000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</si>
  <si>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</si>
  <si>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</si>
  <si>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</si>
  <si>
    <t>Расходы на 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</si>
  <si>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1220080010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</si>
  <si>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</si>
  <si>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</si>
  <si>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</si>
  <si>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</si>
  <si>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</si>
  <si>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</si>
  <si>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</si>
  <si>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</si>
  <si>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</si>
  <si>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</si>
  <si>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</si>
  <si>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</si>
  <si>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</si>
  <si>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01200R0820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</si>
  <si>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</si>
  <si>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</si>
  <si>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выплаты персоналу казенных учреждений</t>
  </si>
  <si>
    <t>2020 год</t>
  </si>
  <si>
    <t>Судебная система</t>
  </si>
  <si>
    <t>0105</t>
  </si>
  <si>
    <t>9040000000</t>
  </si>
  <si>
    <t xml:space="preserve">межбюджетные трансферты на осуществление (возмещение расходов по осуществлению) части полномочий по обеспечению условий для развития на территории сельского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t>
  </si>
  <si>
    <t>Доходы бюджетов муниципальных районов от возврата иными организациями остатков субсидий прошлых лет (по целевым средствам прошлых лет (ЦСР 8160000, 0497578, 0497570, 0490075700, 0460075700)</t>
  </si>
  <si>
    <t>Доходы бюджетов муниципальных районов от возврата иными организациями остатков субсидий прошлых лет(по целевым средствам прошлых лет (ЦСР 8210000, 0497577, 0490075770, 0460075770)</t>
  </si>
  <si>
    <t>Доходы бюджетов муниципальных районов от возврата иными организациями остатков субсидий прошлых лет(по целевым средствам прошлых лет (ЦСР 5210252)</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</si>
  <si>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</si>
  <si>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</si>
  <si>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</si>
  <si>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</si>
  <si>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</si>
  <si>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Всего расходов:</t>
  </si>
  <si>
    <t>Иные закупки товаров, работ и услуг для обеспечения государственных (муниципальных) нужд</t>
  </si>
  <si>
    <t>240</t>
  </si>
  <si>
    <t>Субсидии бюджетным учреждениям</t>
  </si>
  <si>
    <t>610</t>
  </si>
  <si>
    <t>Социальные выплаты гражданам, кроме публичных нормативных социальных выплат</t>
  </si>
  <si>
    <t>Уплата налогов, сборов и иных платежей</t>
  </si>
  <si>
    <t>850</t>
  </si>
  <si>
    <t>Расходы на выплаты персоналу государственных (муниципальных) органов</t>
  </si>
  <si>
    <t>Публичные нормативные социальные выплаты гражданам</t>
  </si>
  <si>
    <t>310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</si>
  <si>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</si>
  <si>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Бюджетные инвестиции</t>
  </si>
  <si>
    <t>Дотации</t>
  </si>
  <si>
    <t>510</t>
  </si>
  <si>
    <t>Исполнение судебных актов</t>
  </si>
  <si>
    <t>Субсидии бюджетам муниципальных образований на создание условий для развития услуг связи в малочисленных и труднодоступных населенных пунктах края в рамках подпрограммы «Инфраструктура информационного общества и электронного правительства» государственной программы Красноярского края «Развитие информационного общества»</t>
  </si>
  <si>
    <t>Субвенции бюджетам муниципальных образований на финансирование расходов по социальному обслуживанию граждан,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9 декабря 2010 года № 11-5397),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</si>
  <si>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образований на 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соответствии с Законом края от 9 декабря 2010 года № 11-5397) в рамках подпрограммы «Социальная поддержка семей, имеющих детей» государственной программы Красноярского края «Развитие системы социальной поддержки граждан»</t>
  </si>
  <si>
    <t>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</si>
  <si>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t>
  </si>
  <si>
    <t>Субвенции бюджетам муниципальных образований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соответствии с Законом края от 21 декабря 2010 года № 11-5582),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</si>
  <si>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</si>
  <si>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</si>
  <si>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</si>
  <si>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соответствии с Законом края от 27 декабря 2005 года № 17-4397)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</si>
  <si>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«Обеспечение общих условий функционирования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</si>
  <si>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</si>
  <si>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образований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</si>
  <si>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</si>
  <si>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</si>
  <si>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t>
  </si>
  <si>
    <t>Субвенции бюджетам муниципальных образований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 в рамках подпрограммы «Энергосбережение и повышение энергетической эффективности в бюджетной сфере края» государственной программы Красноярского края «Энергоэффективность и развитие энергетики»</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</si>
  <si>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</si>
  <si>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(в соответствии с Законом края от 29 ноября 2005 года № 16-4081),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государственной программы Красноярского края «Управление государственными финансами»</t>
  </si>
  <si>
    <t>Субвенции бюджетам муниципальных образований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</si>
  <si>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</si>
  <si>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</si>
  <si>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</si>
  <si>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</si>
  <si>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</si>
  <si>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</si>
  <si>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7649</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</si>
  <si>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</si>
  <si>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35120</t>
  </si>
  <si>
    <t>Доходы бюджетов муниципальных районов от возврата бюджетными учреждениями остатков субсидий прошлых лет средств местного бюджета.</t>
  </si>
  <si>
    <t>Доходы бюджетов муниципальных районов от возврата иными организациями остатков субсидий прошлых лет средств местного бюджета</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</si>
  <si>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содержание автомобильных дорог общего пользования местного значения за счет средств дорожного фонда Красноярского края)</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</si>
  <si>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</si>
  <si>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спортивных школ олимпийского резерва, реализующих программы спортивной подготовки, по министерству финансов Красноярского края в рамках непрограммных расходов отдельных органов исполнительной власти</t>
  </si>
  <si>
    <t>Средства на увеличение размеров оплаты труда работников учреждений культуры, подведомственных муниципальным органам управления в области культуры, по министерству финансов Красноярского края в рамках непрограммных расходов отдельных органов исполнительной власти</t>
  </si>
  <si>
    <t xml:space="preserve">Решение районного Совета депутатов от 16.03.2017г. № 14/1-98 «Об утверждении Порядка назначения  перерасчета размера  и выплаты  пенсии за выслугу лет  лицам замещавшим должности   муниципальной службы в муниципальном образовании Богучанский район, и порядка  введения сводного  реестра  лиц,  являющихся получателями пенсии за выслугу лет выплачиваемой  за счет средств  районного бюджета" 
</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</si>
  <si>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</si>
  <si>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</si>
  <si>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</si>
  <si>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</si>
  <si>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Расходы на приобретение основных средств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</si>
  <si>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071008Ф020</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</si>
  <si>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</si>
  <si>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</si>
  <si>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</si>
  <si>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</si>
  <si>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Поддержка отрасли культуры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</si>
  <si>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</si>
  <si>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Возврат остатков субвенций на содействие достижению целевых показателей региональных программ развития агропромышленного комплекса из бюджетов муниципальных районов</t>
  </si>
  <si>
    <t>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t>
  </si>
  <si>
    <t>1048</t>
  </si>
  <si>
    <t>Средства на увеличение размеров оплаты труда педагогических работников муниципальных учреждений дополнительного образования, реализующих прграммы дополнительного образования детей, и непросредственно осуществляющих тренировочный процесс работников муниципальных спортивных школЖ спортивных школ олимпийского резерва, реализующих программы спортивной подготовки, по министерству финансов Красноярского края в рамках непрограммных расходов отдельных органов исполнительной власти</t>
  </si>
  <si>
    <t>1049</t>
  </si>
  <si>
    <t>Средства на увеличение размеров оплаты труда работников учреждений культуры, подведомственных муниципальным органам управления в области культуры, по министерству финансов Красноярского края в рамках непрогаммных расходов отдельных органов исполнительной власти</t>
  </si>
  <si>
    <t>9009</t>
  </si>
  <si>
    <t>1 13 02995 05 9963 130</t>
  </si>
  <si>
    <t>Прочие доходы от компенсации затрат бюджетов муниципальных районов</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</si>
  <si>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муниципальных районов</t>
  </si>
  <si>
    <t>02990</t>
  </si>
  <si>
    <t>02995</t>
  </si>
  <si>
    <t>Прочая закупка товаров, работ и услуг</t>
  </si>
  <si>
    <t>Расходы на приобретение основных средств в рамках непрограммных расходов органов местного самоуправления</t>
  </si>
  <si>
    <t>802006Ф000</t>
  </si>
  <si>
    <t>Софинансирование за счет средст местного бюджета расходов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</si>
  <si>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</si>
  <si>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</si>
  <si>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</si>
  <si>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Софинансирование за счет средств местного бюджета на содержание автомобильных дорог общего пользования местного значения в рамках подпрограммы "Дороги Богучанского района" муниципальной программы "Развитие транспортной системы Богучанского района"</t>
  </si>
  <si>
    <t>09100S5080</t>
  </si>
  <si>
    <t>Социальное обслуживание населения</t>
  </si>
  <si>
    <t>1002</t>
  </si>
  <si>
    <t>Физическая культура</t>
  </si>
  <si>
    <t>1101</t>
  </si>
  <si>
    <t xml:space="preserve">Администрация Чуноярского сельсовета </t>
  </si>
  <si>
    <t>1 16 33050 05 0000 140</t>
  </si>
  <si>
    <t xml:space="preserve">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t>
  </si>
  <si>
    <t>9943</t>
  </si>
  <si>
    <t>Софинансирование за счет средств местного бюджета расходов на строительство (реконструкцию) объектов размещения отходов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</si>
  <si>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</si>
  <si>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образований на предоставление социальных выплат молодым семьям на приобретение (строительство) жилья</t>
  </si>
  <si>
    <t>25497</t>
  </si>
  <si>
    <t>ОХРАНА ОКРУЖАЮЩЕЙ СРЕДЫ</t>
  </si>
  <si>
    <t>0600</t>
  </si>
  <si>
    <t>Другие вопросы в области охраны окружающей среды</t>
  </si>
  <si>
    <t>0605</t>
  </si>
  <si>
    <t>03600S4940</t>
  </si>
  <si>
    <t>Бюджетные инвестиции в объекты капитального строительства государственной (муниципальной) собственности</t>
  </si>
  <si>
    <t>414</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</si>
  <si>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</si>
  <si>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</si>
  <si>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06300L4970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</si>
  <si>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</si>
  <si>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t>
  </si>
  <si>
    <t>Субсидии бюджетам муниципальных образований на строительство (реконструкцию) объектов размещения отходов в рамках подпрограммы «Обращение с отходами» государственной программы Красноярского края «Охрана окружающей среды, воспроизводство природных ресурсов»</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</si>
  <si>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</si>
  <si>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25467</t>
  </si>
  <si>
    <t>7494</t>
  </si>
  <si>
    <t>Плата за размещение отходов производства</t>
  </si>
  <si>
    <t>01041</t>
  </si>
  <si>
    <t>Администрация Невонского  сельсовета</t>
  </si>
  <si>
    <t>Ведомственная 19-20 год</t>
  </si>
  <si>
    <t>Функц разрез 19-20 год</t>
  </si>
  <si>
    <t>ЦСР 19-20 год</t>
  </si>
  <si>
    <t xml:space="preserve">Муниципальное казенное учреждение "МПЧ №1" </t>
  </si>
  <si>
    <t xml:space="preserve">Управление образования администрации Богучанского района Красноярского края </t>
  </si>
  <si>
    <t xml:space="preserve">Управление муниципальной собственностью Богучанского района </t>
  </si>
  <si>
    <t xml:space="preserve">Администрация Богучанского района </t>
  </si>
  <si>
    <t>Муниципальная программа "Развитие инвестиционной деятельности, малого и среднего предпринимательства на территории Богучанского района"</t>
  </si>
  <si>
    <t>1 13 02995 05 0000 130</t>
  </si>
  <si>
    <t>Средства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</si>
  <si>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МУНИЦ ЗП</t>
  </si>
  <si>
    <t>Администрация Белякинского сельского совета</t>
  </si>
  <si>
    <t>Администрация Богучанского сельского совета</t>
  </si>
  <si>
    <t>Администрация Осиновомысского  сельсовета</t>
  </si>
  <si>
    <t>Администрация Таежнинского  сельсовета</t>
  </si>
  <si>
    <t>Субсидии бюджетам муниципальных образований края, расположенных в районах Крайнего Севера и приравненных к ним местностях с ограниченными сроками завоза грузов, на финансирование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2018 год,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t>
  </si>
  <si>
    <t>2021 год</t>
  </si>
  <si>
    <t xml:space="preserve">Денежные взыскания (штрафы) за административные правонарушения в области государственного регулирования производства и оборота табачной продукции
</t>
  </si>
  <si>
    <t>08020</t>
  </si>
  <si>
    <t>Денежные взыскания (штрафы) за нарушение лесного законодательства</t>
  </si>
  <si>
    <t>25070</t>
  </si>
  <si>
    <t>Денежные взыскания (штрафы) за нарушение лесного законодательства на лесных участках, находящихся в собственности муниципальных районов</t>
  </si>
  <si>
    <t>25074</t>
  </si>
  <si>
    <t>Денежные взыскания (штрафы) за нарушение водного законодательства</t>
  </si>
  <si>
    <t>25080</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</si>
  <si>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t>
  </si>
  <si>
    <t>25085</t>
  </si>
  <si>
    <t>150</t>
  </si>
  <si>
    <t>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</si>
  <si>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</si>
  <si>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 в рамках подпрограммы «Энергоэффективность и развитие энергетики»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</si>
  <si>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</si>
  <si>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1 14 02053 05 1000 440</t>
  </si>
  <si>
    <t>2 18 60010 05 0000 150</t>
  </si>
  <si>
    <t>2 18 60010 05 7514 150</t>
  </si>
  <si>
    <t>2 18 60010 05 7412 150</t>
  </si>
  <si>
    <t>2 18 60010 05 7508 150</t>
  </si>
  <si>
    <t>2 18 60010 05 7509 150</t>
  </si>
  <si>
    <t>2 19 25020 05 0000 150</t>
  </si>
  <si>
    <t>2 19 25097 05 0000 150</t>
  </si>
  <si>
    <t>2 19 25064 05 0000 150</t>
  </si>
  <si>
    <t>2 19 35118 05 0000 150</t>
  </si>
  <si>
    <t>2 19 35543 05 0000 150</t>
  </si>
  <si>
    <t>2 19 60010 05 0000 150</t>
  </si>
  <si>
    <t>2 19 60010 05 9911 150</t>
  </si>
  <si>
    <t>2 02 15001 05 2711 150</t>
  </si>
  <si>
    <t>2 02 15002 05 0000 150</t>
  </si>
  <si>
    <t xml:space="preserve"> 2 02 20299 05 0000 150</t>
  </si>
  <si>
    <t>2 02 20302 05 0000 150</t>
  </si>
  <si>
    <t>2 02 25097 05 0000 150</t>
  </si>
  <si>
    <t>2 02 25467 05 0000 150</t>
  </si>
  <si>
    <t>2 02 25497 05 0000 150</t>
  </si>
  <si>
    <t>2 02 25519 05 0000 150</t>
  </si>
  <si>
    <t>2 02 29999 05 1021 150</t>
  </si>
  <si>
    <t>2 02 29999 05 1031 150</t>
  </si>
  <si>
    <t>2 02 29999 05 1040 150</t>
  </si>
  <si>
    <t>2 02 29999 05 1043 150</t>
  </si>
  <si>
    <t>2 02 29999 05 1048 150</t>
  </si>
  <si>
    <t>2 02 29999 05 1049 150</t>
  </si>
  <si>
    <t>2 02 29999 05 2654 150</t>
  </si>
  <si>
    <t>2 02 29999 05 7397 150</t>
  </si>
  <si>
    <t>2 02 29999 05 7398 150</t>
  </si>
  <si>
    <t>2 02 29999 05 7412 150</t>
  </si>
  <si>
    <t>2 02 29999 05 7413 150</t>
  </si>
  <si>
    <t>2 02 29999 05 7418 150</t>
  </si>
  <si>
    <t>2 02 29999 05 7456 150</t>
  </si>
  <si>
    <t>2 02 29999 05 7466 150</t>
  </si>
  <si>
    <t>2 02 29999 05 7492 150</t>
  </si>
  <si>
    <t>2 02 29999 05 7494 150</t>
  </si>
  <si>
    <t>2 02 29999 05 7508 150</t>
  </si>
  <si>
    <t>2 02 29999 05 7509 150</t>
  </si>
  <si>
    <t>2 02 29999 05 7555 150</t>
  </si>
  <si>
    <t>2 02 29999 05 7563 150</t>
  </si>
  <si>
    <t>2 02 29999 05 7571 150</t>
  </si>
  <si>
    <t>2 02 29999 05 7580 150</t>
  </si>
  <si>
    <t>2 02 29999 05 7607 150</t>
  </si>
  <si>
    <t>2 02 29999 05 7645 150</t>
  </si>
  <si>
    <t>2 02 29999 05 7741 150</t>
  </si>
  <si>
    <t>2 02 29999 05 7749 150</t>
  </si>
  <si>
    <t>2 02 29999 05 7840 150</t>
  </si>
  <si>
    <t>2 02 30024 05 0151 150</t>
  </si>
  <si>
    <t>2 02 30024 05 0640 150</t>
  </si>
  <si>
    <t xml:space="preserve"> 2 02 30024 05 7408 150</t>
  </si>
  <si>
    <t xml:space="preserve"> 2 02 30024 05 7409 150</t>
  </si>
  <si>
    <t>2 02 30024 05 7429 150</t>
  </si>
  <si>
    <t>2 02 30024 05 7467 150</t>
  </si>
  <si>
    <t>2 02 30024 05 7513 150</t>
  </si>
  <si>
    <t>2 02 30024 05 7514 150</t>
  </si>
  <si>
    <t>2 02 30024 05 7517 150</t>
  </si>
  <si>
    <t>2 02 30024 05 7518 150</t>
  </si>
  <si>
    <t>2 02 30024 05 7519 150</t>
  </si>
  <si>
    <t>2 02 30024 05 7552 150</t>
  </si>
  <si>
    <t>2 02 30024 05 7554 150</t>
  </si>
  <si>
    <t>2 02 30024 05 7564 150</t>
  </si>
  <si>
    <t>2 02 30024 05 7566 150</t>
  </si>
  <si>
    <t>2 02 30024 05 7570 150</t>
  </si>
  <si>
    <t>2 02 30024 05 7577 150</t>
  </si>
  <si>
    <t>2 02 30024 05 7588 150</t>
  </si>
  <si>
    <t>2 02 30024 05 7601 150</t>
  </si>
  <si>
    <t xml:space="preserve"> 2 02 30024 05 7604 150</t>
  </si>
  <si>
    <t xml:space="preserve"> 2 02 30024 05 7649 150</t>
  </si>
  <si>
    <t>2 02 30029 05 0000 150</t>
  </si>
  <si>
    <t>2 02 35082 05 0000 150</t>
  </si>
  <si>
    <t>2 02 35120 05 0000 150</t>
  </si>
  <si>
    <t>2 02 35118 05 0000 150</t>
  </si>
  <si>
    <t>2 02 35543 05 0000 150</t>
  </si>
  <si>
    <t>2 02 40014 05 0000 150</t>
  </si>
  <si>
    <t>2 02 49999 05 7745 150</t>
  </si>
  <si>
    <t>2 02 90024 05 0000 150</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</si>
  <si>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</si>
  <si>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 в рамках подпрограммы «Поддержка муниципальных проектов по благоустройству территорий и вопросов местного значения» государственной программы Красноярского края «Содействие развитию местного самоуправления»</t>
  </si>
  <si>
    <t>Субсидии бюджетам муниципальных образований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 в рамках подпрограммы «Стимулирование жилищного строительства»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</si>
  <si>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районов и городских округов Красноярского края на поддержку 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</si>
  <si>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Субсидии бюджетам муниципальных образований Красноярского края на развитие детско-юношеского спорта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</si>
  <si>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2 02 30024 05 2438 150</t>
  </si>
  <si>
    <t>2 02 49999 05 9009 150</t>
  </si>
  <si>
    <t>Прочие межбюджетные трансферты, зачисляемые в бюджеты муниципальных районов, из бюджетов поселений за счет собственных средств</t>
  </si>
  <si>
    <t>2 19 35120 05 0000 150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</si>
  <si>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муниципальных районов</t>
  </si>
  <si>
    <t>Постановление администрации Богучанского района   от 14.09.2018г. № 926 -п «Об утверждении Положения о выплате ежемесячной  стипендии одаренным детям»</t>
  </si>
  <si>
    <t>Функционирование высшего должностного лица субъекта Российской Федерации и муниципального образования</t>
  </si>
  <si>
    <t>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 в рамках подпрограммы "Поддержка малых форм хозяйствования" муниципальной программы "Развитие сельского хозяйства в Богучанском районе"</t>
  </si>
  <si>
    <t>1210024380</t>
  </si>
  <si>
    <t>Гранты юридическим лицам (кроме некоммерческих организаций), индивидуальным предпринимателям</t>
  </si>
  <si>
    <t>Расходы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</si>
  <si>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</si>
  <si>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</si>
  <si>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</si>
  <si>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</si>
  <si>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0340000000</t>
  </si>
  <si>
    <t>Расходы на отдельные мероприятия за счет средств от доходов по подвозу воды населению,предприятиям, организациям,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</si>
  <si>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0320080090</t>
  </si>
  <si>
    <t>Расходы на оплату стоимости проезда в отпуск в соответствии с законодательством, за счет средств от доходов по подвозу воды населению,предприятиям, организациям,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</si>
  <si>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0320087090</t>
  </si>
  <si>
    <t>Расходы на оплату ЖКУ за исключением электроэнергии, за счет средств от доходов по подвозу воды населению,предприятиям, организациям,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</si>
  <si>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032008Г090</t>
  </si>
  <si>
    <t>Условно утвержденные расходы</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</si>
  <si>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</si>
  <si>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</si>
  <si>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200</t>
  </si>
  <si>
    <t>Иные бюджетные ассигнования</t>
  </si>
  <si>
    <t>800</t>
  </si>
  <si>
    <t>Социальное обеспечение и иные выплаты населению</t>
  </si>
  <si>
    <t>300</t>
  </si>
  <si>
    <t>Капитальные вложения в объекты государственной (муниципальной) собственности</t>
  </si>
  <si>
    <t>400</t>
  </si>
  <si>
    <t>Предоставление субсидий бюджетным, автономным учреждениям и иным некоммерческим организациям</t>
  </si>
  <si>
    <t>600</t>
  </si>
  <si>
    <t>Межбюджетные трансферты</t>
  </si>
  <si>
    <t>500</t>
  </si>
  <si>
    <t>Обслуживание государственного (муниципального) долга</t>
  </si>
  <si>
    <t>700</t>
  </si>
  <si>
    <t>Раздел Подраздел</t>
  </si>
  <si>
    <t>Код ведомства</t>
  </si>
  <si>
    <t>Целевая статья</t>
  </si>
  <si>
    <t>Вид расходов</t>
  </si>
  <si>
    <t>Наименование главных распорядителей и наименование показателей бюджетной классификации</t>
  </si>
  <si>
    <t>Наименование показателя бюджетной классификации</t>
  </si>
  <si>
    <t>Раздел подраздел</t>
  </si>
  <si>
    <t xml:space="preserve"> </t>
  </si>
  <si>
    <t>Подпрограмма ""Чистая вода" на территории муниципального образования Богучанский район"</t>
  </si>
  <si>
    <t>0370000000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</si>
  <si>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</si>
  <si>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</si>
  <si>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</si>
  <si>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</si>
  <si>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</si>
  <si>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</si>
  <si>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</si>
  <si>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11200Ч0070</t>
  </si>
  <si>
    <t>межбюджетные трансферты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t>
  </si>
  <si>
    <t>2  04 05099 05 9904 150</t>
  </si>
  <si>
    <t>2 07 05020 05 9904 150</t>
  </si>
  <si>
    <t>2 07 05030 05 9903 150</t>
  </si>
  <si>
    <t>2 07 05030 05 9904 150</t>
  </si>
  <si>
    <t>2 07 05030 05 9907 150</t>
  </si>
  <si>
    <t>2 18 05030 05 9009 150</t>
  </si>
  <si>
    <t>2 18 05030 05 9963 150</t>
  </si>
  <si>
    <t>2 18 05030 05 9964 150</t>
  </si>
  <si>
    <t>2 18 05030 05 9972 150</t>
  </si>
  <si>
    <t>2 18 05030 05 9933 150</t>
  </si>
  <si>
    <t>2 18 05030 05 9934 150</t>
  </si>
  <si>
    <t>2 18 05030 05 9935 150</t>
  </si>
  <si>
    <t>2 18 05030 05 9936 150</t>
  </si>
  <si>
    <t>2 18 05030 05 9937 150</t>
  </si>
  <si>
    <t>2 18 05030 05 9938 150</t>
  </si>
  <si>
    <t>2 18 05030 05 9939 150</t>
  </si>
  <si>
    <t>2 18 05030 05 9940 150</t>
  </si>
  <si>
    <t>2 18 05030 05 9941 150</t>
  </si>
  <si>
    <t>2 18 05030 05 9942 150</t>
  </si>
  <si>
    <t>2 18 05030 05 9943 150</t>
  </si>
  <si>
    <t>2 18 05030 05 9944 150</t>
  </si>
  <si>
    <t>2 18 05030 05 9945 150</t>
  </si>
  <si>
    <t>2 18 05030 05 9946 150</t>
  </si>
  <si>
    <t>2 18 05030 05 9947 150</t>
  </si>
  <si>
    <t>2 18 05030 05 9948 150</t>
  </si>
  <si>
    <t>2 18 05030 05 9949 150</t>
  </si>
  <si>
    <t>2 18 05030 05 9982 150</t>
  </si>
  <si>
    <t>2 18 05030 05 9983 150</t>
  </si>
  <si>
    <t>2 18 05030 05 9984 150</t>
  </si>
  <si>
    <t>2 18 05030 05 9985 150</t>
  </si>
  <si>
    <t>2 18 05030 05 9986 150</t>
  </si>
  <si>
    <t>2 07 05020 05 9902 150</t>
  </si>
  <si>
    <t>2 07 05030 05 9902 150</t>
  </si>
  <si>
    <t>2 18 05010 05 9009 150</t>
  </si>
  <si>
    <t>2 18 05010 05 9975 150</t>
  </si>
  <si>
    <t>2 18 05030 05 9967 150</t>
  </si>
  <si>
    <t>2 18 05030 05 9954 150</t>
  </si>
  <si>
    <t>2 18 05030 05 9955 150</t>
  </si>
  <si>
    <t>2 18 05030 05 9956 150</t>
  </si>
  <si>
    <t>2 18 05030 05 9957 150</t>
  </si>
  <si>
    <t>2 18 05010 05 9954 150</t>
  </si>
  <si>
    <t>2 08 05000 05 0000 150</t>
  </si>
  <si>
    <t xml:space="preserve">2 18 35118 05 0000 150 </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</si>
  <si>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</si>
  <si>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Предоставление субсидий бюджетным учреждениям на отдельные мероприятия в в рамках подпрограммы "Культурное наследие" муниципальной программы Богучанского района "Развитие культуры"</t>
  </si>
  <si>
    <t>0510080020</t>
  </si>
  <si>
    <t>Государственная поддержка отрасли культуры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</si>
  <si>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</si>
  <si>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7488</t>
  </si>
  <si>
    <t>Субвенции бюджетам муниципальных образований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</si>
  <si>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1 13 02995 05 9906 130</t>
  </si>
  <si>
    <t>Прочие доходы от компенсации затрат бюджетов муниципальных районов (возмещение расходов на выплату страхового обеспечения)</t>
  </si>
  <si>
    <t>рег выплаты</t>
  </si>
  <si>
    <t>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</si>
  <si>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0410074130</t>
  </si>
  <si>
    <t>Софинансирование за счет средств местного бюджета расходов на содержание единых дежурно-диспетчерских служб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</si>
  <si>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04100S4130</t>
  </si>
  <si>
    <t>Средства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</si>
  <si>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Расходы на строительство (реконструкцию) объектов размещения отходов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</si>
  <si>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0360074940</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</si>
  <si>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спортивных школ олимпийского резерва, реализующих программы спортивной подготовки,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</si>
  <si>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0530010480</t>
  </si>
  <si>
    <t>Средства на увеличение размеров оплаты труда работников учреждений культуры, подведомственных муниципальным органам управления в области культуры, в рамках подпрограммы "Культурное наследие" муниципальной программы Богучанского района "Развитие культуры"</t>
  </si>
  <si>
    <t>0510010490</t>
  </si>
  <si>
    <t>Средства на увеличение размеров оплаты труда работников учреждений культуры, подведомственных муниципальным органам управления в области культуры, в рамках подпрограммы "Искусство и народное творчество" муниципальной программы Богучанского района "Развитие культуры"</t>
  </si>
  <si>
    <t>0520010490</t>
  </si>
  <si>
    <t>Приобретение основных средств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</si>
  <si>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092008Ф000</t>
  </si>
  <si>
    <t>Исполнение судебных решений в рамках непрограммных расходов органов местного самоуправления</t>
  </si>
  <si>
    <t>9090080010</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</si>
  <si>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</si>
  <si>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0120075870</t>
  </si>
  <si>
    <t>Расходы на приобретение основных средств в подведомственных учреждениях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</si>
  <si>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011004Ф000</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</si>
  <si>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спортивных школ олимпийского резерва, реализующих программы спортивной подготовки,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</si>
  <si>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0110010480</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</si>
  <si>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</si>
  <si>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</si>
  <si>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Расходы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за счет средств от доходов по подвозу воды населению,предприятиям, организациям,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</si>
  <si>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0320081090</t>
  </si>
  <si>
    <t>111F255550</t>
  </si>
  <si>
    <t>Администрация Таежинского сельсовета</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</si>
  <si>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</si>
  <si>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25555</t>
  </si>
  <si>
    <t>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</si>
  <si>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2 02 25555 05 0000 150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</si>
  <si>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</si>
  <si>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</si>
  <si>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071P552280</t>
  </si>
  <si>
    <t>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</si>
  <si>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0910075090</t>
  </si>
  <si>
    <t>Межбюджетные трансферты на софинансирование на формирование современной городской среды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</si>
  <si>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Предоставление субсидий бюджетным учреждениям на отдельные мероприятия за счет спонсорских средств, средств добровольных пожертвований в рамках подпрограммы "Культурное наследие" муниципальной программы Богучанского района "Развитие культуры"</t>
  </si>
  <si>
    <t>0510083020</t>
  </si>
  <si>
    <t>2 02 29999 05 7553 150</t>
  </si>
  <si>
    <t>Субсидии бюджетам муниципальных образований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</si>
  <si>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2 02 29999 05 1039 150</t>
  </si>
  <si>
    <t>7553</t>
  </si>
  <si>
    <t>1039</t>
  </si>
  <si>
    <t>2 02 49999 05 5519 150</t>
  </si>
  <si>
    <t>Предоставление иных межбюджетных трансфертов бюджетам муниципальных образований на поддержку отрасли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</si>
  <si>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2 02 25228 05 0000 150</t>
  </si>
  <si>
    <t>Субсидия бюджетам муниципальных районов Красноярского края на оснащение объектов спортивной инфраструктуры спортивно-технологическим оборудованием</t>
  </si>
  <si>
    <t>2 02 29999 05 7449 150</t>
  </si>
  <si>
    <t>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</si>
  <si>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2 02 30024 05 7587 150</t>
  </si>
  <si>
    <t>2 02 29999 05 7481 150</t>
  </si>
  <si>
    <t>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«Поддержка искусства и народного творчества» государственной программы Красноярского края «Развитие культуры и туризма»</t>
  </si>
  <si>
    <t>25228</t>
  </si>
  <si>
    <t>Субсидии бюджетам муниципальных образований на реализацию мероприятий по оснащению объектов спортивной инфраструктуры спортивно-технологическим оборудованием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</si>
  <si>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7449</t>
  </si>
  <si>
    <t>7481</t>
  </si>
  <si>
    <t>1031</t>
  </si>
  <si>
    <t>Персональные выплаты, устанавливаемые в целях повышения оплаты труда молодым специалистам, персональные выплаты, устанавливаемые с учётом опыта работы при наличии учёной степени, почётного звания, нагрудного знака (значка), по министерству финансов Красноярского края в рамках непрограммных расходов отдельных органов исполнительной власти</t>
  </si>
  <si>
    <t>Администрация Хребтовского  сельсовета</t>
  </si>
  <si>
    <t>Средства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в рамках непрограммных расходов органов местного самоуправления</t>
  </si>
  <si>
    <t>Подпрограмма "Профилактика терроризма, а так же минимизации и ликвидации последствий его проявлений на территории Богучанского района"</t>
  </si>
  <si>
    <t>Отдельные мероприятия в рамках подпрограммы "Профилактика терроризма, а так же минимизации и ликвидации последствий его проявлений на территории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</si>
  <si>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</si>
  <si>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Софинансирование за счет средств местного бюджета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</si>
  <si>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08100S6070</t>
  </si>
  <si>
    <t>Средства на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</si>
  <si>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0350075710</t>
  </si>
  <si>
    <t>Софинансирование за счет средств местного бюджета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</si>
  <si>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03500S5710</t>
  </si>
  <si>
    <t>Муниципальная программа "Развитие физической культуры и спорта в Богучанском районе"</t>
  </si>
  <si>
    <t>Софинансирование расходов по оснащению объектов спортивной инфраструктуры спортивно-технологическим оборудованием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</si>
  <si>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Муниципальное казенное учреждение "Управление культуры, физической культуры, спорта и молодежной политики Богучанского района"</t>
  </si>
  <si>
    <t>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</si>
  <si>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0530074490</t>
  </si>
  <si>
    <t>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</si>
  <si>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0530074810</t>
  </si>
  <si>
    <t>Софинансирование за счет средств местного бюжета расходов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</si>
  <si>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05300S4490</t>
  </si>
  <si>
    <t>Софинансирование за счет средств местного бюджета расходов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</si>
  <si>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05300S4810</t>
  </si>
  <si>
    <t>Предоставление субсидий бюджетным учреждениям на приобретение основных средств в рамках подпрограммы "Обеспечение реализации муниципальной программы и прочие мероприятия" муниципальной программы "Молодежь Приангарья"</t>
  </si>
  <si>
    <t>06400Ф0000</t>
  </si>
  <si>
    <t>Софинансирование расходов на поддержку отрасли культуры в рамках подпрограммы "Культурное наследие" муниципальной программы Богучанского района "Развитие культуры"</t>
  </si>
  <si>
    <t>05100L5190</t>
  </si>
  <si>
    <t>Предоставление субсидий бюджетным учреждениям на проведение работ в учреждениях культуры с целью устранения предписаний надзорных органов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</si>
  <si>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0530080050</t>
  </si>
  <si>
    <t>Софинансирование на 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условий реализации государственной программы и прочие мероприятия» муниципальной программы Богучанского района "Развитие культуры"</t>
  </si>
  <si>
    <t>05300L4670</t>
  </si>
  <si>
    <t>Поддержка отрасли культуры (поддержка лучших сельских учреждений культуры) в рамках подпрограммы «Обеспечение условий реализации государственной программы и прочие мероприятия» муниципальной программы Богучанского района "Развитие культуры"</t>
  </si>
  <si>
    <t>05300L5190</t>
  </si>
  <si>
    <t>Софинансирование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</si>
  <si>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На развитие инфраструктуры общеобразовательных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</si>
  <si>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0110075630</t>
  </si>
  <si>
    <t>Софинансирование за счет средств местного бюджета расходов на развитие инфраструктуры общеобразовательных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</si>
  <si>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</si>
  <si>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</si>
  <si>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093R373980</t>
  </si>
  <si>
    <t>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</si>
  <si>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0110075530</t>
  </si>
  <si>
    <t>Расходы на приобретение основных средств в подведомственных учреждениях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</si>
  <si>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013004Ф000</t>
  </si>
  <si>
    <t>Расходы на приобретение основных средств за счет средств от доходов по подвозу воды населению,предприятиям, организациям,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</si>
  <si>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032008Ф090</t>
  </si>
  <si>
    <t>Муниципальная программа Богучанского района "Управление муниципальными финансами"</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</si>
  <si>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</si>
  <si>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Межбюджетные трансферты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</si>
  <si>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Межбюджетные трансферты для реализации проектов по решению вопросов местного значения сельских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</si>
  <si>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1110077490</t>
  </si>
  <si>
    <t>Расходы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</si>
  <si>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Софинансирование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</si>
  <si>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Межбюджетные трансферты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</si>
  <si>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093R374920</t>
  </si>
  <si>
    <t>Межбюджетные трансферты на софинансирование муниципальных программ формирования современной городской среды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</si>
  <si>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1030000000</t>
  </si>
  <si>
    <t>8020010390</t>
  </si>
  <si>
    <t>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</si>
  <si>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0620074540</t>
  </si>
  <si>
    <t>Отдельные мероприятия в рамках подпрограммы "Обеспечение реализации муниципальной программы и прочие мероприятия" муниципальной программы "Молодежь Приангарья"</t>
  </si>
  <si>
    <t>0640080000</t>
  </si>
  <si>
    <t>2 02 29999 05 7463 150</t>
  </si>
  <si>
    <t>Субсидии бюджетам муниципальных образований на организацию (строительство) мест (площадок) накопления отходов потребления и приобретение контейнерного оборудования в рамках подпрограммы «Обращение с отходами» государственной программы Красноярского края «Охрана окружающей среды, воспроизводство природных ресурсов»</t>
  </si>
  <si>
    <t>7463</t>
  </si>
  <si>
    <t>Межбюджетные трансферты на организацию (строительство) мест (площадок) накопления отходов потребления и приобретение контейнерного оборудования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повышения энергетической эффективности"</t>
  </si>
  <si>
    <t>0360074630</t>
  </si>
  <si>
    <t>2 02 29999 05 7454 150</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</si>
  <si>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ХХI веке"</t>
  </si>
  <si>
    <t>2 02 29999 05 2650 150</t>
  </si>
  <si>
    <t>Выполнение требований федеральных стандартов спортивной подготовки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</si>
  <si>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2650</t>
  </si>
  <si>
    <t>7745</t>
  </si>
  <si>
    <t>Ангарский с/с</t>
  </si>
  <si>
    <t>Артюгинский с/с</t>
  </si>
  <si>
    <t>Белякинский с/с</t>
  </si>
  <si>
    <t>Богучанский с/с</t>
  </si>
  <si>
    <t>Говорковский с/с</t>
  </si>
  <si>
    <t>Красногорьевский с/с</t>
  </si>
  <si>
    <t>Манзенский с/с</t>
  </si>
  <si>
    <t>Невонский с/с</t>
  </si>
  <si>
    <t>Нижнетерянский с/с</t>
  </si>
  <si>
    <t>Новохайский с/с</t>
  </si>
  <si>
    <t>Октябрьский с/с</t>
  </si>
  <si>
    <t>Осиновомысскийс/с</t>
  </si>
  <si>
    <t>Пинчугский с/с</t>
  </si>
  <si>
    <t>Таежнинский с/с</t>
  </si>
  <si>
    <t>Такучетский с/с</t>
  </si>
  <si>
    <t>Хребтовский с/с</t>
  </si>
  <si>
    <t>Чуноярский с/с</t>
  </si>
  <si>
    <t>Шиверский с/с</t>
  </si>
  <si>
    <t>налоговый  потенциал</t>
  </si>
  <si>
    <t xml:space="preserve">капитальный ремонт  сцены  МБУК БМ РДК "Янтарь"  с.Богучаны </t>
  </si>
  <si>
    <t>капитальный ремонт кровли сельский клуб с.Карабула</t>
  </si>
  <si>
    <t>капитальный ремонт по замене покрытия кровли здания МКДОУ "Солнышко"</t>
  </si>
  <si>
    <t>Межбюджетные трансферты, передаваемые бюджетам на поддержку отрасли культуры</t>
  </si>
  <si>
    <t>45519</t>
  </si>
  <si>
    <t>Межбюджетные трансферты на поддержку отрасли культуры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</si>
  <si>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2 02 45519 05 0000 150</t>
  </si>
  <si>
    <t>Расходы на приобретение основных средств муниципального казенного учреждения в рамках непрограммных расходов</t>
  </si>
  <si>
    <t>Расходы на приобретение основных средств по отдельным мероприятиям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</si>
  <si>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Софинансирование расходов, направленных за содействие развитию налогового потенциала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</si>
  <si>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Софинансирование расходов за содействие развитию налогового потенциала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</si>
  <si>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требований федеральных стандартов спортивной подготовки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</si>
  <si>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907004Ф000</t>
  </si>
  <si>
    <t>035008Ф000</t>
  </si>
  <si>
    <t>05300S7450</t>
  </si>
  <si>
    <t>01100S7450</t>
  </si>
  <si>
    <t>07100S6500</t>
  </si>
  <si>
    <t>Средства на повышение с 1 октября 2019 года размеров оплаты труда водителей автобусов, осуществляющих перевозку обучающихся, в муниципальных учреждениях и работников, относящихся к отдельным должностям (профессиям) работников (рабочих) культуры, в муниципальных образовательных учреждениях, по министерству финансов Красноярского края в рамках непрограммных расходов отдельных органов исполнительной власти</t>
  </si>
  <si>
    <t>Средства на повышение с 1 октября 2019 года на 4,3 процента заработной платы работников бюджетной сферы Красноярского края за исключением заработной платы отдельных категорий работников, увеличение оплаты труда которых осуществляется в соответствии с указами Президента Российской Федерации, предусматривающими мероприятия по повышению заработной платы, а также в связи с увеличением региональных выплат и (или)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</si>
  <si>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2 02 29999 05 1037 150</t>
  </si>
  <si>
    <t>2 02 29999 05 1038 150</t>
  </si>
  <si>
    <t>2 02 29999 05 1023 150</t>
  </si>
  <si>
    <t>Межбюджетные трансферты, передаваемые бюджетам муниципальных районов на поддержку отрасли культуры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</si>
  <si>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2 02 29999 05 7488 150</t>
  </si>
  <si>
    <t>1038</t>
  </si>
  <si>
    <t>1037</t>
  </si>
  <si>
    <t>Средства на повышение с 1 октября 2019 года размеров оплаты труда водителей автобусов, осуществляющих перевозку обучающихся, в муниципальных учреждениях и работников, относящихся к отдельным должностям (профессиям) работников (рабочих) культуры, в муниципальных образовательных учреждениях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</si>
  <si>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0530010370</t>
  </si>
  <si>
    <t>Средства на повышение с 1 октября 2019 года размеров оплаты труда водителей автобусов, осуществляющих перевозку обучающихся, в муниципальных учреждениях и работников, относящихся к отдельным должностям (профессиям) работников (рабочих) культуры, в муниципальных образовательных учреждениях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</si>
  <si>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0110010370</t>
  </si>
  <si>
    <t>Расходы на приобретение основных средств в рамках отдельных мероприятий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</si>
  <si>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011008Ф000</t>
  </si>
  <si>
    <t>Расходы на развитие системы образования Богучанского района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</si>
  <si>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0130080020</t>
  </si>
  <si>
    <t>2 02 29999 05 7511 150</t>
  </si>
  <si>
    <t>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государственной программы Красноярского края «Управление государственными финансами»</t>
  </si>
  <si>
    <t>7511</t>
  </si>
  <si>
    <t>0289</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</si>
  <si>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</si>
  <si>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2 02 30024 05 0289 150</t>
  </si>
  <si>
    <t>Субсидии бюджетам муниципальных образований края, расположенных в районах Крайнего Севера и приравненных к ним местностях с ограниченными сроками завоза грузов, на финансирование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2019 год,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</si>
  <si>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Поступления от денежных пожертвований, предоставляемых физическими лицами получателям средств бюджетов муниципальных районов</t>
  </si>
  <si>
    <t>Софинансирование за счет средств местного бюджета на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</si>
  <si>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Софинансирование за счет средств местного бюджета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</si>
  <si>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Софинансирование за счет средств местного бюджета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</si>
  <si>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</si>
  <si>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</si>
  <si>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</si>
  <si>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0920075110</t>
  </si>
  <si>
    <t>09200S5110</t>
  </si>
  <si>
    <t>На финансирование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2019 год,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</si>
  <si>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0320075800</t>
  </si>
  <si>
    <t>06200S4540</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</si>
  <si>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</si>
  <si>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0110043010</t>
  </si>
  <si>
    <t>01100S5530</t>
  </si>
  <si>
    <t>Расходы на приобретение основных средств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</si>
  <si>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013006Ф000</t>
  </si>
  <si>
    <t>Расходы на приобретение основных средств в рамках подпрограммы "Обеспечение реализации муниципальной программы" муниципальной программы "Управление муниципальными финансами"</t>
  </si>
  <si>
    <t>112006Ф000</t>
  </si>
  <si>
    <t>Межбюджетные трансферты на на повышение с 1 октября 2019 года на 4,3 процента заработной платы работников бюджетной сферы Красноярского края за исключением заработной платы отдельных категорий работников, увеличение оплаты труда которых осуществляется в соответствии с указами Президента Российской Федерации, предусматривающими мероприятия по повышению заработной платы, а также в связи с увеличением региональных выплат и (или)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</si>
  <si>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1110010380</t>
  </si>
  <si>
    <t>Администрация Манзенкого сельсовета</t>
  </si>
  <si>
    <t>окл рег</t>
  </si>
  <si>
    <t>Средства на повышение минимальных размеров окладов (должностных окладов), ставок заработной платы работников бюджетной сферы края, которым предоставляется региональная выплата, и выплату заработной платы отдельным категориям работников бюджетной сферы края в части, соответствующей размерам заработной платы, установленным для целей расчета региональной выплаты, в связи с повышением размеров их оплаты труда по министерству финансов Красноярского края в рамках непрограммных расходов отдельных органов исполнительной власти</t>
  </si>
  <si>
    <t>1023</t>
  </si>
  <si>
    <t>Средства на повышение минимальных размеров окладов (должностных окладов), ставок заработной платы работников бюджетной сферы края, которым предоставляется региональная выплата, и выплату заработной платы отдельным категориям работников бюджетной сферы края в части, соответствующей размерам заработной платы, установленным для целей расчета региональной выплаты, в связи с повышением размеров их оплаты труда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</si>
  <si>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1110010230</t>
  </si>
  <si>
    <t>Средства на повышение минимальных размеров окладов (должностных окладов), ставок заработной платы работников бюджетной сферы края, которым предоставляется региональная выплата, и выплату заработной платы отдельным категориям работников бюджетной сферы края в части, соответствующей размерам заработной платы, установленным для целей расчета региональной выплаты, в связи с повышением размеров их оплаты труда</t>
  </si>
  <si>
    <t>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плановый период 2020-2021 годы</t>
  </si>
  <si>
    <t>2 02 25299 05 0000 150</t>
  </si>
  <si>
    <t>Субсидии бюджетам муниципальных образований на обустройство и восстановление воинских захоронений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</si>
  <si>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На софинансирование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2019 год,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</si>
  <si>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03200S5800</t>
  </si>
  <si>
    <t>Расходы на приобретение основных средств муниципального казенного учреждения "Муниципальная служба Заказчика" в рамках непрограммных расходов</t>
  </si>
  <si>
    <t>905004Ф000</t>
  </si>
  <si>
    <t>25299</t>
  </si>
  <si>
    <t>Субсидии бюджетам муниципальных районов на обустройство и восстановление воинских захоронений, находящихся в государственной собственности</t>
  </si>
  <si>
    <t>01042</t>
  </si>
  <si>
    <t>Плата за размещение твердых коммунальных отходов</t>
  </si>
  <si>
    <t>Денежные взыскания (штрафы) и иные суммы, взыскиваемые с лиц, виновных в совершении преступлений, и в возмещение ущерба имуществу</t>
  </si>
  <si>
    <t>21050</t>
  </si>
  <si>
    <t>21000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</si>
  <si>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внутригородских муниципальных образований городов федерального значения</t>
  </si>
  <si>
    <t>33000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</si>
  <si>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</si>
  <si>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33050</t>
  </si>
  <si>
    <t>Субсидии бюджетам на обустройство и восстановление воинских захоронений, находящихся в государственной собственности</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</si>
  <si>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</si>
  <si>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0110043030</t>
  </si>
  <si>
    <t>Межбюджетные трансферты на обустройство и восстановление воинских захоронений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</si>
  <si>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11100L299F</t>
  </si>
  <si>
    <t>% исполнения</t>
  </si>
  <si>
    <t>План на 2019 год</t>
  </si>
  <si>
    <t>Исполнено за 2019 год</t>
  </si>
  <si>
    <t>Единый налог на вмененный доход для отдельных видов деятельности (за налоговые периоды, истекшие до 1 января 2011 года)</t>
  </si>
  <si>
    <t>ЗАДОЛЖЕННОСТЬ И ПЕРЕРАСЧЕТЫ ПО ОТМЕНЕННЫМ НАЛОГАМ, СБОРАМ И ИНЫМ ОБЯЗАТЕЛЬНЫМ ПЛАТЕЖАМ</t>
  </si>
  <si>
    <t>Прочие налоги и сборы (по отмененным местным налогам и сборам)</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</si>
  <si>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</si>
  <si>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</si>
  <si>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07030</t>
  </si>
  <si>
    <t>183</t>
  </si>
  <si>
    <t>07033</t>
  </si>
  <si>
    <t>01070</t>
  </si>
  <si>
    <t>188</t>
  </si>
  <si>
    <t>141</t>
  </si>
  <si>
    <t>076</t>
  </si>
  <si>
    <t>069</t>
  </si>
  <si>
    <t>177</t>
  </si>
  <si>
    <t>Прочие неналоговые доходы</t>
  </si>
  <si>
    <t>Невыясненные поступления</t>
  </si>
  <si>
    <t>01050</t>
  </si>
  <si>
    <t xml:space="preserve">2020 </t>
  </si>
  <si>
    <t xml:space="preserve"> План на 2019 год</t>
  </si>
  <si>
    <t xml:space="preserve"> Исполнено за 2019 год</t>
  </si>
  <si>
    <t xml:space="preserve"> План на 2019 год всего, в том числе:</t>
  </si>
  <si>
    <t>Исполнено за 2019 год всего, в том числе:</t>
  </si>
  <si>
    <t>% исполнения всего, в том числе:</t>
  </si>
  <si>
    <t xml:space="preserve">% исполнения </t>
  </si>
  <si>
    <t>План на 2019 год всего, в том числе:</t>
  </si>
  <si>
    <t xml:space="preserve"> % исполнения всего, в том числе:</t>
  </si>
  <si>
    <t>Распределение иного межбюджетного трансферта бюджетам муниципальных образований Красноярского края за содействие развитию налогового потенциала за 2019 год</t>
  </si>
  <si>
    <t xml:space="preserve">Межбюджетные трансферты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Богучанского района» муниципальной  программы Богучанского района  «Развитие транспортной системы Богучанского района» за 2019 год </t>
  </si>
  <si>
    <t xml:space="preserve">Межбюджетные трансферты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Богучанского района» муниципальной  программы Богучанского района  «Развитие транспортной системы Богучанского района» за 2019 год </t>
  </si>
  <si>
    <t>% исполнение</t>
  </si>
  <si>
    <t xml:space="preserve">Межбюджетные трансферты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 за 2019 год </t>
  </si>
  <si>
    <t>План ан 2019 год</t>
  </si>
  <si>
    <t>Ведомственная 19 год</t>
  </si>
  <si>
    <t>Функц разрез 19 год</t>
  </si>
  <si>
    <t>ЦСР 19 год</t>
  </si>
</sst>
</file>

<file path=xl/styles.xml><?xml version="1.0" encoding="utf-8"?>
<styleSheet xmlns="http://schemas.openxmlformats.org/spreadsheetml/2006/main">
  <numFmts count="11">
    <numFmt numFmtId="164" formatCode="_-* #,##0_р_._-;\-* #,##0_р_._-;_-* &quot;-&quot;_р_._-;_-@_-"/>
    <numFmt numFmtId="165" formatCode="_-* #,##0.00_р_._-;\-* #,##0.00_р_._-;_-* &quot;-&quot;??_р_._-;_-@_-"/>
    <numFmt numFmtId="166" formatCode="#,##0;[Red]\-#,##0;&quot;-&quot;"/>
    <numFmt numFmtId="167" formatCode="#,##0.00;[Red]\-#,##0.00;&quot;-&quot;"/>
    <numFmt numFmtId="168" formatCode="#,##0.0"/>
    <numFmt numFmtId="169" formatCode="#,##0.00_ ;[Red]\-#,##0.00\ "/>
    <numFmt numFmtId="170" formatCode="\О\б\щ\и\й"/>
    <numFmt numFmtId="171" formatCode="#,##0.00_ ;\-#,##0.00\ "/>
    <numFmt numFmtId="172" formatCode="?"/>
    <numFmt numFmtId="173" formatCode="000000"/>
    <numFmt numFmtId="174" formatCode="#,##0_ ;[Red]\-#,##0\ "/>
  </numFmts>
  <fonts count="38">
    <font>
      <sz val="10"/>
      <name val="Arial Cyr"/>
      <charset val="204"/>
    </font>
    <font>
      <sz val="10"/>
      <name val="Arial Cyr"/>
      <charset val="204"/>
    </font>
    <font>
      <sz val="10"/>
      <name val="Arial Cyr"/>
      <charset val="204"/>
    </font>
    <font>
      <sz val="8"/>
      <name val="Arial Cyr"/>
      <charset val="204"/>
    </font>
    <font>
      <u/>
      <sz val="10"/>
      <name val="Arial Cyr"/>
      <charset val="204"/>
    </font>
    <font>
      <sz val="10"/>
      <name val="Arial"/>
      <family val="2"/>
      <charset val="204"/>
    </font>
    <font>
      <sz val="9"/>
      <name val="Arial"/>
      <family val="2"/>
      <charset val="204"/>
    </font>
    <font>
      <sz val="11"/>
      <color indexed="8"/>
      <name val="Arial"/>
      <family val="2"/>
      <charset val="204"/>
    </font>
    <font>
      <b/>
      <sz val="10"/>
      <name val="Arial"/>
      <family val="2"/>
      <charset val="204"/>
    </font>
    <font>
      <b/>
      <sz val="11"/>
      <name val="Arial"/>
      <family val="2"/>
      <charset val="204"/>
    </font>
    <font>
      <sz val="11"/>
      <name val="Arial"/>
      <family val="2"/>
      <charset val="204"/>
    </font>
    <font>
      <sz val="10"/>
      <color indexed="10"/>
      <name val="Arial"/>
      <family val="2"/>
      <charset val="204"/>
    </font>
    <font>
      <sz val="14"/>
      <name val="Arial"/>
      <family val="2"/>
      <charset val="204"/>
    </font>
    <font>
      <sz val="12"/>
      <name val="Arial"/>
      <family val="2"/>
      <charset val="204"/>
    </font>
    <font>
      <b/>
      <sz val="12"/>
      <name val="Arial"/>
      <family val="2"/>
      <charset val="204"/>
    </font>
    <font>
      <b/>
      <sz val="16"/>
      <name val="Arial"/>
      <family val="2"/>
      <charset val="204"/>
    </font>
    <font>
      <sz val="16"/>
      <name val="Arial"/>
      <family val="2"/>
      <charset val="204"/>
    </font>
    <font>
      <sz val="11"/>
      <color theme="1"/>
      <name val="Calibri"/>
      <family val="2"/>
    </font>
    <font>
      <sz val="8"/>
      <color theme="1"/>
      <name val="Calibri"/>
      <family val="2"/>
    </font>
    <font>
      <sz val="11"/>
      <color theme="1"/>
      <name val="Arial"/>
      <family val="2"/>
      <charset val="204"/>
    </font>
    <font>
      <sz val="10"/>
      <color theme="8" tint="0.39997558519241921"/>
      <name val="Arial"/>
      <family val="2"/>
      <charset val="204"/>
    </font>
    <font>
      <sz val="10"/>
      <color rgb="FFFF0000"/>
      <name val="Arial"/>
      <family val="2"/>
      <charset val="204"/>
    </font>
    <font>
      <sz val="11"/>
      <color rgb="FFFF0000"/>
      <name val="Arial"/>
      <family val="2"/>
      <charset val="204"/>
    </font>
    <font>
      <sz val="10"/>
      <color indexed="8"/>
      <name val="Arial"/>
      <family val="2"/>
      <charset val="204"/>
    </font>
    <font>
      <sz val="9"/>
      <color indexed="8"/>
      <name val="Arial"/>
      <family val="2"/>
      <charset val="204"/>
    </font>
    <font>
      <sz val="10"/>
      <name val="Times New Roman"/>
      <family val="1"/>
      <charset val="204"/>
    </font>
    <font>
      <b/>
      <sz val="11"/>
      <name val="Times New Roman"/>
      <family val="1"/>
      <charset val="204"/>
    </font>
    <font>
      <sz val="11"/>
      <name val="Times New Roman"/>
      <family val="1"/>
      <charset val="204"/>
    </font>
    <font>
      <sz val="11"/>
      <name val="Calibri"/>
      <family val="2"/>
      <charset val="204"/>
      <scheme val="minor"/>
    </font>
    <font>
      <sz val="10"/>
      <name val="Helv"/>
      <charset val="204"/>
    </font>
    <font>
      <b/>
      <i/>
      <sz val="8"/>
      <name val="Arial"/>
      <family val="2"/>
      <charset val="204"/>
    </font>
    <font>
      <sz val="8"/>
      <name val="Arial"/>
      <family val="2"/>
      <charset val="204"/>
    </font>
    <font>
      <sz val="14"/>
      <name val="Times New Roman"/>
      <family val="1"/>
      <charset val="204"/>
    </font>
    <font>
      <sz val="11"/>
      <name val="Arial Cyr"/>
      <charset val="204"/>
    </font>
    <font>
      <b/>
      <sz val="11"/>
      <color indexed="8"/>
      <name val="Arial"/>
      <family val="2"/>
      <charset val="204"/>
    </font>
    <font>
      <b/>
      <sz val="11"/>
      <color theme="1"/>
      <name val="Arial"/>
      <family val="2"/>
      <charset val="204"/>
    </font>
    <font>
      <b/>
      <sz val="10"/>
      <name val="Arial Cyr"/>
      <charset val="204"/>
    </font>
    <font>
      <sz val="12"/>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2"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4">
    <xf numFmtId="0" fontId="0"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8" fillId="0" borderId="0"/>
    <xf numFmtId="0" fontId="18" fillId="0" borderId="0"/>
    <xf numFmtId="0" fontId="18" fillId="0" borderId="0"/>
    <xf numFmtId="0" fontId="18" fillId="0" borderId="0"/>
    <xf numFmtId="0" fontId="18" fillId="0" borderId="0"/>
    <xf numFmtId="0" fontId="18" fillId="0" borderId="0"/>
    <xf numFmtId="164"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0" fontId="1" fillId="0" borderId="0"/>
    <xf numFmtId="0" fontId="29" fillId="0" borderId="0"/>
    <xf numFmtId="0" fontId="5" fillId="0" borderId="0"/>
  </cellStyleXfs>
  <cellXfs count="506">
    <xf numFmtId="0" fontId="0" fillId="0" borderId="0" xfId="0"/>
    <xf numFmtId="0" fontId="0" fillId="0" borderId="0" xfId="0" applyAlignment="1">
      <alignment horizontal="right"/>
    </xf>
    <xf numFmtId="49" fontId="0" fillId="0" borderId="0" xfId="0" applyNumberFormat="1" applyAlignment="1">
      <alignment horizontal="right"/>
    </xf>
    <xf numFmtId="14" fontId="0" fillId="0" borderId="0" xfId="0" applyNumberFormat="1"/>
    <xf numFmtId="0" fontId="5" fillId="0" borderId="0" xfId="0" applyFont="1"/>
    <xf numFmtId="0" fontId="5" fillId="0" borderId="0" xfId="0" applyFont="1" applyAlignment="1">
      <alignment horizontal="right"/>
    </xf>
    <xf numFmtId="0" fontId="5" fillId="0" borderId="1" xfId="0" applyFont="1" applyBorder="1"/>
    <xf numFmtId="0" fontId="5" fillId="0" borderId="1" xfId="0" applyFont="1" applyBorder="1" applyAlignment="1">
      <alignment horizontal="center"/>
    </xf>
    <xf numFmtId="0" fontId="5" fillId="0" borderId="1" xfId="0" applyFont="1" applyFill="1" applyBorder="1"/>
    <xf numFmtId="0" fontId="5" fillId="0" borderId="1" xfId="0" applyFont="1" applyFill="1" applyBorder="1" applyAlignment="1">
      <alignment wrapText="1"/>
    </xf>
    <xf numFmtId="49" fontId="5" fillId="0" borderId="0" xfId="0" applyNumberFormat="1" applyFont="1" applyAlignment="1">
      <alignment horizontal="right" vertical="center"/>
    </xf>
    <xf numFmtId="4" fontId="5" fillId="0" borderId="0" xfId="0" applyNumberFormat="1" applyFont="1"/>
    <xf numFmtId="0" fontId="19" fillId="0" borderId="2" xfId="2" applyFont="1" applyFill="1" applyBorder="1" applyAlignment="1">
      <alignment horizontal="left" wrapText="1"/>
    </xf>
    <xf numFmtId="0" fontId="8" fillId="0" borderId="0" xfId="0" applyFont="1"/>
    <xf numFmtId="0" fontId="10" fillId="0" borderId="2" xfId="2" applyFont="1" applyFill="1" applyBorder="1" applyAlignment="1">
      <alignment horizontal="left" wrapText="1"/>
    </xf>
    <xf numFmtId="0" fontId="12" fillId="0" borderId="0" xfId="0" applyFont="1" applyAlignment="1">
      <alignment horizontal="right"/>
    </xf>
    <xf numFmtId="0" fontId="10" fillId="0" borderId="1" xfId="0" applyFont="1" applyBorder="1" applyAlignment="1">
      <alignment horizontal="center" vertical="top" wrapText="1"/>
    </xf>
    <xf numFmtId="0" fontId="5" fillId="0" borderId="0" xfId="0" applyFont="1" applyAlignment="1">
      <alignment horizontal="center"/>
    </xf>
    <xf numFmtId="0" fontId="10" fillId="0" borderId="1" xfId="0" applyFont="1" applyBorder="1" applyAlignment="1">
      <alignment vertical="top" wrapText="1"/>
    </xf>
    <xf numFmtId="4" fontId="10" fillId="0" borderId="1" xfId="0" applyNumberFormat="1" applyFont="1" applyBorder="1" applyAlignment="1">
      <alignment horizontal="right" vertical="top" wrapText="1"/>
    </xf>
    <xf numFmtId="0" fontId="13" fillId="0" borderId="0" xfId="0" applyFont="1"/>
    <xf numFmtId="165" fontId="5" fillId="0" borderId="0" xfId="17" applyFont="1"/>
    <xf numFmtId="49" fontId="10" fillId="0" borderId="0" xfId="0" applyNumberFormat="1" applyFont="1" applyBorder="1" applyAlignment="1">
      <alignment horizontal="center" vertical="top" wrapText="1"/>
    </xf>
    <xf numFmtId="49" fontId="9" fillId="0" borderId="0" xfId="0" applyNumberFormat="1" applyFont="1" applyAlignment="1">
      <alignment horizontal="left" vertical="top"/>
    </xf>
    <xf numFmtId="49" fontId="10" fillId="0" borderId="1" xfId="0" applyNumberFormat="1" applyFont="1" applyBorder="1" applyAlignment="1">
      <alignment horizontal="center" vertical="center" wrapText="1"/>
    </xf>
    <xf numFmtId="49" fontId="10" fillId="0" borderId="0" xfId="0" applyNumberFormat="1" applyFont="1" applyAlignment="1">
      <alignment horizontal="center" vertical="center" wrapText="1"/>
    </xf>
    <xf numFmtId="0" fontId="19" fillId="0" borderId="2" xfId="7" applyFont="1" applyFill="1" applyBorder="1" applyAlignment="1">
      <alignment horizontal="left" wrapText="1"/>
    </xf>
    <xf numFmtId="167" fontId="19" fillId="0" borderId="2" xfId="3" applyNumberFormat="1" applyFont="1" applyFill="1" applyBorder="1"/>
    <xf numFmtId="49" fontId="10" fillId="0" borderId="0" xfId="0" applyNumberFormat="1" applyFont="1" applyAlignment="1">
      <alignment horizontal="right" vertical="top"/>
    </xf>
    <xf numFmtId="170" fontId="9" fillId="0" borderId="1" xfId="0" applyNumberFormat="1" applyFont="1" applyBorder="1" applyAlignment="1">
      <alignment horizontal="left" wrapText="1"/>
    </xf>
    <xf numFmtId="4" fontId="9" fillId="0" borderId="1" xfId="0" applyNumberFormat="1" applyFont="1" applyBorder="1" applyAlignment="1">
      <alignment horizontal="right"/>
    </xf>
    <xf numFmtId="49" fontId="9" fillId="0" borderId="0" xfId="0" applyNumberFormat="1" applyFont="1" applyAlignment="1">
      <alignment horizontal="right"/>
    </xf>
    <xf numFmtId="170" fontId="10" fillId="0" borderId="0" xfId="0" applyNumberFormat="1" applyFont="1" applyAlignment="1">
      <alignment horizontal="left" vertical="top" wrapText="1"/>
    </xf>
    <xf numFmtId="4" fontId="10" fillId="0" borderId="0" xfId="0" applyNumberFormat="1" applyFont="1" applyAlignment="1">
      <alignment horizontal="right" vertical="top"/>
    </xf>
    <xf numFmtId="49" fontId="5" fillId="0" borderId="1" xfId="0" applyNumberFormat="1" applyFont="1" applyBorder="1" applyAlignment="1">
      <alignment horizontal="center" vertical="center" wrapText="1"/>
    </xf>
    <xf numFmtId="0" fontId="5" fillId="0" borderId="0" xfId="17" applyNumberFormat="1" applyFont="1"/>
    <xf numFmtId="49" fontId="9" fillId="0" borderId="1" xfId="0" applyNumberFormat="1" applyFont="1" applyBorder="1" applyAlignment="1">
      <alignment horizontal="center" vertical="center"/>
    </xf>
    <xf numFmtId="167" fontId="9" fillId="0" borderId="1" xfId="19" applyNumberFormat="1" applyFont="1" applyBorder="1" applyAlignment="1">
      <alignment horizontal="right" vertical="center"/>
    </xf>
    <xf numFmtId="0" fontId="19" fillId="0" borderId="2" xfId="6" applyFont="1" applyFill="1" applyBorder="1" applyAlignment="1">
      <alignment horizontal="left" wrapText="1"/>
    </xf>
    <xf numFmtId="171" fontId="11" fillId="0" borderId="0" xfId="17" applyNumberFormat="1" applyFont="1"/>
    <xf numFmtId="2" fontId="11" fillId="0" borderId="0" xfId="0" applyNumberFormat="1" applyFont="1"/>
    <xf numFmtId="49" fontId="5" fillId="0" borderId="0" xfId="0" applyNumberFormat="1" applyFont="1"/>
    <xf numFmtId="0" fontId="7" fillId="0" borderId="2" xfId="7" applyFont="1" applyFill="1" applyBorder="1" applyAlignment="1">
      <alignment horizontal="left" wrapText="1"/>
    </xf>
    <xf numFmtId="0" fontId="10" fillId="0" borderId="1" xfId="0" applyFont="1" applyBorder="1" applyAlignment="1">
      <alignment horizontal="left" vertical="center" wrapText="1"/>
    </xf>
    <xf numFmtId="0" fontId="10" fillId="0" borderId="1" xfId="0" applyFont="1" applyBorder="1"/>
    <xf numFmtId="0" fontId="10" fillId="0" borderId="1" xfId="2" applyFont="1" applyFill="1" applyBorder="1" applyAlignment="1">
      <alignment horizontal="left" wrapText="1"/>
    </xf>
    <xf numFmtId="0" fontId="7" fillId="0" borderId="2" xfId="2" applyFont="1" applyFill="1" applyBorder="1" applyAlignment="1">
      <alignment horizontal="left" wrapText="1"/>
    </xf>
    <xf numFmtId="0" fontId="10" fillId="0" borderId="1" xfId="0" applyFont="1" applyBorder="1" applyAlignment="1">
      <alignment horizontal="justify" vertical="top" wrapText="1"/>
    </xf>
    <xf numFmtId="0" fontId="10" fillId="0" borderId="1" xfId="0" applyFont="1" applyBorder="1" applyAlignment="1">
      <alignment horizontal="left" vertical="top" wrapText="1"/>
    </xf>
    <xf numFmtId="49" fontId="7" fillId="0" borderId="1" xfId="1" applyNumberFormat="1" applyFont="1" applyFill="1" applyBorder="1" applyAlignment="1">
      <alignment vertical="center"/>
    </xf>
    <xf numFmtId="167" fontId="19" fillId="0" borderId="1" xfId="3" applyNumberFormat="1" applyFont="1" applyFill="1" applyBorder="1"/>
    <xf numFmtId="49" fontId="19" fillId="0" borderId="1" xfId="1" applyNumberFormat="1" applyFont="1" applyFill="1" applyBorder="1" applyAlignment="1">
      <alignment vertical="center"/>
    </xf>
    <xf numFmtId="49" fontId="9" fillId="0" borderId="1" xfId="0" applyNumberFormat="1" applyFont="1" applyBorder="1" applyAlignment="1">
      <alignment horizontal="right"/>
    </xf>
    <xf numFmtId="0" fontId="5" fillId="0" borderId="1" xfId="0" applyNumberFormat="1" applyFont="1" applyFill="1" applyBorder="1" applyAlignment="1">
      <alignment horizontal="left" vertical="top" wrapText="1"/>
    </xf>
    <xf numFmtId="0" fontId="5" fillId="0" borderId="1" xfId="0" applyFont="1" applyBorder="1" applyAlignment="1">
      <alignment wrapText="1"/>
    </xf>
    <xf numFmtId="0" fontId="5" fillId="0" borderId="0" xfId="0" applyFont="1" applyAlignment="1">
      <alignment wrapText="1"/>
    </xf>
    <xf numFmtId="4" fontId="8" fillId="0" borderId="1" xfId="0" applyNumberFormat="1" applyFont="1" applyFill="1" applyBorder="1" applyAlignment="1">
      <alignment horizontal="right" vertical="center" wrapText="1"/>
    </xf>
    <xf numFmtId="168" fontId="15" fillId="0" borderId="0" xfId="0" applyNumberFormat="1" applyFont="1" applyFill="1" applyAlignment="1">
      <alignment horizontal="center" wrapText="1"/>
    </xf>
    <xf numFmtId="168" fontId="15" fillId="0" borderId="0" xfId="0" applyNumberFormat="1" applyFont="1" applyFill="1" applyAlignment="1">
      <alignment horizontal="center" vertical="top" wrapText="1"/>
    </xf>
    <xf numFmtId="0" fontId="16" fillId="0" borderId="0" xfId="0" applyFont="1" applyFill="1" applyAlignment="1">
      <alignment wrapText="1"/>
    </xf>
    <xf numFmtId="0" fontId="13" fillId="0" borderId="0" xfId="0" applyFont="1" applyFill="1" applyAlignment="1">
      <alignment horizontal="center" vertical="top" wrapText="1" shrinkToFit="1"/>
    </xf>
    <xf numFmtId="49" fontId="14" fillId="0" borderId="0" xfId="0" applyNumberFormat="1" applyFont="1" applyFill="1" applyBorder="1" applyAlignment="1">
      <alignment horizontal="center" wrapText="1" shrinkToFit="1"/>
    </xf>
    <xf numFmtId="49" fontId="14" fillId="0" borderId="0" xfId="0" applyNumberFormat="1" applyFont="1" applyFill="1" applyBorder="1" applyAlignment="1">
      <alignment horizontal="center" vertical="top" wrapText="1" shrinkToFit="1"/>
    </xf>
    <xf numFmtId="0" fontId="13" fillId="0" borderId="0" xfId="0" applyFont="1" applyFill="1" applyAlignment="1">
      <alignment horizontal="center" wrapText="1" shrinkToFit="1"/>
    </xf>
    <xf numFmtId="0" fontId="10" fillId="0" borderId="1" xfId="0" applyFont="1" applyFill="1" applyBorder="1" applyAlignment="1">
      <alignment horizontal="center" vertical="center" wrapText="1" shrinkToFit="1"/>
    </xf>
    <xf numFmtId="0" fontId="5" fillId="0" borderId="0" xfId="0" applyFont="1" applyFill="1" applyAlignment="1">
      <alignment horizontal="center" vertical="center" wrapText="1" shrinkToFit="1"/>
    </xf>
    <xf numFmtId="0" fontId="9" fillId="0" borderId="1" xfId="0" applyFont="1" applyFill="1" applyBorder="1" applyAlignment="1">
      <alignment horizontal="center" vertical="top" wrapText="1"/>
    </xf>
    <xf numFmtId="49" fontId="9" fillId="0" borderId="1" xfId="0" applyNumberFormat="1" applyFont="1" applyFill="1" applyBorder="1" applyAlignment="1">
      <alignment horizontal="center" vertical="top"/>
    </xf>
    <xf numFmtId="49" fontId="9" fillId="0" borderId="1" xfId="0" applyNumberFormat="1" applyFont="1" applyFill="1" applyBorder="1" applyAlignment="1">
      <alignment horizontal="center" vertical="top" wrapText="1" shrinkToFit="1"/>
    </xf>
    <xf numFmtId="49" fontId="9" fillId="0" borderId="1" xfId="0" applyNumberFormat="1" applyFont="1" applyFill="1" applyBorder="1" applyAlignment="1">
      <alignment horizontal="left" vertical="top" wrapText="1" shrinkToFit="1"/>
    </xf>
    <xf numFmtId="0" fontId="10" fillId="0" borderId="1" xfId="0" applyFont="1" applyFill="1" applyBorder="1" applyAlignment="1">
      <alignment horizontal="center" vertical="top" wrapText="1"/>
    </xf>
    <xf numFmtId="49" fontId="10" fillId="0" borderId="1" xfId="0" applyNumberFormat="1" applyFont="1" applyFill="1" applyBorder="1" applyAlignment="1">
      <alignment horizontal="center" vertical="top"/>
    </xf>
    <xf numFmtId="49" fontId="10" fillId="0" borderId="1" xfId="0" applyNumberFormat="1" applyFont="1" applyFill="1" applyBorder="1" applyAlignment="1">
      <alignment vertical="top"/>
    </xf>
    <xf numFmtId="0" fontId="10" fillId="0" borderId="1" xfId="0" applyNumberFormat="1" applyFont="1" applyBorder="1" applyAlignment="1">
      <alignment vertical="top" wrapText="1"/>
    </xf>
    <xf numFmtId="49" fontId="10" fillId="0" borderId="0" xfId="0" applyNumberFormat="1" applyFont="1" applyAlignment="1">
      <alignment vertical="top"/>
    </xf>
    <xf numFmtId="49" fontId="10" fillId="0" borderId="1" xfId="0" applyNumberFormat="1" applyFont="1" applyBorder="1" applyAlignment="1">
      <alignment vertical="top"/>
    </xf>
    <xf numFmtId="49" fontId="9" fillId="0" borderId="1" xfId="0" applyNumberFormat="1" applyFont="1" applyBorder="1" applyAlignment="1">
      <alignment vertical="top"/>
    </xf>
    <xf numFmtId="0" fontId="9" fillId="0" borderId="1" xfId="0" applyNumberFormat="1" applyFont="1" applyBorder="1" applyAlignment="1">
      <alignment vertical="top" wrapText="1"/>
    </xf>
    <xf numFmtId="0" fontId="13" fillId="0" borderId="0" xfId="0" applyFont="1" applyFill="1" applyAlignment="1">
      <alignment horizontal="center" vertical="top" wrapText="1"/>
    </xf>
    <xf numFmtId="0" fontId="13" fillId="0" borderId="0" xfId="0" applyFont="1" applyFill="1" applyAlignment="1">
      <alignment vertical="top" wrapText="1"/>
    </xf>
    <xf numFmtId="0" fontId="13" fillId="0" borderId="0" xfId="0" applyFont="1" applyFill="1" applyAlignment="1">
      <alignment wrapText="1"/>
    </xf>
    <xf numFmtId="0" fontId="13" fillId="0" borderId="0" xfId="0" applyFont="1" applyFill="1" applyAlignment="1">
      <alignment horizontal="center" wrapText="1"/>
    </xf>
    <xf numFmtId="0" fontId="9" fillId="0" borderId="1" xfId="0" applyFont="1" applyBorder="1" applyAlignment="1">
      <alignment horizontal="center"/>
    </xf>
    <xf numFmtId="165" fontId="10" fillId="0" borderId="1" xfId="18" applyFont="1" applyBorder="1" applyAlignment="1">
      <alignment horizontal="center" vertical="center" wrapText="1"/>
    </xf>
    <xf numFmtId="0" fontId="9" fillId="0" borderId="1" xfId="0" applyFont="1" applyBorder="1" applyAlignment="1">
      <alignment vertical="top" wrapText="1"/>
    </xf>
    <xf numFmtId="4" fontId="10" fillId="0" borderId="1" xfId="0" applyNumberFormat="1" applyFont="1" applyBorder="1" applyAlignment="1">
      <alignment horizontal="right"/>
    </xf>
    <xf numFmtId="4" fontId="10" fillId="0" borderId="1" xfId="0" applyNumberFormat="1" applyFont="1" applyFill="1" applyBorder="1" applyAlignment="1">
      <alignment horizontal="right"/>
    </xf>
    <xf numFmtId="4" fontId="10" fillId="0" borderId="1" xfId="0" applyNumberFormat="1" applyFont="1" applyBorder="1" applyAlignment="1"/>
    <xf numFmtId="0" fontId="13" fillId="0" borderId="1" xfId="0" applyFont="1" applyBorder="1" applyAlignment="1">
      <alignment vertical="top" wrapText="1"/>
    </xf>
    <xf numFmtId="0" fontId="14" fillId="0" borderId="1" xfId="0" applyFont="1" applyBorder="1" applyAlignment="1">
      <alignment vertical="top" wrapText="1"/>
    </xf>
    <xf numFmtId="4" fontId="14" fillId="0" borderId="1" xfId="0" applyNumberFormat="1" applyFont="1" applyBorder="1" applyAlignment="1"/>
    <xf numFmtId="4" fontId="13" fillId="0" borderId="1" xfId="0" applyNumberFormat="1" applyFont="1" applyBorder="1" applyAlignment="1"/>
    <xf numFmtId="0" fontId="13" fillId="0" borderId="1" xfId="0" applyFont="1" applyBorder="1" applyAlignment="1">
      <alignment horizontal="left" vertical="top" wrapText="1"/>
    </xf>
    <xf numFmtId="4" fontId="13" fillId="0" borderId="1" xfId="0" applyNumberFormat="1" applyFont="1" applyBorder="1" applyAlignment="1">
      <alignment horizontal="right"/>
    </xf>
    <xf numFmtId="0" fontId="13" fillId="0" borderId="1" xfId="0" applyFont="1" applyBorder="1" applyAlignment="1">
      <alignment horizontal="left"/>
    </xf>
    <xf numFmtId="0" fontId="13" fillId="0" borderId="1" xfId="0" applyFont="1" applyFill="1" applyBorder="1" applyAlignment="1">
      <alignment wrapText="1"/>
    </xf>
    <xf numFmtId="4" fontId="13" fillId="0" borderId="1" xfId="0" applyNumberFormat="1" applyFont="1" applyBorder="1"/>
    <xf numFmtId="4" fontId="5" fillId="0" borderId="1" xfId="0" applyNumberFormat="1" applyFont="1" applyFill="1" applyBorder="1" applyAlignment="1">
      <alignment horizontal="right" vertical="top" wrapText="1"/>
    </xf>
    <xf numFmtId="2" fontId="8" fillId="0" borderId="0" xfId="0" applyNumberFormat="1" applyFont="1"/>
    <xf numFmtId="49" fontId="20" fillId="0" borderId="0" xfId="0" applyNumberFormat="1" applyFont="1"/>
    <xf numFmtId="49" fontId="9" fillId="0" borderId="0" xfId="0" applyNumberFormat="1" applyFont="1" applyAlignment="1">
      <alignment horizontal="left" vertical="center"/>
    </xf>
    <xf numFmtId="0" fontId="16" fillId="0" borderId="0" xfId="0" applyFont="1" applyAlignment="1">
      <alignment vertical="center" wrapText="1"/>
    </xf>
    <xf numFmtId="0" fontId="16" fillId="0" borderId="0" xfId="0" applyFont="1"/>
    <xf numFmtId="0" fontId="5" fillId="0" borderId="0" xfId="0" applyFont="1" applyAlignment="1">
      <alignment horizontal="center" vertical="center"/>
    </xf>
    <xf numFmtId="0" fontId="14" fillId="0" borderId="0" xfId="0" applyFont="1"/>
    <xf numFmtId="0" fontId="9" fillId="0" borderId="1" xfId="0" applyFont="1" applyBorder="1" applyAlignment="1">
      <alignment horizontal="left" wrapText="1"/>
    </xf>
    <xf numFmtId="0" fontId="16" fillId="0" borderId="0" xfId="0" applyFont="1" applyBorder="1" applyAlignment="1">
      <alignment horizontal="center" vertical="center" wrapText="1"/>
    </xf>
    <xf numFmtId="0" fontId="5" fillId="0" borderId="0" xfId="0" applyFont="1" applyAlignment="1">
      <alignment horizontal="right" wrapText="1"/>
    </xf>
    <xf numFmtId="167" fontId="19" fillId="0" borderId="0" xfId="3" applyNumberFormat="1" applyFont="1" applyFill="1" applyBorder="1"/>
    <xf numFmtId="4" fontId="9" fillId="0" borderId="0" xfId="0" applyNumberFormat="1" applyFont="1" applyBorder="1" applyAlignment="1">
      <alignment horizontal="right"/>
    </xf>
    <xf numFmtId="49" fontId="5" fillId="0" borderId="0" xfId="0" applyNumberFormat="1" applyFont="1" applyBorder="1" applyAlignment="1">
      <alignment horizontal="center" vertical="center" wrapText="1"/>
    </xf>
    <xf numFmtId="49" fontId="5" fillId="0" borderId="0" xfId="0" applyNumberFormat="1" applyFont="1" applyAlignment="1">
      <alignment horizontal="center" vertical="center" wrapText="1"/>
    </xf>
    <xf numFmtId="166" fontId="5" fillId="0" borderId="0" xfId="3" applyNumberFormat="1" applyFont="1" applyFill="1" applyBorder="1"/>
    <xf numFmtId="49" fontId="22" fillId="0" borderId="0" xfId="0" applyNumberFormat="1" applyFont="1" applyAlignment="1">
      <alignment horizontal="center" vertical="center" wrapText="1"/>
    </xf>
    <xf numFmtId="4" fontId="22" fillId="0" borderId="0" xfId="0" applyNumberFormat="1" applyFont="1" applyAlignment="1">
      <alignment horizontal="center" vertical="center" wrapText="1"/>
    </xf>
    <xf numFmtId="49" fontId="9" fillId="0" borderId="1" xfId="0" applyNumberFormat="1" applyFont="1" applyBorder="1" applyAlignment="1">
      <alignment horizontal="left" vertical="center"/>
    </xf>
    <xf numFmtId="0" fontId="21" fillId="0" borderId="0" xfId="0" applyFont="1" applyAlignment="1">
      <alignment horizontal="right"/>
    </xf>
    <xf numFmtId="2" fontId="21" fillId="0" borderId="0" xfId="17" applyNumberFormat="1" applyFont="1"/>
    <xf numFmtId="2" fontId="21" fillId="0" borderId="0" xfId="0" applyNumberFormat="1" applyFont="1"/>
    <xf numFmtId="169" fontId="21" fillId="0" borderId="0" xfId="0" applyNumberFormat="1" applyFont="1"/>
    <xf numFmtId="49" fontId="5" fillId="0" borderId="7" xfId="0" applyNumberFormat="1" applyFont="1" applyBorder="1" applyAlignment="1">
      <alignment horizontal="center" vertical="center" wrapText="1"/>
    </xf>
    <xf numFmtId="49" fontId="19" fillId="0" borderId="3" xfId="5" applyNumberFormat="1" applyFont="1" applyFill="1" applyBorder="1" applyAlignment="1">
      <alignment vertical="center"/>
    </xf>
    <xf numFmtId="49" fontId="19" fillId="0" borderId="3" xfId="8" applyNumberFormat="1" applyFont="1" applyFill="1" applyBorder="1" applyAlignment="1">
      <alignment vertical="center"/>
    </xf>
    <xf numFmtId="0" fontId="14" fillId="0" borderId="8" xfId="0" applyFont="1" applyBorder="1" applyAlignment="1"/>
    <xf numFmtId="0" fontId="5" fillId="0" borderId="0" xfId="0" applyFont="1" applyFill="1"/>
    <xf numFmtId="49" fontId="5" fillId="0" borderId="0" xfId="0" applyNumberFormat="1" applyFont="1" applyFill="1" applyAlignment="1">
      <alignment horizontal="right" vertical="center"/>
    </xf>
    <xf numFmtId="167" fontId="6" fillId="0" borderId="0" xfId="0" applyNumberFormat="1" applyFont="1" applyFill="1" applyBorder="1" applyAlignment="1">
      <alignment horizontal="left" wrapText="1"/>
    </xf>
    <xf numFmtId="4" fontId="11" fillId="0" borderId="0" xfId="0" applyNumberFormat="1" applyFont="1" applyFill="1" applyAlignment="1">
      <alignment horizontal="left"/>
    </xf>
    <xf numFmtId="4" fontId="5" fillId="0" borderId="0" xfId="0" applyNumberFormat="1" applyFont="1" applyFill="1"/>
    <xf numFmtId="0" fontId="8" fillId="0" borderId="0" xfId="0" applyFont="1" applyFill="1"/>
    <xf numFmtId="0" fontId="13" fillId="0" borderId="0" xfId="0" applyFont="1" applyAlignment="1">
      <alignment horizontal="right" wrapText="1"/>
    </xf>
    <xf numFmtId="0" fontId="13" fillId="0" borderId="0" xfId="0" applyFont="1" applyFill="1"/>
    <xf numFmtId="0" fontId="13" fillId="0" borderId="0" xfId="0" applyFont="1" applyBorder="1" applyAlignment="1">
      <alignment vertical="center" wrapText="1"/>
    </xf>
    <xf numFmtId="0" fontId="14" fillId="0" borderId="0" xfId="0" applyFont="1" applyFill="1"/>
    <xf numFmtId="0" fontId="5" fillId="0" borderId="1" xfId="0" applyFont="1" applyFill="1" applyBorder="1" applyAlignment="1">
      <alignment horizontal="center" vertical="center" wrapText="1"/>
    </xf>
    <xf numFmtId="0" fontId="13" fillId="0" borderId="0" xfId="0" applyFont="1" applyFill="1" applyAlignment="1">
      <alignment horizontal="center" vertical="center"/>
    </xf>
    <xf numFmtId="0" fontId="13" fillId="0" borderId="0" xfId="0" applyFont="1" applyFill="1" applyAlignment="1">
      <alignment horizontal="left" vertical="center" wrapText="1"/>
    </xf>
    <xf numFmtId="49" fontId="5" fillId="0" borderId="1" xfId="0" applyNumberFormat="1" applyFont="1" applyFill="1" applyBorder="1" applyAlignment="1">
      <alignment horizontal="left" vertical="top" wrapText="1"/>
    </xf>
    <xf numFmtId="4" fontId="5" fillId="0" borderId="1" xfId="0" applyNumberFormat="1" applyFont="1" applyBorder="1" applyAlignment="1">
      <alignment horizontal="right" wrapText="1"/>
    </xf>
    <xf numFmtId="0" fontId="5" fillId="0" borderId="1" xfId="0" applyFont="1" applyBorder="1" applyAlignment="1">
      <alignment horizontal="left" wrapText="1"/>
    </xf>
    <xf numFmtId="49" fontId="5" fillId="0" borderId="1" xfId="0" applyNumberFormat="1" applyFont="1" applyBorder="1" applyAlignment="1">
      <alignment horizontal="left" wrapText="1"/>
    </xf>
    <xf numFmtId="4" fontId="5" fillId="0" borderId="1" xfId="17" applyNumberFormat="1" applyFont="1" applyBorder="1" applyAlignment="1">
      <alignment horizontal="right"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wrapText="1"/>
    </xf>
    <xf numFmtId="0" fontId="10" fillId="0" borderId="1" xfId="0" applyFont="1" applyFill="1" applyBorder="1" applyAlignment="1">
      <alignment horizontal="left" vertical="top" wrapText="1"/>
    </xf>
    <xf numFmtId="0" fontId="5" fillId="0" borderId="0" xfId="0" applyFont="1" applyAlignment="1">
      <alignment horizontal="left"/>
    </xf>
    <xf numFmtId="49" fontId="5" fillId="0" borderId="1" xfId="0" applyNumberFormat="1" applyFont="1" applyFill="1" applyBorder="1" applyAlignment="1">
      <alignment horizontal="left" vertical="center" wrapText="1"/>
    </xf>
    <xf numFmtId="0" fontId="20" fillId="0" borderId="0" xfId="0" applyNumberFormat="1" applyFont="1"/>
    <xf numFmtId="0" fontId="5" fillId="0" borderId="0" xfId="0" applyNumberFormat="1" applyFont="1"/>
    <xf numFmtId="0" fontId="5" fillId="0" borderId="0" xfId="0" applyNumberFormat="1" applyFont="1" applyFill="1"/>
    <xf numFmtId="2" fontId="5" fillId="0" borderId="0" xfId="0" applyNumberFormat="1" applyFont="1"/>
    <xf numFmtId="49" fontId="9" fillId="0" borderId="1" xfId="0" applyNumberFormat="1" applyFont="1" applyBorder="1" applyAlignment="1">
      <alignment horizontal="center" vertical="center"/>
    </xf>
    <xf numFmtId="174" fontId="0" fillId="0" borderId="0" xfId="0" applyNumberFormat="1"/>
    <xf numFmtId="4" fontId="5" fillId="0" borderId="1" xfId="0" applyNumberFormat="1" applyFont="1" applyBorder="1" applyAlignment="1">
      <alignment wrapText="1"/>
    </xf>
    <xf numFmtId="0" fontId="5" fillId="0" borderId="0" xfId="0" applyNumberFormat="1" applyFont="1" applyAlignment="1">
      <alignment horizontal="left"/>
    </xf>
    <xf numFmtId="0" fontId="5" fillId="0" borderId="1" xfId="0" applyNumberFormat="1" applyFont="1" applyBorder="1" applyAlignment="1">
      <alignment horizontal="left" wrapText="1"/>
    </xf>
    <xf numFmtId="0" fontId="5" fillId="0" borderId="1" xfId="0" applyNumberFormat="1" applyFont="1" applyBorder="1" applyAlignment="1">
      <alignment wrapText="1"/>
    </xf>
    <xf numFmtId="49"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NumberFormat="1" applyFont="1" applyFill="1" applyBorder="1" applyAlignment="1">
      <alignment horizontal="left"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vertical="top" wrapText="1"/>
    </xf>
    <xf numFmtId="11" fontId="13" fillId="0" borderId="1" xfId="0" applyNumberFormat="1" applyFont="1" applyFill="1" applyBorder="1" applyAlignment="1">
      <alignment horizontal="left" vertical="center" wrapText="1"/>
    </xf>
    <xf numFmtId="0" fontId="13" fillId="0" borderId="1" xfId="0" applyFont="1" applyBorder="1" applyAlignment="1">
      <alignment horizontal="left" vertical="center" wrapText="1"/>
    </xf>
    <xf numFmtId="2" fontId="13" fillId="0" borderId="1" xfId="0" applyNumberFormat="1" applyFont="1" applyFill="1" applyBorder="1" applyAlignment="1">
      <alignment horizontal="left" vertical="center" wrapText="1"/>
    </xf>
    <xf numFmtId="173" fontId="13" fillId="0" borderId="1" xfId="0" applyNumberFormat="1" applyFont="1" applyFill="1" applyBorder="1" applyAlignment="1">
      <alignment horizontal="left" vertical="center" wrapText="1"/>
    </xf>
    <xf numFmtId="0" fontId="5" fillId="0" borderId="1" xfId="0" applyFont="1" applyBorder="1" applyAlignment="1">
      <alignment horizontal="center"/>
    </xf>
    <xf numFmtId="4" fontId="8" fillId="0" borderId="1" xfId="0" applyNumberFormat="1" applyFont="1" applyFill="1" applyBorder="1" applyAlignment="1">
      <alignment horizontal="right"/>
    </xf>
    <xf numFmtId="4" fontId="5" fillId="0" borderId="1" xfId="0" applyNumberFormat="1" applyFont="1" applyFill="1" applyBorder="1" applyAlignment="1">
      <alignment horizontal="right"/>
    </xf>
    <xf numFmtId="4" fontId="8" fillId="0" borderId="1" xfId="0" applyNumberFormat="1" applyFont="1" applyBorder="1" applyAlignment="1">
      <alignment horizontal="right"/>
    </xf>
    <xf numFmtId="4" fontId="5" fillId="0" borderId="1" xfId="0" applyNumberFormat="1" applyFont="1" applyBorder="1" applyAlignment="1">
      <alignment horizontal="right"/>
    </xf>
    <xf numFmtId="0" fontId="8" fillId="0" borderId="1" xfId="0" applyFont="1" applyFill="1" applyBorder="1" applyAlignment="1">
      <alignment horizontal="center" vertical="top" wrapText="1"/>
    </xf>
    <xf numFmtId="0" fontId="8" fillId="0" borderId="1" xfId="0" applyFont="1" applyBorder="1" applyAlignment="1">
      <alignment horizontal="left" vertical="top" wrapText="1"/>
    </xf>
    <xf numFmtId="49" fontId="13" fillId="0" borderId="7" xfId="0" applyNumberFormat="1" applyFont="1" applyFill="1" applyBorder="1" applyAlignment="1">
      <alignment horizontal="center" vertical="center" wrapText="1"/>
    </xf>
    <xf numFmtId="49" fontId="5" fillId="0" borderId="1" xfId="0" applyNumberFormat="1" applyFont="1" applyBorder="1" applyAlignment="1">
      <alignment horizontal="center" vertical="center" textRotation="90"/>
    </xf>
    <xf numFmtId="49" fontId="5" fillId="0" borderId="1" xfId="0" applyNumberFormat="1" applyFont="1" applyBorder="1" applyAlignment="1">
      <alignment horizontal="center" vertical="center" textRotation="90" wrapText="1"/>
    </xf>
    <xf numFmtId="0" fontId="24"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49" fontId="8" fillId="0" borderId="1" xfId="0" applyNumberFormat="1" applyFont="1" applyFill="1" applyBorder="1" applyAlignment="1">
      <alignment wrapText="1"/>
    </xf>
    <xf numFmtId="49" fontId="8" fillId="0" borderId="1" xfId="0" applyNumberFormat="1" applyFont="1" applyFill="1" applyBorder="1" applyAlignment="1">
      <alignment horizontal="center" wrapText="1"/>
    </xf>
    <xf numFmtId="4" fontId="8" fillId="0" borderId="1" xfId="0" applyNumberFormat="1" applyFont="1" applyFill="1" applyBorder="1"/>
    <xf numFmtId="0" fontId="8" fillId="0" borderId="1" xfId="0" applyFont="1" applyFill="1" applyBorder="1" applyAlignment="1">
      <alignment wrapText="1"/>
    </xf>
    <xf numFmtId="49" fontId="8" fillId="0" borderId="1" xfId="0" applyNumberFormat="1" applyFont="1" applyBorder="1" applyAlignment="1">
      <alignment horizontal="center" wrapText="1"/>
    </xf>
    <xf numFmtId="49" fontId="5" fillId="0" borderId="1" xfId="0" applyNumberFormat="1" applyFont="1" applyBorder="1" applyAlignment="1">
      <alignment horizontal="center" wrapText="1"/>
    </xf>
    <xf numFmtId="172" fontId="5" fillId="0" borderId="1" xfId="0" applyNumberFormat="1" applyFont="1" applyFill="1" applyBorder="1" applyAlignment="1">
      <alignment horizontal="left" vertical="center" wrapText="1"/>
    </xf>
    <xf numFmtId="49" fontId="8" fillId="0" borderId="1" xfId="0" applyNumberFormat="1" applyFont="1" applyBorder="1" applyAlignment="1">
      <alignment wrapText="1"/>
    </xf>
    <xf numFmtId="49" fontId="5" fillId="0" borderId="1" xfId="0" applyNumberFormat="1" applyFont="1" applyBorder="1" applyAlignment="1">
      <alignment wrapText="1"/>
    </xf>
    <xf numFmtId="0" fontId="8" fillId="0" borderId="1" xfId="0" applyFont="1" applyFill="1" applyBorder="1" applyAlignment="1">
      <alignment horizontal="left" wrapText="1"/>
    </xf>
    <xf numFmtId="0" fontId="5" fillId="0" borderId="1" xfId="0" applyFont="1" applyFill="1" applyBorder="1" applyAlignment="1">
      <alignment horizontal="left" wrapText="1"/>
    </xf>
    <xf numFmtId="0" fontId="8" fillId="0" borderId="1" xfId="0" applyNumberFormat="1" applyFont="1" applyFill="1" applyBorder="1" applyAlignment="1">
      <alignment horizontal="left" vertical="top" wrapText="1"/>
    </xf>
    <xf numFmtId="2" fontId="5" fillId="0" borderId="1" xfId="0" applyNumberFormat="1" applyFont="1" applyBorder="1" applyAlignment="1">
      <alignment horizontal="justify" vertical="top" wrapText="1"/>
    </xf>
    <xf numFmtId="0" fontId="8" fillId="0" borderId="1" xfId="0" applyNumberFormat="1" applyFont="1" applyFill="1" applyBorder="1" applyAlignment="1">
      <alignment vertical="top" wrapText="1"/>
    </xf>
    <xf numFmtId="0" fontId="8" fillId="0" borderId="1" xfId="0" applyNumberFormat="1" applyFont="1" applyFill="1" applyBorder="1" applyAlignment="1">
      <alignment horizontal="left" wrapText="1"/>
    </xf>
    <xf numFmtId="0" fontId="8" fillId="0" borderId="1" xfId="0" applyFont="1" applyFill="1" applyBorder="1" applyAlignment="1">
      <alignment horizontal="justify" vertical="top" wrapText="1"/>
    </xf>
    <xf numFmtId="4" fontId="8" fillId="0" borderId="0" xfId="0" applyNumberFormat="1" applyFont="1"/>
    <xf numFmtId="0" fontId="25" fillId="0" borderId="0" xfId="0" applyFont="1"/>
    <xf numFmtId="49" fontId="25" fillId="0" borderId="0" xfId="0" applyNumberFormat="1" applyFont="1" applyAlignment="1">
      <alignment horizontal="right" vertical="center"/>
    </xf>
    <xf numFmtId="49" fontId="5" fillId="0" borderId="1" xfId="0" applyNumberFormat="1" applyFont="1" applyBorder="1" applyAlignment="1">
      <alignment horizontal="center"/>
    </xf>
    <xf numFmtId="49" fontId="5" fillId="0" borderId="1" xfId="0" applyNumberFormat="1" applyFont="1" applyBorder="1"/>
    <xf numFmtId="49" fontId="5" fillId="0" borderId="1" xfId="0" applyNumberFormat="1" applyFont="1" applyFill="1" applyBorder="1" applyAlignment="1">
      <alignment horizontal="center"/>
    </xf>
    <xf numFmtId="49" fontId="5" fillId="0" borderId="1" xfId="0" applyNumberFormat="1" applyFont="1" applyFill="1" applyBorder="1" applyAlignment="1"/>
    <xf numFmtId="49" fontId="8" fillId="0" borderId="1" xfId="0" applyNumberFormat="1" applyFont="1" applyFill="1" applyBorder="1" applyAlignment="1">
      <alignment horizontal="center"/>
    </xf>
    <xf numFmtId="49" fontId="8" fillId="0" borderId="1" xfId="0" applyNumberFormat="1" applyFont="1" applyFill="1" applyBorder="1" applyAlignment="1"/>
    <xf numFmtId="0" fontId="5" fillId="0" borderId="1" xfId="22" applyNumberFormat="1" applyFont="1" applyFill="1" applyBorder="1" applyAlignment="1">
      <alignment horizontal="left" vertical="top" wrapText="1"/>
    </xf>
    <xf numFmtId="49" fontId="23" fillId="0" borderId="1" xfId="0" applyNumberFormat="1" applyFont="1" applyFill="1" applyBorder="1" applyAlignment="1"/>
    <xf numFmtId="0" fontId="5" fillId="0" borderId="1" xfId="0" applyFont="1" applyFill="1" applyBorder="1" applyAlignment="1"/>
    <xf numFmtId="0" fontId="8" fillId="0" borderId="1" xfId="0" applyFont="1" applyFill="1" applyBorder="1" applyAlignment="1"/>
    <xf numFmtId="0" fontId="13" fillId="0" borderId="1" xfId="22" applyNumberFormat="1" applyFont="1" applyFill="1" applyBorder="1" applyAlignment="1">
      <alignment horizontal="left" vertical="top" wrapText="1"/>
    </xf>
    <xf numFmtId="49" fontId="5" fillId="0" borderId="1" xfId="0" applyNumberFormat="1" applyFont="1" applyFill="1" applyBorder="1" applyAlignment="1">
      <alignment horizontal="left" wrapText="1"/>
    </xf>
    <xf numFmtId="2" fontId="5" fillId="0" borderId="1" xfId="0" applyNumberFormat="1" applyFont="1" applyBorder="1" applyAlignment="1">
      <alignment wrapText="1"/>
    </xf>
    <xf numFmtId="4" fontId="5" fillId="0" borderId="1" xfId="0" applyNumberFormat="1" applyFont="1" applyFill="1" applyBorder="1" applyAlignment="1">
      <alignment horizontal="right" wrapText="1"/>
    </xf>
    <xf numFmtId="4" fontId="5" fillId="0" borderId="1" xfId="0" applyNumberFormat="1" applyFont="1" applyBorder="1" applyAlignment="1"/>
    <xf numFmtId="4" fontId="8" fillId="0" borderId="1" xfId="19" applyNumberFormat="1" applyFont="1" applyBorder="1" applyAlignment="1">
      <alignment horizontal="right" vertical="center"/>
    </xf>
    <xf numFmtId="2" fontId="5" fillId="0" borderId="1" xfId="0" applyNumberFormat="1" applyFont="1" applyFill="1" applyBorder="1" applyAlignment="1">
      <alignment horizontal="left" vertical="top" wrapText="1"/>
    </xf>
    <xf numFmtId="4" fontId="5" fillId="0" borderId="5" xfId="0" applyNumberFormat="1" applyFont="1" applyBorder="1" applyAlignment="1">
      <alignment horizontal="right" wrapText="1"/>
    </xf>
    <xf numFmtId="4" fontId="5" fillId="0" borderId="1" xfId="0" applyNumberFormat="1" applyFont="1" applyBorder="1"/>
    <xf numFmtId="4" fontId="5" fillId="0" borderId="1" xfId="17" applyNumberFormat="1" applyFont="1" applyBorder="1"/>
    <xf numFmtId="0" fontId="5" fillId="0" borderId="0" xfId="0" applyFont="1" applyAlignment="1">
      <alignment horizontal="right" wrapText="1"/>
    </xf>
    <xf numFmtId="4" fontId="5" fillId="0" borderId="0" xfId="0" applyNumberFormat="1" applyFont="1" applyAlignment="1">
      <alignment horizontal="right"/>
    </xf>
    <xf numFmtId="11" fontId="5" fillId="0" borderId="1" xfId="0" applyNumberFormat="1" applyFont="1" applyFill="1" applyBorder="1" applyAlignment="1">
      <alignment horizontal="left" vertical="top" wrapText="1"/>
    </xf>
    <xf numFmtId="49" fontId="30" fillId="0" borderId="1" xfId="0" applyNumberFormat="1" applyFont="1" applyFill="1" applyBorder="1" applyAlignment="1">
      <alignment horizontal="center" vertical="top" wrapText="1"/>
    </xf>
    <xf numFmtId="49" fontId="30" fillId="0" borderId="1" xfId="0" applyNumberFormat="1" applyFont="1" applyFill="1" applyBorder="1" applyAlignment="1">
      <alignment horizontal="left" vertical="top" wrapText="1"/>
    </xf>
    <xf numFmtId="49" fontId="31" fillId="0" borderId="10" xfId="0" applyNumberFormat="1" applyFont="1" applyFill="1" applyBorder="1" applyAlignment="1">
      <alignment horizontal="center" vertical="top" wrapText="1"/>
    </xf>
    <xf numFmtId="172" fontId="31" fillId="0" borderId="10" xfId="0" applyNumberFormat="1" applyFont="1" applyFill="1" applyBorder="1" applyAlignment="1">
      <alignment horizontal="left" vertical="top" wrapText="1"/>
    </xf>
    <xf numFmtId="49" fontId="31" fillId="0" borderId="10" xfId="0" applyNumberFormat="1" applyFont="1" applyFill="1" applyBorder="1" applyAlignment="1">
      <alignment horizontal="left" vertical="top" wrapText="1"/>
    </xf>
    <xf numFmtId="172" fontId="30" fillId="0" borderId="1" xfId="0" applyNumberFormat="1" applyFont="1" applyFill="1" applyBorder="1" applyAlignment="1">
      <alignment horizontal="left" vertical="top" wrapText="1"/>
    </xf>
    <xf numFmtId="49" fontId="31" fillId="0" borderId="11" xfId="0" applyNumberFormat="1" applyFont="1" applyFill="1" applyBorder="1" applyAlignment="1">
      <alignment horizontal="center" vertical="top" wrapText="1"/>
    </xf>
    <xf numFmtId="172" fontId="31" fillId="0" borderId="11" xfId="0" applyNumberFormat="1" applyFont="1" applyFill="1" applyBorder="1" applyAlignment="1">
      <alignment horizontal="left" vertical="top" wrapText="1"/>
    </xf>
    <xf numFmtId="49" fontId="0" fillId="0" borderId="1" xfId="0" applyNumberFormat="1" applyBorder="1" applyAlignment="1">
      <alignment horizontal="right"/>
    </xf>
    <xf numFmtId="0" fontId="0" fillId="0" borderId="1" xfId="0" applyFont="1" applyBorder="1" applyAlignment="1">
      <alignment wrapText="1"/>
    </xf>
    <xf numFmtId="0" fontId="0" fillId="0" borderId="1" xfId="0" applyNumberFormat="1" applyBorder="1" applyAlignment="1">
      <alignment wrapText="1"/>
    </xf>
    <xf numFmtId="49" fontId="0" fillId="0" borderId="1" xfId="0" applyNumberFormat="1" applyBorder="1"/>
    <xf numFmtId="0" fontId="28" fillId="0" borderId="1" xfId="0" applyFont="1" applyBorder="1" applyAlignment="1">
      <alignment wrapText="1"/>
    </xf>
    <xf numFmtId="0" fontId="28" fillId="0" borderId="1" xfId="0" applyNumberFormat="1" applyFont="1" applyBorder="1" applyAlignment="1">
      <alignment wrapText="1"/>
    </xf>
    <xf numFmtId="49" fontId="0" fillId="0" borderId="0" xfId="0" applyNumberFormat="1"/>
    <xf numFmtId="0" fontId="28" fillId="0" borderId="0" xfId="0" applyFont="1" applyAlignment="1">
      <alignment wrapText="1"/>
    </xf>
    <xf numFmtId="0" fontId="28" fillId="0" borderId="0" xfId="0" applyFont="1" applyFill="1" applyBorder="1" applyAlignment="1">
      <alignment wrapText="1"/>
    </xf>
    <xf numFmtId="3" fontId="13" fillId="0" borderId="0" xfId="0" applyNumberFormat="1" applyFont="1"/>
    <xf numFmtId="49" fontId="5" fillId="0" borderId="1" xfId="0" applyNumberFormat="1" applyFont="1" applyFill="1" applyBorder="1" applyAlignment="1">
      <alignment horizontal="center" vertical="center" wrapText="1"/>
    </xf>
    <xf numFmtId="0" fontId="25" fillId="0" borderId="1" xfId="0" applyFont="1" applyBorder="1" applyAlignment="1">
      <alignment horizontal="center" vertical="top" wrapText="1"/>
    </xf>
    <xf numFmtId="0" fontId="25" fillId="0" borderId="1" xfId="0" applyFont="1" applyFill="1" applyBorder="1" applyAlignment="1">
      <alignment horizontal="center" vertical="top" wrapText="1"/>
    </xf>
    <xf numFmtId="0" fontId="25" fillId="0" borderId="1" xfId="0" quotePrefix="1" applyFont="1" applyBorder="1" applyAlignment="1">
      <alignment horizontal="left" vertical="top" wrapText="1"/>
    </xf>
    <xf numFmtId="0" fontId="25" fillId="0" borderId="1" xfId="0" applyFont="1" applyBorder="1" applyAlignment="1">
      <alignment vertical="top" wrapText="1"/>
    </xf>
    <xf numFmtId="0" fontId="25" fillId="0" borderId="1" xfId="0" applyFont="1" applyBorder="1" applyAlignment="1">
      <alignment horizontal="center" vertical="top"/>
    </xf>
    <xf numFmtId="0" fontId="25" fillId="0" borderId="4" xfId="0" applyNumberFormat="1" applyFont="1" applyFill="1" applyBorder="1" applyAlignment="1">
      <alignment horizontal="center" vertical="center" wrapText="1"/>
    </xf>
    <xf numFmtId="0" fontId="16" fillId="0" borderId="8" xfId="0" applyFont="1" applyBorder="1" applyAlignment="1">
      <alignment horizontal="center" wrapText="1"/>
    </xf>
    <xf numFmtId="0" fontId="10" fillId="0" borderId="8" xfId="0" applyFont="1" applyBorder="1" applyAlignment="1">
      <alignment horizontal="center"/>
    </xf>
    <xf numFmtId="0" fontId="25" fillId="0" borderId="1" xfId="0" applyFont="1" applyFill="1" applyBorder="1" applyAlignment="1">
      <alignment wrapText="1"/>
    </xf>
    <xf numFmtId="0" fontId="25" fillId="0" borderId="1" xfId="0" applyFont="1" applyFill="1" applyBorder="1" applyAlignment="1">
      <alignment horizontal="left" wrapText="1"/>
    </xf>
    <xf numFmtId="0" fontId="0" fillId="0" borderId="1" xfId="0" applyBorder="1"/>
    <xf numFmtId="0" fontId="25" fillId="0" borderId="1" xfId="0" applyFont="1" applyFill="1" applyBorder="1" applyAlignment="1">
      <alignment horizontal="center" vertical="top"/>
    </xf>
    <xf numFmtId="0" fontId="25" fillId="0" borderId="1" xfId="0" applyFont="1" applyFill="1" applyBorder="1" applyAlignment="1">
      <alignment vertical="top" wrapText="1"/>
    </xf>
    <xf numFmtId="0" fontId="25" fillId="0" borderId="4" xfId="0" applyNumberFormat="1" applyFont="1" applyFill="1" applyBorder="1" applyAlignment="1">
      <alignment vertical="center" wrapText="1"/>
    </xf>
    <xf numFmtId="0" fontId="25" fillId="0" borderId="1" xfId="0" applyFont="1" applyBorder="1"/>
    <xf numFmtId="0" fontId="25" fillId="0" borderId="0" xfId="0" applyNumberFormat="1" applyFont="1" applyFill="1" applyAlignment="1">
      <alignment wrapText="1"/>
    </xf>
    <xf numFmtId="0" fontId="25" fillId="0" borderId="1" xfId="0" quotePrefix="1" applyFont="1" applyBorder="1" applyAlignment="1">
      <alignment horizontal="center" wrapText="1"/>
    </xf>
    <xf numFmtId="49" fontId="4" fillId="0" borderId="0" xfId="0" applyNumberFormat="1" applyFont="1" applyAlignment="1">
      <alignment horizontal="right"/>
    </xf>
    <xf numFmtId="0" fontId="5" fillId="0" borderId="1" xfId="0" applyNumberFormat="1" applyFont="1" applyFill="1" applyBorder="1" applyAlignment="1">
      <alignment horizontal="left" wrapText="1"/>
    </xf>
    <xf numFmtId="0" fontId="16" fillId="0" borderId="0" xfId="0" applyFont="1" applyBorder="1" applyAlignment="1">
      <alignment horizontal="center" vertical="center" wrapText="1"/>
    </xf>
    <xf numFmtId="0" fontId="5" fillId="0" borderId="1" xfId="0" applyNumberFormat="1" applyFont="1" applyBorder="1"/>
    <xf numFmtId="0" fontId="5" fillId="0" borderId="1" xfId="0" applyNumberFormat="1" applyFont="1" applyFill="1" applyBorder="1"/>
    <xf numFmtId="49" fontId="5" fillId="0" borderId="1" xfId="0" applyNumberFormat="1" applyFont="1" applyFill="1" applyBorder="1" applyAlignment="1">
      <alignment horizontal="center" vertical="top" wrapText="1"/>
    </xf>
    <xf numFmtId="0" fontId="27" fillId="0" borderId="1" xfId="0" applyFont="1" applyBorder="1" applyAlignment="1">
      <alignment horizontal="center" vertical="center"/>
    </xf>
    <xf numFmtId="0" fontId="26" fillId="0" borderId="1" xfId="0" applyFont="1" applyBorder="1" applyAlignment="1">
      <alignment horizontal="right"/>
    </xf>
    <xf numFmtId="2" fontId="5" fillId="0" borderId="1" xfId="0" applyNumberFormat="1" applyFont="1" applyFill="1" applyBorder="1" applyAlignment="1">
      <alignment wrapText="1"/>
    </xf>
    <xf numFmtId="0" fontId="9" fillId="0" borderId="1" xfId="0" applyFont="1" applyBorder="1" applyAlignment="1">
      <alignment horizontal="right"/>
    </xf>
    <xf numFmtId="165" fontId="9" fillId="0" borderId="1" xfId="17" applyFont="1" applyBorder="1" applyAlignment="1">
      <alignment vertical="center"/>
    </xf>
    <xf numFmtId="167" fontId="5" fillId="0" borderId="1" xfId="0" applyNumberFormat="1" applyFont="1" applyFill="1" applyBorder="1" applyAlignment="1">
      <alignment horizontal="right" vertical="center" wrapText="1"/>
    </xf>
    <xf numFmtId="0" fontId="16" fillId="0" borderId="0" xfId="0" applyFont="1" applyBorder="1" applyAlignment="1">
      <alignment horizontal="center" vertical="center" wrapText="1"/>
    </xf>
    <xf numFmtId="0" fontId="16" fillId="0" borderId="0" xfId="0" applyFont="1" applyBorder="1" applyAlignment="1">
      <alignment horizontal="center" vertical="center" wrapText="1"/>
    </xf>
    <xf numFmtId="49" fontId="9" fillId="0" borderId="1" xfId="0" applyNumberFormat="1" applyFont="1" applyBorder="1" applyAlignment="1">
      <alignment horizontal="center" vertical="center"/>
    </xf>
    <xf numFmtId="0" fontId="13" fillId="0" borderId="1" xfId="0" applyFont="1" applyFill="1" applyBorder="1" applyAlignment="1">
      <alignment horizontal="center"/>
    </xf>
    <xf numFmtId="0" fontId="16" fillId="0" borderId="0" xfId="0" applyFont="1" applyBorder="1" applyAlignment="1">
      <alignment horizontal="center" vertical="center" wrapText="1"/>
    </xf>
    <xf numFmtId="4" fontId="5" fillId="0" borderId="1" xfId="17" applyNumberFormat="1" applyFont="1" applyBorder="1" applyAlignment="1"/>
    <xf numFmtId="4" fontId="5" fillId="0" borderId="1" xfId="17" applyNumberFormat="1" applyFont="1" applyBorder="1" applyAlignment="1">
      <alignment horizontal="right"/>
    </xf>
    <xf numFmtId="2" fontId="5" fillId="0" borderId="1" xfId="0" applyNumberFormat="1" applyFont="1" applyBorder="1"/>
    <xf numFmtId="4" fontId="9" fillId="0" borderId="1" xfId="0" applyNumberFormat="1" applyFont="1" applyBorder="1" applyAlignment="1">
      <alignment wrapText="1"/>
    </xf>
    <xf numFmtId="4" fontId="9" fillId="0" borderId="1" xfId="17" applyNumberFormat="1" applyFont="1" applyBorder="1" applyAlignment="1">
      <alignment horizontal="right" wrapText="1"/>
    </xf>
    <xf numFmtId="4" fontId="10" fillId="0" borderId="1" xfId="0" applyNumberFormat="1" applyFont="1" applyBorder="1" applyAlignment="1">
      <alignment horizontal="right" vertical="center" wrapText="1"/>
    </xf>
    <xf numFmtId="4" fontId="10" fillId="0" borderId="1" xfId="0" applyNumberFormat="1" applyFont="1" applyBorder="1"/>
    <xf numFmtId="4" fontId="10" fillId="0" borderId="1" xfId="17" applyNumberFormat="1" applyFont="1" applyBorder="1" applyAlignment="1">
      <alignment horizontal="right"/>
    </xf>
    <xf numFmtId="4" fontId="9" fillId="0" borderId="1" xfId="0" applyNumberFormat="1" applyFont="1" applyBorder="1" applyAlignment="1">
      <alignment horizontal="right" vertical="center" wrapText="1"/>
    </xf>
    <xf numFmtId="169" fontId="9" fillId="0" borderId="1" xfId="19" applyNumberFormat="1" applyFont="1" applyBorder="1" applyAlignment="1">
      <alignment horizontal="right" vertical="center"/>
    </xf>
    <xf numFmtId="169" fontId="7" fillId="0" borderId="2" xfId="1" applyNumberFormat="1" applyFont="1" applyFill="1" applyBorder="1" applyAlignment="1">
      <alignment vertical="center"/>
    </xf>
    <xf numFmtId="169" fontId="19" fillId="0" borderId="2" xfId="3" applyNumberFormat="1" applyFont="1" applyFill="1" applyBorder="1"/>
    <xf numFmtId="169" fontId="19" fillId="0" borderId="1" xfId="3" applyNumberFormat="1" applyFont="1" applyFill="1" applyBorder="1"/>
    <xf numFmtId="0" fontId="5" fillId="0" borderId="1" xfId="0" applyNumberFormat="1" applyFont="1" applyBorder="1" applyAlignment="1">
      <alignment horizontal="left"/>
    </xf>
    <xf numFmtId="4" fontId="8" fillId="0" borderId="1" xfId="0" applyNumberFormat="1" applyFont="1" applyFill="1" applyBorder="1" applyAlignment="1">
      <alignment vertical="center" wrapText="1"/>
    </xf>
    <xf numFmtId="0" fontId="19" fillId="0" borderId="12" xfId="2" applyFont="1" applyFill="1" applyBorder="1" applyAlignment="1">
      <alignment horizontal="left" wrapText="1"/>
    </xf>
    <xf numFmtId="169" fontId="7" fillId="0" borderId="12" xfId="1" applyNumberFormat="1" applyFont="1" applyFill="1" applyBorder="1" applyAlignment="1">
      <alignment vertical="center"/>
    </xf>
    <xf numFmtId="169" fontId="19" fillId="0" borderId="12" xfId="3" applyNumberFormat="1" applyFont="1" applyFill="1" applyBorder="1"/>
    <xf numFmtId="0" fontId="7" fillId="0" borderId="1" xfId="2" applyFont="1" applyFill="1" applyBorder="1" applyAlignment="1">
      <alignment horizontal="left" wrapText="1"/>
    </xf>
    <xf numFmtId="169" fontId="7" fillId="0" borderId="1" xfId="1" applyNumberFormat="1" applyFont="1" applyFill="1" applyBorder="1" applyAlignment="1">
      <alignment vertical="center"/>
    </xf>
    <xf numFmtId="0" fontId="19" fillId="0" borderId="1" xfId="2" applyFont="1" applyFill="1" applyBorder="1" applyAlignment="1">
      <alignment horizontal="left" wrapText="1"/>
    </xf>
    <xf numFmtId="11" fontId="5" fillId="0" borderId="1" xfId="0" applyNumberFormat="1" applyFont="1" applyFill="1" applyBorder="1" applyAlignment="1">
      <alignment horizontal="left" vertical="center" wrapText="1"/>
    </xf>
    <xf numFmtId="172" fontId="8" fillId="0" borderId="1" xfId="0" applyNumberFormat="1" applyFont="1" applyFill="1" applyBorder="1" applyAlignment="1">
      <alignment horizontal="left" vertical="center" wrapText="1"/>
    </xf>
    <xf numFmtId="49" fontId="8" fillId="0" borderId="1" xfId="0" applyNumberFormat="1" applyFont="1" applyBorder="1" applyAlignment="1">
      <alignment horizontal="center"/>
    </xf>
    <xf numFmtId="49" fontId="8" fillId="0" borderId="1" xfId="0" applyNumberFormat="1" applyFont="1" applyBorder="1"/>
    <xf numFmtId="0" fontId="8" fillId="0" borderId="5" xfId="0" applyFont="1" applyBorder="1" applyAlignment="1">
      <alignment wrapText="1"/>
    </xf>
    <xf numFmtId="0" fontId="5" fillId="0" borderId="1" xfId="0" applyNumberFormat="1" applyFont="1" applyFill="1" applyBorder="1" applyAlignment="1">
      <alignment vertical="top" wrapText="1"/>
    </xf>
    <xf numFmtId="0" fontId="8" fillId="0" borderId="0" xfId="0" applyFont="1" applyAlignment="1">
      <alignment horizontal="justify" vertical="top" wrapText="1"/>
    </xf>
    <xf numFmtId="0" fontId="10" fillId="0" borderId="1" xfId="0" applyFont="1" applyBorder="1" applyAlignment="1">
      <alignment horizontal="center" vertical="center" wrapText="1"/>
    </xf>
    <xf numFmtId="0" fontId="10" fillId="0" borderId="0" xfId="0" applyFont="1"/>
    <xf numFmtId="0" fontId="10" fillId="0" borderId="1" xfId="0" applyFont="1" applyBorder="1" applyAlignment="1">
      <alignment wrapText="1"/>
    </xf>
    <xf numFmtId="4" fontId="10" fillId="0" borderId="1" xfId="0" applyNumberFormat="1" applyFont="1" applyBorder="1" applyAlignment="1" applyProtection="1">
      <alignment horizontal="right" vertical="top" wrapText="1"/>
    </xf>
    <xf numFmtId="167" fontId="10" fillId="0" borderId="1" xfId="0" applyNumberFormat="1" applyFont="1" applyFill="1" applyBorder="1" applyAlignment="1">
      <alignment horizontal="right" vertical="center" wrapText="1"/>
    </xf>
    <xf numFmtId="4" fontId="9" fillId="0" borderId="1" xfId="0" applyNumberFormat="1" applyFont="1" applyBorder="1"/>
    <xf numFmtId="0" fontId="8" fillId="0" borderId="1" xfId="0" applyFont="1" applyBorder="1" applyAlignment="1">
      <alignment horizontal="justify" vertical="top" wrapText="1"/>
    </xf>
    <xf numFmtId="0" fontId="10" fillId="0" borderId="8" xfId="0" applyFont="1" applyBorder="1" applyAlignment="1">
      <alignment horizontal="right"/>
    </xf>
    <xf numFmtId="49" fontId="9" fillId="0" borderId="1" xfId="0" applyNumberFormat="1" applyFont="1" applyBorder="1" applyAlignment="1">
      <alignment horizontal="center" vertical="center"/>
    </xf>
    <xf numFmtId="0" fontId="5" fillId="0" borderId="1" xfId="0" applyFont="1" applyFill="1" applyBorder="1" applyAlignment="1">
      <alignment horizontal="right"/>
    </xf>
    <xf numFmtId="172" fontId="5" fillId="0" borderId="1" xfId="0" applyNumberFormat="1" applyFont="1" applyFill="1" applyBorder="1" applyAlignment="1" applyProtection="1">
      <alignment horizontal="left" vertical="center" wrapText="1"/>
    </xf>
    <xf numFmtId="49" fontId="8" fillId="0" borderId="7" xfId="0" applyNumberFormat="1" applyFont="1" applyBorder="1" applyAlignment="1">
      <alignment vertical="center" wrapText="1"/>
    </xf>
    <xf numFmtId="49" fontId="8" fillId="0" borderId="9" xfId="0" applyNumberFormat="1" applyFont="1" applyBorder="1" applyAlignment="1">
      <alignment vertical="center" wrapText="1"/>
    </xf>
    <xf numFmtId="49" fontId="8" fillId="0" borderId="5" xfId="0" applyNumberFormat="1" applyFont="1" applyBorder="1" applyAlignment="1">
      <alignment vertical="center" wrapText="1"/>
    </xf>
    <xf numFmtId="0" fontId="31" fillId="0" borderId="1" xfId="0" applyFont="1" applyBorder="1" applyAlignment="1">
      <alignment horizontal="center" vertical="center" wrapText="1"/>
    </xf>
    <xf numFmtId="49" fontId="5" fillId="0" borderId="1" xfId="0" applyNumberFormat="1" applyFont="1" applyFill="1" applyBorder="1" applyAlignment="1">
      <alignment horizontal="center" vertical="center" wrapText="1"/>
    </xf>
    <xf numFmtId="49" fontId="8" fillId="0" borderId="7" xfId="0" applyNumberFormat="1" applyFont="1" applyFill="1" applyBorder="1" applyAlignment="1">
      <alignment vertical="center" wrapText="1"/>
    </xf>
    <xf numFmtId="49" fontId="8" fillId="0" borderId="9" xfId="0" applyNumberFormat="1" applyFont="1" applyFill="1" applyBorder="1" applyAlignment="1">
      <alignment vertical="center" wrapText="1"/>
    </xf>
    <xf numFmtId="49" fontId="8" fillId="0" borderId="5" xfId="0" applyNumberFormat="1" applyFont="1" applyFill="1" applyBorder="1" applyAlignment="1">
      <alignment vertical="center" wrapText="1"/>
    </xf>
    <xf numFmtId="0" fontId="5" fillId="0" borderId="5" xfId="0" applyFont="1" applyBorder="1" applyAlignment="1">
      <alignment wrapText="1"/>
    </xf>
    <xf numFmtId="0" fontId="8" fillId="0" borderId="0" xfId="0" applyFont="1" applyAlignment="1">
      <alignment wrapText="1"/>
    </xf>
    <xf numFmtId="4" fontId="5" fillId="0" borderId="1" xfId="0" applyNumberFormat="1" applyFont="1" applyFill="1" applyBorder="1"/>
    <xf numFmtId="0" fontId="8" fillId="0" borderId="1" xfId="0" applyFont="1" applyBorder="1" applyAlignment="1">
      <alignment wrapText="1"/>
    </xf>
    <xf numFmtId="165" fontId="5" fillId="0" borderId="1" xfId="17" applyFont="1" applyBorder="1"/>
    <xf numFmtId="0" fontId="8" fillId="0" borderId="1" xfId="22" applyNumberFormat="1" applyFont="1" applyFill="1" applyBorder="1" applyAlignment="1">
      <alignment horizontal="left" vertical="top" wrapText="1"/>
    </xf>
    <xf numFmtId="0" fontId="23" fillId="2" borderId="1" xfId="0" applyNumberFormat="1" applyFont="1" applyFill="1" applyBorder="1" applyAlignment="1">
      <alignment horizontal="left" vertical="top" wrapText="1"/>
    </xf>
    <xf numFmtId="49" fontId="23" fillId="2" borderId="1" xfId="0" applyNumberFormat="1" applyFont="1" applyFill="1" applyBorder="1" applyAlignment="1">
      <alignment horizontal="center" vertical="top" wrapText="1"/>
    </xf>
    <xf numFmtId="0" fontId="0" fillId="0" borderId="1" xfId="0" applyFont="1" applyBorder="1" applyAlignment="1">
      <alignment horizontal="center" vertical="top" wrapText="1"/>
    </xf>
    <xf numFmtId="49" fontId="0" fillId="0" borderId="1" xfId="0" applyNumberFormat="1" applyFont="1" applyBorder="1" applyAlignment="1">
      <alignment horizontal="center" vertical="top" wrapText="1"/>
    </xf>
    <xf numFmtId="4" fontId="0" fillId="0" borderId="1" xfId="0" applyNumberFormat="1" applyFont="1" applyBorder="1" applyAlignment="1">
      <alignment horizontal="right" vertical="top" wrapText="1"/>
    </xf>
    <xf numFmtId="49" fontId="9" fillId="0" borderId="1" xfId="0" applyNumberFormat="1" applyFont="1" applyBorder="1" applyAlignment="1">
      <alignment horizontal="center" vertical="center"/>
    </xf>
    <xf numFmtId="167" fontId="19" fillId="0" borderId="1" xfId="0" applyNumberFormat="1" applyFont="1" applyFill="1" applyBorder="1" applyAlignment="1">
      <alignment wrapText="1"/>
    </xf>
    <xf numFmtId="165" fontId="19" fillId="0" borderId="1" xfId="17" applyFont="1" applyFill="1" applyBorder="1"/>
    <xf numFmtId="165" fontId="10" fillId="0" borderId="1" xfId="17" applyFont="1" applyBorder="1"/>
    <xf numFmtId="169" fontId="9" fillId="0" borderId="1" xfId="20" applyNumberFormat="1" applyFont="1" applyBorder="1" applyAlignment="1">
      <alignment horizontal="right" vertical="center"/>
    </xf>
    <xf numFmtId="0" fontId="8" fillId="0" borderId="1" xfId="0" applyNumberFormat="1" applyFont="1" applyBorder="1" applyAlignment="1">
      <alignment wrapText="1"/>
    </xf>
    <xf numFmtId="0" fontId="0" fillId="0" borderId="13" xfId="0" applyFont="1" applyBorder="1"/>
    <xf numFmtId="0" fontId="5" fillId="3" borderId="1" xfId="0" applyFont="1" applyFill="1" applyBorder="1"/>
    <xf numFmtId="0" fontId="5" fillId="3" borderId="1" xfId="0" applyFont="1" applyFill="1" applyBorder="1" applyAlignment="1">
      <alignment horizontal="right"/>
    </xf>
    <xf numFmtId="0" fontId="10"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165" fontId="5" fillId="0" borderId="1" xfId="17" applyFont="1" applyBorder="1" applyAlignment="1">
      <alignment horizontal="right" vertical="center"/>
    </xf>
    <xf numFmtId="4" fontId="5" fillId="0" borderId="1" xfId="0" applyNumberFormat="1" applyFont="1" applyBorder="1" applyAlignment="1">
      <alignment horizontal="right" vertical="center" wrapText="1"/>
    </xf>
    <xf numFmtId="4" fontId="5" fillId="0" borderId="1" xfId="17" applyNumberFormat="1" applyFont="1" applyBorder="1" applyAlignment="1">
      <alignment horizontal="right" vertical="center" wrapText="1"/>
    </xf>
    <xf numFmtId="165" fontId="5" fillId="0" borderId="1" xfId="17" applyFont="1" applyBorder="1" applyAlignment="1">
      <alignment horizontal="right" vertical="center" wrapText="1"/>
    </xf>
    <xf numFmtId="4" fontId="5" fillId="0" borderId="1" xfId="0" applyNumberFormat="1" applyFont="1" applyBorder="1" applyAlignment="1">
      <alignment horizontal="right" vertical="center"/>
    </xf>
    <xf numFmtId="4" fontId="5" fillId="0" borderId="1" xfId="17" applyNumberFormat="1" applyFont="1" applyBorder="1" applyAlignment="1">
      <alignment horizontal="right" vertical="center"/>
    </xf>
    <xf numFmtId="49" fontId="5" fillId="0" borderId="1" xfId="0" applyNumberFormat="1" applyFont="1" applyFill="1" applyBorder="1" applyAlignment="1">
      <alignment horizontal="center" vertical="center" wrapText="1"/>
    </xf>
    <xf numFmtId="0" fontId="5" fillId="0" borderId="1" xfId="0" applyFont="1" applyBorder="1" applyAlignment="1">
      <alignment horizontal="left"/>
    </xf>
    <xf numFmtId="0" fontId="10" fillId="0" borderId="1" xfId="0" applyFont="1" applyFill="1" applyBorder="1"/>
    <xf numFmtId="49" fontId="10"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xf>
    <xf numFmtId="167" fontId="9" fillId="0" borderId="1" xfId="20" applyNumberFormat="1" applyFont="1" applyFill="1" applyBorder="1" applyAlignment="1">
      <alignment horizontal="right" vertical="center"/>
    </xf>
    <xf numFmtId="0" fontId="23" fillId="0" borderId="1" xfId="0" applyNumberFormat="1" applyFont="1" applyFill="1" applyBorder="1" applyAlignment="1">
      <alignment horizontal="left" vertical="top" wrapText="1"/>
    </xf>
    <xf numFmtId="49" fontId="10" fillId="0" borderId="1" xfId="23" applyNumberFormat="1" applyFont="1" applyBorder="1" applyAlignment="1" applyProtection="1">
      <alignment horizontal="left" vertical="center" wrapText="1"/>
    </xf>
    <xf numFmtId="4" fontId="10" fillId="0" borderId="1" xfId="23" applyNumberFormat="1" applyFont="1" applyBorder="1" applyAlignment="1" applyProtection="1">
      <alignment horizontal="right" vertical="center" wrapText="1"/>
    </xf>
    <xf numFmtId="0" fontId="5" fillId="0" borderId="1" xfId="0" applyFont="1" applyBorder="1" applyAlignment="1">
      <alignment vertical="top" wrapText="1"/>
    </xf>
    <xf numFmtId="0" fontId="1" fillId="0" borderId="1" xfId="0" applyFont="1" applyFill="1" applyBorder="1"/>
    <xf numFmtId="0" fontId="5" fillId="4" borderId="1" xfId="0" applyFont="1" applyFill="1" applyBorder="1"/>
    <xf numFmtId="165" fontId="5" fillId="0" borderId="0" xfId="17" applyFont="1" applyAlignment="1">
      <alignment horizontal="center" vertical="center"/>
    </xf>
    <xf numFmtId="165" fontId="5" fillId="0" borderId="0" xfId="17" applyFont="1" applyAlignment="1">
      <alignment horizontal="center"/>
    </xf>
    <xf numFmtId="0" fontId="16" fillId="0" borderId="0" xfId="0" applyFont="1" applyFill="1" applyBorder="1" applyAlignment="1">
      <alignment horizontal="center" vertical="center" wrapText="1"/>
    </xf>
    <xf numFmtId="0" fontId="0" fillId="0" borderId="0" xfId="0" applyFill="1"/>
    <xf numFmtId="4" fontId="23" fillId="0" borderId="1" xfId="0" applyNumberFormat="1" applyFont="1" applyFill="1" applyBorder="1" applyAlignment="1">
      <alignment horizontal="right" vertical="justify" wrapText="1"/>
    </xf>
    <xf numFmtId="4" fontId="5" fillId="0" borderId="1" xfId="17" applyNumberFormat="1" applyFont="1" applyFill="1" applyBorder="1" applyAlignment="1">
      <alignment horizontal="right" vertical="justify"/>
    </xf>
    <xf numFmtId="165" fontId="5" fillId="0" borderId="1" xfId="17" applyFont="1" applyFill="1" applyBorder="1" applyAlignment="1">
      <alignment horizontal="right" vertical="justify"/>
    </xf>
    <xf numFmtId="4" fontId="23" fillId="2" borderId="1" xfId="0" applyNumberFormat="1" applyFont="1" applyFill="1" applyBorder="1" applyAlignment="1">
      <alignment horizontal="right" vertical="justify" wrapText="1"/>
    </xf>
    <xf numFmtId="165" fontId="5" fillId="0" borderId="1" xfId="17" applyFont="1" applyBorder="1" applyAlignment="1">
      <alignment horizontal="right" vertical="justify"/>
    </xf>
    <xf numFmtId="4" fontId="5" fillId="0" borderId="1" xfId="0" applyNumberFormat="1" applyFont="1" applyBorder="1" applyAlignment="1">
      <alignment horizontal="right" vertical="justify"/>
    </xf>
    <xf numFmtId="4" fontId="5" fillId="0" borderId="1" xfId="17" applyNumberFormat="1" applyFont="1" applyBorder="1" applyAlignment="1">
      <alignment horizontal="right" vertical="justify"/>
    </xf>
    <xf numFmtId="165" fontId="5" fillId="0" borderId="1" xfId="17" applyFont="1" applyBorder="1" applyAlignment="1">
      <alignment horizontal="right" vertical="distributed"/>
    </xf>
    <xf numFmtId="49" fontId="9" fillId="0" borderId="1" xfId="0" applyNumberFormat="1" applyFont="1" applyBorder="1" applyAlignment="1">
      <alignment horizontal="center" vertical="center"/>
    </xf>
    <xf numFmtId="0" fontId="5" fillId="4" borderId="1" xfId="0" applyFont="1" applyFill="1" applyBorder="1" applyAlignment="1">
      <alignment horizontal="right"/>
    </xf>
    <xf numFmtId="165" fontId="33" fillId="0" borderId="1" xfId="20" applyFont="1" applyBorder="1"/>
    <xf numFmtId="0" fontId="13" fillId="3" borderId="1" xfId="0" applyNumberFormat="1" applyFont="1" applyFill="1" applyBorder="1" applyAlignment="1">
      <alignment horizontal="left" vertical="center" wrapText="1"/>
    </xf>
    <xf numFmtId="2" fontId="13" fillId="3" borderId="1" xfId="0" applyNumberFormat="1" applyFont="1" applyFill="1" applyBorder="1" applyAlignment="1">
      <alignment horizontal="left" vertical="center" wrapText="1"/>
    </xf>
    <xf numFmtId="172" fontId="5" fillId="0" borderId="1" xfId="0" applyNumberFormat="1" applyFont="1" applyBorder="1" applyAlignment="1" applyProtection="1">
      <alignment horizontal="left" vertical="top" wrapText="1"/>
    </xf>
    <xf numFmtId="49" fontId="5" fillId="0" borderId="1" xfId="0" applyNumberFormat="1" applyFont="1" applyBorder="1" applyAlignment="1" applyProtection="1">
      <alignment horizontal="left" vertical="top" wrapText="1"/>
    </xf>
    <xf numFmtId="49" fontId="9" fillId="0" borderId="1" xfId="0" applyNumberFormat="1" applyFont="1" applyBorder="1" applyAlignment="1">
      <alignment horizontal="center" vertical="center"/>
    </xf>
    <xf numFmtId="0" fontId="13" fillId="3" borderId="1" xfId="0" applyFont="1" applyFill="1" applyBorder="1" applyAlignment="1">
      <alignment horizontal="center" vertical="center"/>
    </xf>
    <xf numFmtId="0" fontId="0" fillId="0" borderId="0" xfId="0" applyFont="1" applyBorder="1"/>
    <xf numFmtId="0" fontId="8" fillId="0" borderId="5" xfId="0" applyNumberFormat="1" applyFont="1" applyBorder="1" applyAlignment="1">
      <alignment wrapText="1"/>
    </xf>
    <xf numFmtId="0" fontId="5" fillId="4" borderId="14" xfId="0" applyFont="1" applyFill="1" applyBorder="1"/>
    <xf numFmtId="0" fontId="5" fillId="4" borderId="8" xfId="0" applyFont="1" applyFill="1" applyBorder="1" applyAlignment="1">
      <alignment horizontal="right"/>
    </xf>
    <xf numFmtId="0" fontId="5" fillId="4" borderId="15" xfId="0" applyFont="1" applyFill="1" applyBorder="1"/>
    <xf numFmtId="0" fontId="8" fillId="0" borderId="1" xfId="0" applyFont="1" applyFill="1" applyBorder="1" applyAlignment="1">
      <alignment horizontal="left" vertical="center" wrapText="1"/>
    </xf>
    <xf numFmtId="0" fontId="5" fillId="0" borderId="0" xfId="0" applyFont="1" applyAlignment="1">
      <alignment horizontal="right" wrapText="1"/>
    </xf>
    <xf numFmtId="0" fontId="5" fillId="0" borderId="0" xfId="0" applyFont="1" applyAlignment="1">
      <alignment horizontal="right" wrapText="1"/>
    </xf>
    <xf numFmtId="0" fontId="12" fillId="0" borderId="0" xfId="0" applyFont="1" applyBorder="1" applyAlignment="1">
      <alignment horizontal="center" vertical="center" wrapText="1"/>
    </xf>
    <xf numFmtId="2" fontId="5" fillId="0" borderId="1" xfId="17" applyNumberFormat="1" applyFont="1" applyFill="1" applyBorder="1" applyAlignment="1">
      <alignment horizontal="right" vertical="justify"/>
    </xf>
    <xf numFmtId="4" fontId="5" fillId="0" borderId="1" xfId="0" applyNumberFormat="1" applyFont="1" applyBorder="1" applyAlignment="1">
      <alignment vertical="top"/>
    </xf>
    <xf numFmtId="0" fontId="23" fillId="2" borderId="1" xfId="0" applyFont="1" applyFill="1" applyBorder="1" applyAlignment="1">
      <alignment wrapText="1"/>
    </xf>
    <xf numFmtId="0" fontId="23" fillId="2" borderId="1" xfId="0" applyFont="1" applyFill="1" applyBorder="1" applyAlignment="1">
      <alignment horizontal="center" vertical="top" wrapText="1"/>
    </xf>
    <xf numFmtId="4" fontId="23" fillId="2" borderId="1" xfId="0" applyNumberFormat="1" applyFont="1" applyFill="1" applyBorder="1" applyAlignment="1">
      <alignment horizontal="right" vertical="top" wrapText="1"/>
    </xf>
    <xf numFmtId="0" fontId="5" fillId="0" borderId="1" xfId="0" applyFont="1" applyBorder="1" applyAlignment="1">
      <alignment horizontal="center"/>
    </xf>
    <xf numFmtId="4" fontId="5" fillId="0" borderId="1" xfId="0" applyNumberFormat="1" applyFont="1" applyBorder="1" applyAlignment="1">
      <alignment horizontal="right" vertical="top"/>
    </xf>
    <xf numFmtId="4" fontId="5" fillId="0" borderId="1" xfId="17" applyNumberFormat="1" applyFont="1" applyFill="1" applyBorder="1" applyAlignment="1">
      <alignment horizontal="right" vertical="top"/>
    </xf>
    <xf numFmtId="4" fontId="5" fillId="0" borderId="1" xfId="17" applyNumberFormat="1" applyFont="1" applyBorder="1" applyAlignment="1">
      <alignment horizontal="right" vertical="top"/>
    </xf>
    <xf numFmtId="0" fontId="5" fillId="0" borderId="1" xfId="0" applyFont="1" applyFill="1" applyBorder="1" applyAlignment="1">
      <alignment horizontal="center"/>
    </xf>
    <xf numFmtId="4" fontId="5" fillId="0" borderId="1" xfId="0" applyNumberFormat="1" applyFont="1" applyFill="1" applyBorder="1" applyAlignment="1">
      <alignment horizontal="right" vertical="top"/>
    </xf>
    <xf numFmtId="0" fontId="5" fillId="0" borderId="1" xfId="0" applyFont="1" applyFill="1" applyBorder="1" applyAlignment="1">
      <alignment horizontal="left"/>
    </xf>
    <xf numFmtId="0" fontId="5" fillId="0" borderId="0" xfId="0" applyFont="1" applyAlignment="1">
      <alignment horizontal="right" wrapText="1"/>
    </xf>
    <xf numFmtId="0" fontId="10" fillId="0" borderId="1" xfId="0" applyFont="1" applyBorder="1" applyAlignment="1">
      <alignment horizontal="center" vertical="center" wrapText="1"/>
    </xf>
    <xf numFmtId="49" fontId="9" fillId="0" borderId="1" xfId="0" applyNumberFormat="1" applyFont="1" applyBorder="1" applyAlignment="1">
      <alignment horizontal="center" vertical="center"/>
    </xf>
    <xf numFmtId="0" fontId="10" fillId="0" borderId="1" xfId="0" applyFont="1" applyBorder="1" applyAlignment="1">
      <alignment horizontal="center" vertical="center" wrapText="1"/>
    </xf>
    <xf numFmtId="49" fontId="9" fillId="0" borderId="1" xfId="0" applyNumberFormat="1" applyFont="1" applyBorder="1" applyAlignment="1">
      <alignment horizontal="center" vertical="center"/>
    </xf>
    <xf numFmtId="169" fontId="34" fillId="0" borderId="2" xfId="1" applyNumberFormat="1" applyFont="1" applyFill="1" applyBorder="1" applyAlignment="1">
      <alignment vertical="center"/>
    </xf>
    <xf numFmtId="167" fontId="35" fillId="0" borderId="2" xfId="3" applyNumberFormat="1" applyFont="1" applyFill="1" applyBorder="1"/>
    <xf numFmtId="169" fontId="35" fillId="0" borderId="2" xfId="3" applyNumberFormat="1" applyFont="1" applyFill="1" applyBorder="1"/>
    <xf numFmtId="169" fontId="35" fillId="0" borderId="1" xfId="3" applyNumberFormat="1" applyFont="1" applyFill="1" applyBorder="1"/>
    <xf numFmtId="167" fontId="8" fillId="0" borderId="1" xfId="0" applyNumberFormat="1" applyFont="1" applyFill="1" applyBorder="1" applyAlignment="1">
      <alignment horizontal="right" vertical="center" wrapText="1"/>
    </xf>
    <xf numFmtId="0" fontId="0" fillId="0" borderId="1" xfId="0" applyBorder="1" applyAlignment="1">
      <alignment horizontal="center" wrapText="1"/>
    </xf>
    <xf numFmtId="4" fontId="36" fillId="0" borderId="1" xfId="0" applyNumberFormat="1" applyFont="1" applyBorder="1"/>
    <xf numFmtId="4" fontId="0" fillId="0" borderId="1" xfId="0" applyNumberFormat="1" applyBorder="1"/>
    <xf numFmtId="165" fontId="9" fillId="0" borderId="1" xfId="17" applyFont="1" applyBorder="1" applyAlignment="1">
      <alignment horizontal="right" vertical="center"/>
    </xf>
    <xf numFmtId="167" fontId="35" fillId="0" borderId="1" xfId="3" applyNumberFormat="1" applyFont="1" applyFill="1" applyBorder="1"/>
    <xf numFmtId="0" fontId="37" fillId="0" borderId="1" xfId="0" applyFont="1" applyBorder="1" applyAlignment="1">
      <alignment horizontal="left" wrapText="1"/>
    </xf>
    <xf numFmtId="167" fontId="9" fillId="0" borderId="7" xfId="19" applyNumberFormat="1" applyFont="1" applyBorder="1" applyAlignment="1">
      <alignment horizontal="right" vertical="center"/>
    </xf>
    <xf numFmtId="167" fontId="19" fillId="0" borderId="3" xfId="3" applyNumberFormat="1" applyFont="1" applyFill="1" applyBorder="1"/>
    <xf numFmtId="166" fontId="19" fillId="0" borderId="1" xfId="3" applyNumberFormat="1" applyFont="1" applyFill="1" applyBorder="1"/>
    <xf numFmtId="165" fontId="19" fillId="0" borderId="1" xfId="17" applyNumberFormat="1" applyFont="1" applyFill="1" applyBorder="1" applyAlignment="1">
      <alignment horizontal="right"/>
    </xf>
    <xf numFmtId="165" fontId="10" fillId="0" borderId="1" xfId="17" applyNumberFormat="1" applyFont="1" applyBorder="1" applyAlignment="1">
      <alignment horizontal="right"/>
    </xf>
    <xf numFmtId="4" fontId="23" fillId="0" borderId="1" xfId="0" applyNumberFormat="1" applyFont="1" applyFill="1" applyBorder="1" applyAlignment="1">
      <alignment horizontal="right" wrapText="1"/>
    </xf>
    <xf numFmtId="167" fontId="5" fillId="0" borderId="1" xfId="20" applyNumberFormat="1" applyFont="1" applyFill="1" applyBorder="1" applyAlignment="1">
      <alignment horizontal="right"/>
    </xf>
    <xf numFmtId="165" fontId="5" fillId="0" borderId="1" xfId="17" applyFont="1" applyFill="1" applyBorder="1" applyAlignment="1">
      <alignment horizontal="right" wrapText="1"/>
    </xf>
    <xf numFmtId="165" fontId="5" fillId="0" borderId="1" xfId="17" applyFont="1" applyFill="1" applyBorder="1" applyAlignment="1">
      <alignment horizontal="right"/>
    </xf>
    <xf numFmtId="0" fontId="5" fillId="0" borderId="1" xfId="0" applyFont="1" applyBorder="1" applyAlignment="1">
      <alignment horizontal="right"/>
    </xf>
    <xf numFmtId="4" fontId="5" fillId="0" borderId="1" xfId="0" applyNumberFormat="1" applyFont="1" applyFill="1" applyBorder="1" applyAlignment="1" applyProtection="1">
      <alignment horizontal="right" wrapText="1"/>
    </xf>
    <xf numFmtId="4" fontId="10" fillId="0" borderId="1" xfId="0" applyNumberFormat="1" applyFont="1" applyBorder="1" applyAlignment="1">
      <alignment horizontal="center"/>
    </xf>
    <xf numFmtId="0" fontId="10" fillId="0" borderId="1" xfId="0" applyFont="1" applyBorder="1" applyAlignment="1">
      <alignment horizontal="center" wrapText="1"/>
    </xf>
    <xf numFmtId="167" fontId="10" fillId="0" borderId="1" xfId="0" applyNumberFormat="1" applyFont="1" applyFill="1" applyBorder="1" applyAlignment="1">
      <alignment horizontal="right" vertical="top"/>
    </xf>
    <xf numFmtId="49" fontId="9" fillId="0" borderId="1" xfId="0" applyNumberFormat="1" applyFont="1" applyBorder="1" applyAlignment="1">
      <alignment horizontal="center" vertical="center"/>
    </xf>
    <xf numFmtId="0" fontId="5" fillId="0" borderId="1" xfId="0" applyFont="1" applyBorder="1" applyAlignment="1">
      <alignment horizontal="right" vertical="top"/>
    </xf>
    <xf numFmtId="165" fontId="35" fillId="0" borderId="1" xfId="17" applyFont="1" applyFill="1" applyBorder="1"/>
    <xf numFmtId="0" fontId="19" fillId="0" borderId="1" xfId="6" applyFont="1" applyFill="1" applyBorder="1" applyAlignment="1">
      <alignment horizontal="left" wrapText="1"/>
    </xf>
    <xf numFmtId="0" fontId="7" fillId="0" borderId="1" xfId="6" applyFont="1" applyFill="1" applyBorder="1" applyAlignment="1">
      <alignment horizontal="left" wrapText="1"/>
    </xf>
    <xf numFmtId="0" fontId="12" fillId="0" borderId="0" xfId="0" applyFont="1" applyBorder="1" applyAlignment="1">
      <alignment horizontal="center" wrapText="1"/>
    </xf>
    <xf numFmtId="0" fontId="5" fillId="0" borderId="0" xfId="0" applyFont="1" applyAlignment="1">
      <alignment horizontal="right" wrapText="1"/>
    </xf>
    <xf numFmtId="0" fontId="13" fillId="0" borderId="0" xfId="0" applyFont="1" applyAlignment="1">
      <alignment horizontal="right" vertical="center" wrapText="1"/>
    </xf>
    <xf numFmtId="49" fontId="14" fillId="0" borderId="7" xfId="0" applyNumberFormat="1" applyFont="1" applyFill="1" applyBorder="1" applyAlignment="1">
      <alignment horizontal="left" vertical="center" wrapText="1"/>
    </xf>
    <xf numFmtId="49" fontId="14" fillId="0" borderId="9" xfId="0" applyNumberFormat="1" applyFont="1" applyFill="1" applyBorder="1" applyAlignment="1">
      <alignment horizontal="left" vertical="center" wrapText="1"/>
    </xf>
    <xf numFmtId="49" fontId="14" fillId="0" borderId="5" xfId="0" applyNumberFormat="1" applyFont="1" applyFill="1" applyBorder="1" applyAlignment="1">
      <alignment horizontal="left" vertical="center" wrapText="1"/>
    </xf>
    <xf numFmtId="0" fontId="14" fillId="0" borderId="7"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2" fillId="0" borderId="8" xfId="0" applyFont="1" applyBorder="1" applyAlignment="1">
      <alignment horizontal="center" vertical="center" wrapText="1"/>
    </xf>
    <xf numFmtId="0" fontId="8" fillId="0" borderId="1" xfId="0" applyFont="1" applyFill="1" applyBorder="1" applyAlignment="1">
      <alignment horizontal="left" vertical="center" wrapText="1"/>
    </xf>
    <xf numFmtId="0" fontId="14" fillId="0" borderId="7" xfId="0" applyFont="1" applyFill="1" applyBorder="1" applyAlignment="1">
      <alignment horizontal="left" vertical="center"/>
    </xf>
    <xf numFmtId="0" fontId="14" fillId="0" borderId="9" xfId="0" applyFont="1" applyFill="1" applyBorder="1" applyAlignment="1">
      <alignment horizontal="left" vertical="center"/>
    </xf>
    <xf numFmtId="0" fontId="14" fillId="0" borderId="5" xfId="0" applyFont="1" applyFill="1" applyBorder="1" applyAlignment="1">
      <alignment horizontal="left" vertical="center"/>
    </xf>
    <xf numFmtId="168" fontId="12" fillId="0" borderId="0" xfId="0" applyNumberFormat="1" applyFont="1" applyFill="1" applyAlignment="1">
      <alignment horizontal="center" wrapText="1"/>
    </xf>
    <xf numFmtId="0" fontId="25" fillId="0" borderId="7" xfId="0" applyFont="1" applyBorder="1" applyAlignment="1">
      <alignment horizontal="center" vertical="top" wrapText="1"/>
    </xf>
    <xf numFmtId="0" fontId="25" fillId="0" borderId="5" xfId="0" applyFont="1" applyBorder="1" applyAlignment="1">
      <alignment horizontal="center" vertical="top" wrapText="1"/>
    </xf>
    <xf numFmtId="0" fontId="5" fillId="0" borderId="0" xfId="0" applyFont="1" applyFill="1" applyAlignment="1">
      <alignment horizontal="right" wrapText="1"/>
    </xf>
    <xf numFmtId="0" fontId="25" fillId="0" borderId="7" xfId="0" applyFont="1" applyBorder="1" applyAlignment="1">
      <alignment horizontal="center" vertical="top"/>
    </xf>
    <xf numFmtId="0" fontId="25" fillId="0" borderId="5" xfId="0" applyFont="1" applyBorder="1" applyAlignment="1">
      <alignment horizontal="center" vertical="top"/>
    </xf>
    <xf numFmtId="0" fontId="25" fillId="0" borderId="0" xfId="0" applyNumberFormat="1" applyFont="1" applyFill="1" applyAlignment="1">
      <alignment wrapText="1"/>
    </xf>
    <xf numFmtId="0" fontId="16" fillId="0" borderId="0" xfId="0" applyFont="1" applyBorder="1" applyAlignment="1">
      <alignment horizontal="center" wrapText="1"/>
    </xf>
    <xf numFmtId="0" fontId="12" fillId="0" borderId="0" xfId="0" applyFont="1" applyFill="1" applyBorder="1" applyAlignment="1">
      <alignment horizontal="center" wrapText="1"/>
    </xf>
    <xf numFmtId="4" fontId="5" fillId="0" borderId="1" xfId="0" applyNumberFormat="1" applyFont="1" applyBorder="1" applyAlignment="1">
      <alignment horizontal="center" vertical="center" wrapText="1"/>
    </xf>
    <xf numFmtId="49" fontId="5" fillId="0" borderId="16" xfId="0" applyNumberFormat="1" applyFont="1" applyFill="1" applyBorder="1" applyAlignment="1">
      <alignment horizontal="center" vertical="center"/>
    </xf>
    <xf numFmtId="49" fontId="5" fillId="0" borderId="17" xfId="0" applyNumberFormat="1" applyFont="1" applyFill="1" applyBorder="1" applyAlignment="1">
      <alignment horizontal="center" vertical="center"/>
    </xf>
    <xf numFmtId="49" fontId="5" fillId="0" borderId="18" xfId="0" applyNumberFormat="1" applyFont="1" applyFill="1" applyBorder="1" applyAlignment="1">
      <alignment horizontal="center" vertical="center"/>
    </xf>
    <xf numFmtId="49" fontId="5" fillId="0" borderId="14" xfId="0" applyNumberFormat="1" applyFont="1" applyFill="1" applyBorder="1" applyAlignment="1">
      <alignment horizontal="center" vertical="center"/>
    </xf>
    <xf numFmtId="49" fontId="5" fillId="0" borderId="8" xfId="0" applyNumberFormat="1" applyFont="1" applyFill="1" applyBorder="1" applyAlignment="1">
      <alignment horizontal="center" vertical="center"/>
    </xf>
    <xf numFmtId="49" fontId="5" fillId="0" borderId="15" xfId="0" applyNumberFormat="1" applyFont="1" applyFill="1" applyBorder="1" applyAlignment="1">
      <alignment horizontal="center" vertical="center"/>
    </xf>
    <xf numFmtId="0" fontId="23" fillId="0" borderId="4" xfId="0" applyFont="1" applyFill="1" applyBorder="1" applyAlignment="1">
      <alignment horizontal="center" vertical="center" wrapText="1"/>
    </xf>
    <xf numFmtId="0" fontId="23" fillId="0" borderId="11" xfId="0" applyFont="1" applyFill="1" applyBorder="1" applyAlignment="1">
      <alignment horizontal="center" vertical="center" wrapText="1"/>
    </xf>
    <xf numFmtId="0" fontId="23" fillId="0" borderId="6" xfId="0" applyFont="1" applyFill="1" applyBorder="1" applyAlignment="1">
      <alignment horizontal="center" vertical="center" wrapText="1"/>
    </xf>
    <xf numFmtId="165" fontId="5" fillId="0" borderId="1" xfId="17" applyFont="1" applyFill="1" applyBorder="1" applyAlignment="1">
      <alignment horizontal="center" vertical="center" wrapText="1"/>
    </xf>
    <xf numFmtId="0" fontId="12" fillId="0" borderId="0" xfId="0" applyFont="1" applyBorder="1" applyAlignment="1">
      <alignment horizontal="right" vertical="center" wrapText="1"/>
    </xf>
    <xf numFmtId="49" fontId="5" fillId="0" borderId="4"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Font="1" applyBorder="1" applyAlignment="1">
      <alignment horizontal="center" wrapText="1"/>
    </xf>
    <xf numFmtId="0" fontId="5" fillId="0" borderId="1" xfId="0" applyFont="1" applyBorder="1" applyAlignment="1">
      <alignment horizontal="center"/>
    </xf>
    <xf numFmtId="0" fontId="5" fillId="0" borderId="7" xfId="0" applyFont="1" applyBorder="1" applyAlignment="1">
      <alignment horizontal="center"/>
    </xf>
    <xf numFmtId="0" fontId="5" fillId="0" borderId="5" xfId="0" applyFont="1" applyBorder="1" applyAlignment="1">
      <alignment horizontal="center"/>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9" xfId="0" applyFont="1" applyBorder="1" applyAlignment="1">
      <alignment horizontal="center"/>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2" fillId="0" borderId="0" xfId="0" applyFont="1" applyAlignment="1">
      <alignment horizontal="center" vertical="center" wrapText="1"/>
    </xf>
    <xf numFmtId="0" fontId="10" fillId="0" borderId="1" xfId="0" applyFont="1" applyBorder="1" applyAlignment="1">
      <alignment horizontal="center"/>
    </xf>
    <xf numFmtId="0" fontId="32" fillId="0" borderId="0" xfId="0" applyFont="1" applyBorder="1" applyAlignment="1">
      <alignment horizontal="center" wrapText="1"/>
    </xf>
    <xf numFmtId="0" fontId="12" fillId="0" borderId="0" xfId="0" applyFont="1" applyBorder="1" applyAlignment="1">
      <alignment horizontal="center" vertical="center" wrapText="1"/>
    </xf>
    <xf numFmtId="49" fontId="10" fillId="0" borderId="4" xfId="0" applyNumberFormat="1" applyFont="1" applyBorder="1" applyAlignment="1">
      <alignment horizontal="center" vertical="center" wrapText="1"/>
    </xf>
    <xf numFmtId="49" fontId="10" fillId="0" borderId="6" xfId="0" applyNumberFormat="1" applyFont="1" applyBorder="1" applyAlignment="1">
      <alignment horizontal="center" vertical="center" wrapText="1"/>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49" fontId="9" fillId="0" borderId="1" xfId="0" applyNumberFormat="1" applyFont="1" applyBorder="1" applyAlignment="1">
      <alignment horizontal="center" vertical="center"/>
    </xf>
    <xf numFmtId="49" fontId="9" fillId="0" borderId="7" xfId="0" applyNumberFormat="1" applyFont="1" applyBorder="1" applyAlignment="1">
      <alignment horizontal="center" vertical="center"/>
    </xf>
    <xf numFmtId="0" fontId="12" fillId="0" borderId="0" xfId="0" applyFont="1" applyAlignment="1">
      <alignment horizontal="center" wrapText="1"/>
    </xf>
    <xf numFmtId="0" fontId="16" fillId="0" borderId="0" xfId="0" applyFont="1" applyBorder="1" applyAlignment="1">
      <alignment horizontal="center" vertical="center" wrapText="1"/>
    </xf>
    <xf numFmtId="0" fontId="16" fillId="0" borderId="0" xfId="0" applyFont="1" applyAlignment="1">
      <alignment horizontal="center" wrapText="1"/>
    </xf>
    <xf numFmtId="0" fontId="16" fillId="0" borderId="0" xfId="0" applyNumberFormat="1" applyFont="1" applyBorder="1" applyAlignment="1">
      <alignment horizontal="center" vertical="center" wrapText="1"/>
    </xf>
  </cellXfs>
  <cellStyles count="24">
    <cellStyle name="Обычный" xfId="0" builtinId="0"/>
    <cellStyle name="Обычный 10" xfId="1"/>
    <cellStyle name="Обычный 11" xfId="2"/>
    <cellStyle name="Обычный 12" xfId="3"/>
    <cellStyle name="Обычный 2" xfId="4"/>
    <cellStyle name="Обычный 22" xfId="5"/>
    <cellStyle name="Обычный 23" xfId="6"/>
    <cellStyle name="Обычный 29" xfId="7"/>
    <cellStyle name="Обычный 30" xfId="8"/>
    <cellStyle name="Обычный 4" xfId="21"/>
    <cellStyle name="Обычный 43" xfId="9"/>
    <cellStyle name="Обычный 44" xfId="10"/>
    <cellStyle name="Обычный 45" xfId="11"/>
    <cellStyle name="Обычный 46" xfId="12"/>
    <cellStyle name="Обычный 47" xfId="13"/>
    <cellStyle name="Обычный 48" xfId="14"/>
    <cellStyle name="Обычный_Лист1" xfId="22"/>
    <cellStyle name="Обычный_Шпаргалка" xfId="23"/>
    <cellStyle name="Тысячи [0]_Лист1" xfId="15"/>
    <cellStyle name="Тысячи_Лист1" xfId="16"/>
    <cellStyle name="Финансовый" xfId="17" builtinId="3"/>
    <cellStyle name="Финансовый 2" xfId="18"/>
    <cellStyle name="Финансовый 3" xfId="19"/>
    <cellStyle name="Финансовый 3 2" xfId="2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6;&#1083;&#1100;&#1079;&#1086;&#1074;&#1072;&#1090;&#1077;&#1083;&#1080;/01_&#1041;&#1102;&#1076;&#1078;&#1077;&#1090;&#1085;&#1099;&#1081;%20&#1086;&#1090;&#1076;&#1077;&#1083;/&#1052;&#1086;&#1080;%20&#1076;&#1086;&#1082;&#1091;&#1084;&#1077;&#1085;&#1090;&#1099;/&#1073;&#1102;&#1076;&#1078;&#1077;&#1090;%202017/&#1056;&#1077;&#1096;&#1077;&#1085;&#1080;&#1077;/08%20&#1072;&#1074;&#1075;&#1091;&#1089;&#1090;/&#1055;&#1088;&#1080;&#1083;&#1086;&#1078;&#1077;&#1085;&#1080;&#1103;%200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17"/>
      <sheetName val="вед 18-19"/>
      <sheetName val="Фун17"/>
      <sheetName val="Фун 18-19"/>
      <sheetName val="ЦСР 17"/>
      <sheetName val="ЦСР 18-19"/>
      <sheetName val="публ"/>
      <sheetName val="Полн"/>
      <sheetName val="сбал"/>
      <sheetName val="ФФП"/>
      <sheetName val="Молод"/>
      <sheetName val="Протоколы"/>
      <sheetName val="ВУС"/>
      <sheetName val="ак"/>
      <sheetName val="Заим"/>
      <sheetName val="переселение"/>
      <sheetName val="дороги"/>
      <sheetName val="дороги кап"/>
      <sheetName val="пожарка"/>
      <sheetName val="софин"/>
      <sheetName val="благоус"/>
      <sheetName val="спр"/>
      <sheetName val="Лист1"/>
    </sheetNames>
    <sheetDataSet>
      <sheetData sheetId="0"/>
      <sheetData sheetId="1"/>
      <sheetData sheetId="2"/>
      <sheetData sheetId="3"/>
      <sheetData sheetId="4">
        <row r="193">
          <cell r="I193">
            <v>33568556</v>
          </cell>
          <cell r="J193">
            <v>26736227</v>
          </cell>
          <cell r="K193">
            <v>26736227</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Лист2">
    <tabColor rgb="FF00B0F0"/>
  </sheetPr>
  <dimension ref="A1:E25"/>
  <sheetViews>
    <sheetView topLeftCell="A2" workbookViewId="0">
      <selection activeCell="B37" sqref="B37"/>
    </sheetView>
  </sheetViews>
  <sheetFormatPr defaultRowHeight="12.75"/>
  <cols>
    <col min="1" max="1" width="28.5703125" style="55" customWidth="1"/>
    <col min="2" max="2" width="54.28515625" style="55" customWidth="1"/>
    <col min="3" max="3" width="17.7109375" style="55" customWidth="1"/>
    <col min="4" max="4" width="18" style="55" bestFit="1" customWidth="1"/>
    <col min="5" max="5" width="17.5703125" style="55" customWidth="1"/>
    <col min="6" max="16384" width="9.140625" style="55"/>
  </cols>
  <sheetData>
    <row r="1" spans="1:5" ht="48" hidden="1" customHeight="1">
      <c r="A1" s="442" t="str">
        <f>"Приложение №"&amp;Н2деф&amp;"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2"/>
      <c r="C1" s="442"/>
      <c r="D1" s="442"/>
      <c r="E1" s="442"/>
    </row>
    <row r="2" spans="1:5" ht="47.25" customHeight="1">
      <c r="A2" s="442" t="str">
        <f>"Приложение "&amp;Н1деф&amp;" к решению
Богучанского районного Совета депутатов
от "&amp;Р1дата&amp;" года №"&amp;Р1номер</f>
        <v>Приложение 1 к решению
Богучанского районного Совета депутатов
от 2020  года №</v>
      </c>
      <c r="B2" s="442"/>
      <c r="C2" s="442"/>
      <c r="D2" s="442"/>
      <c r="E2" s="442"/>
    </row>
    <row r="3" spans="1:5" ht="38.25" customHeight="1">
      <c r="A3" s="441" t="str">
        <f>"Источники финансирования дефицита районного бюджета по кодам классификации источников финансирования дефицитов бюджетов за "&amp;год&amp;" год "</f>
        <v xml:space="preserve">Источники финансирования дефицита районного бюджета по кодам классификации источников финансирования дефицитов бюджетов за 2019 год </v>
      </c>
      <c r="B3" s="441"/>
      <c r="C3" s="441"/>
      <c r="D3" s="441"/>
      <c r="E3" s="441"/>
    </row>
    <row r="4" spans="1:5" ht="15.75">
      <c r="B4" s="123"/>
      <c r="C4" s="123"/>
      <c r="E4" s="311" t="s">
        <v>95</v>
      </c>
    </row>
    <row r="5" spans="1:5" ht="31.5" customHeight="1">
      <c r="A5" s="82" t="s">
        <v>145</v>
      </c>
      <c r="B5" s="82" t="s">
        <v>146</v>
      </c>
      <c r="C5" s="83" t="s">
        <v>2106</v>
      </c>
      <c r="D5" s="83" t="s">
        <v>2107</v>
      </c>
      <c r="E5" s="83" t="s">
        <v>2085</v>
      </c>
    </row>
    <row r="6" spans="1:5" ht="30">
      <c r="A6" s="48" t="s">
        <v>147</v>
      </c>
      <c r="B6" s="84" t="s">
        <v>148</v>
      </c>
      <c r="C6" s="30">
        <f>SUM(C7+C12)</f>
        <v>43055773.599999428</v>
      </c>
      <c r="D6" s="30">
        <f>SUM(D7+D12)</f>
        <v>-41604586.789999962</v>
      </c>
      <c r="E6" s="85">
        <f>D6/C6*100</f>
        <v>-96.629518671569087</v>
      </c>
    </row>
    <row r="7" spans="1:5" ht="30">
      <c r="A7" s="173" t="s">
        <v>532</v>
      </c>
      <c r="B7" s="84" t="s">
        <v>149</v>
      </c>
      <c r="C7" s="30">
        <f>C8-C10</f>
        <v>22000000</v>
      </c>
      <c r="D7" s="30">
        <f>D8-D10</f>
        <v>-16000000</v>
      </c>
      <c r="E7" s="85">
        <f t="shared" ref="E7:E20" si="0">D7/C7*100</f>
        <v>-72.727272727272734</v>
      </c>
    </row>
    <row r="8" spans="1:5" ht="42.75">
      <c r="A8" s="48" t="s">
        <v>150</v>
      </c>
      <c r="B8" s="18" t="s">
        <v>151</v>
      </c>
      <c r="C8" s="85">
        <f>C9</f>
        <v>58000000</v>
      </c>
      <c r="D8" s="85">
        <f>D9</f>
        <v>0</v>
      </c>
      <c r="E8" s="85">
        <f t="shared" si="0"/>
        <v>0</v>
      </c>
    </row>
    <row r="9" spans="1:5" ht="57">
      <c r="A9" s="48" t="s">
        <v>1344</v>
      </c>
      <c r="B9" s="18" t="s">
        <v>208</v>
      </c>
      <c r="C9" s="85">
        <f>38000000+20000000</f>
        <v>58000000</v>
      </c>
      <c r="D9" s="85">
        <v>0</v>
      </c>
      <c r="E9" s="85">
        <f t="shared" si="0"/>
        <v>0</v>
      </c>
    </row>
    <row r="10" spans="1:5" ht="42.75">
      <c r="A10" s="48" t="s">
        <v>209</v>
      </c>
      <c r="B10" s="18" t="s">
        <v>210</v>
      </c>
      <c r="C10" s="85">
        <v>36000000</v>
      </c>
      <c r="D10" s="85">
        <f>D11</f>
        <v>16000000</v>
      </c>
      <c r="E10" s="85">
        <f t="shared" si="0"/>
        <v>44.444444444444443</v>
      </c>
    </row>
    <row r="11" spans="1:5" ht="57">
      <c r="A11" s="48" t="s">
        <v>1345</v>
      </c>
      <c r="B11" s="18" t="s">
        <v>45</v>
      </c>
      <c r="C11" s="85">
        <v>36000000</v>
      </c>
      <c r="D11" s="85">
        <v>16000000</v>
      </c>
      <c r="E11" s="85">
        <f t="shared" si="0"/>
        <v>44.444444444444443</v>
      </c>
    </row>
    <row r="12" spans="1:5" ht="28.5">
      <c r="A12" s="48" t="s">
        <v>211</v>
      </c>
      <c r="B12" s="18" t="s">
        <v>181</v>
      </c>
      <c r="C12" s="85">
        <f>-C13+C17</f>
        <v>21055773.599999428</v>
      </c>
      <c r="D12" s="85">
        <f>-D13+D17</f>
        <v>-25604586.789999962</v>
      </c>
      <c r="E12" s="85">
        <f t="shared" si="0"/>
        <v>-121.60363839588709</v>
      </c>
    </row>
    <row r="13" spans="1:5" ht="14.25">
      <c r="A13" s="48" t="s">
        <v>182</v>
      </c>
      <c r="B13" s="18" t="s">
        <v>122</v>
      </c>
      <c r="C13" s="85">
        <f>C14</f>
        <v>2332000903.6100006</v>
      </c>
      <c r="D13" s="85">
        <f t="shared" ref="D13:D15" si="1">D14</f>
        <v>2274205053.02</v>
      </c>
      <c r="E13" s="85">
        <f t="shared" si="0"/>
        <v>97.521619717190887</v>
      </c>
    </row>
    <row r="14" spans="1:5" ht="14.25">
      <c r="A14" s="48" t="s">
        <v>183</v>
      </c>
      <c r="B14" s="18" t="s">
        <v>123</v>
      </c>
      <c r="C14" s="86">
        <f>C15</f>
        <v>2332000903.6100006</v>
      </c>
      <c r="D14" s="86">
        <f t="shared" si="1"/>
        <v>2274205053.02</v>
      </c>
      <c r="E14" s="85">
        <f t="shared" si="0"/>
        <v>97.521619717190887</v>
      </c>
    </row>
    <row r="15" spans="1:5" ht="28.5">
      <c r="A15" s="48" t="s">
        <v>184</v>
      </c>
      <c r="B15" s="18" t="s">
        <v>231</v>
      </c>
      <c r="C15" s="85">
        <f>C16</f>
        <v>2332000903.6100006</v>
      </c>
      <c r="D15" s="85">
        <f t="shared" si="1"/>
        <v>2274205053.02</v>
      </c>
      <c r="E15" s="85">
        <f t="shared" si="0"/>
        <v>97.521619717190887</v>
      </c>
    </row>
    <row r="16" spans="1:5" ht="28.5">
      <c r="A16" s="48" t="s">
        <v>232</v>
      </c>
      <c r="B16" s="18" t="s">
        <v>188</v>
      </c>
      <c r="C16" s="85">
        <f>'Дох '!I267+C8</f>
        <v>2332000903.6100006</v>
      </c>
      <c r="D16" s="85">
        <f>'Дох '!J267+D8</f>
        <v>2274205053.02</v>
      </c>
      <c r="E16" s="85">
        <f t="shared" si="0"/>
        <v>97.521619717190887</v>
      </c>
    </row>
    <row r="17" spans="1:5" ht="14.25">
      <c r="A17" s="48" t="s">
        <v>189</v>
      </c>
      <c r="B17" s="18" t="s">
        <v>124</v>
      </c>
      <c r="C17" s="85">
        <f>C18</f>
        <v>2353056677.21</v>
      </c>
      <c r="D17" s="85">
        <f t="shared" ref="D17:D19" si="2">D18</f>
        <v>2248600466.23</v>
      </c>
      <c r="E17" s="85">
        <f t="shared" si="0"/>
        <v>95.560828942554281</v>
      </c>
    </row>
    <row r="18" spans="1:5" ht="14.25">
      <c r="A18" s="18" t="s">
        <v>190</v>
      </c>
      <c r="B18" s="18" t="s">
        <v>125</v>
      </c>
      <c r="C18" s="87">
        <f>C19</f>
        <v>2353056677.21</v>
      </c>
      <c r="D18" s="87">
        <f t="shared" si="2"/>
        <v>2248600466.23</v>
      </c>
      <c r="E18" s="85">
        <f t="shared" si="0"/>
        <v>95.560828942554281</v>
      </c>
    </row>
    <row r="19" spans="1:5" ht="28.5">
      <c r="A19" s="18" t="s">
        <v>191</v>
      </c>
      <c r="B19" s="18" t="s">
        <v>192</v>
      </c>
      <c r="C19" s="87">
        <f>C20</f>
        <v>2353056677.21</v>
      </c>
      <c r="D19" s="87">
        <f t="shared" si="2"/>
        <v>2248600466.23</v>
      </c>
      <c r="E19" s="85">
        <f t="shared" si="0"/>
        <v>95.560828942554281</v>
      </c>
    </row>
    <row r="20" spans="1:5" ht="28.5">
      <c r="A20" s="48" t="s">
        <v>193</v>
      </c>
      <c r="B20" s="18" t="s">
        <v>194</v>
      </c>
      <c r="C20" s="85">
        <f>Вед19!F7+C10</f>
        <v>2353056677.21</v>
      </c>
      <c r="D20" s="85">
        <f>Вед19!G7+D10</f>
        <v>2248600466.23</v>
      </c>
      <c r="E20" s="85">
        <f t="shared" si="0"/>
        <v>95.560828942554281</v>
      </c>
    </row>
    <row r="21" spans="1:5" ht="47.25" hidden="1">
      <c r="A21" s="88" t="s">
        <v>251</v>
      </c>
      <c r="B21" s="89" t="s">
        <v>252</v>
      </c>
      <c r="C21" s="90">
        <v>0</v>
      </c>
    </row>
    <row r="22" spans="1:5" ht="30" hidden="1">
      <c r="A22" s="88" t="s">
        <v>253</v>
      </c>
      <c r="B22" s="88" t="s">
        <v>221</v>
      </c>
      <c r="C22" s="91"/>
    </row>
    <row r="23" spans="1:5" ht="75" hidden="1">
      <c r="A23" s="92" t="s">
        <v>222</v>
      </c>
      <c r="B23" s="88" t="s">
        <v>223</v>
      </c>
      <c r="C23" s="93"/>
    </row>
    <row r="24" spans="1:5" ht="30" hidden="1">
      <c r="A24" s="94" t="s">
        <v>224</v>
      </c>
      <c r="B24" s="95" t="s">
        <v>225</v>
      </c>
      <c r="C24" s="96"/>
    </row>
    <row r="25" spans="1:5" ht="60" hidden="1">
      <c r="A25" s="94" t="s">
        <v>226</v>
      </c>
      <c r="B25" s="95" t="s">
        <v>115</v>
      </c>
      <c r="C25" s="96"/>
    </row>
  </sheetData>
  <mergeCells count="3">
    <mergeCell ref="A3:E3"/>
    <mergeCell ref="A2:E2"/>
    <mergeCell ref="A1:E1"/>
  </mergeCells>
  <phoneticPr fontId="3" type="noConversion"/>
  <pageMargins left="0.98425196850393704" right="0.23622047244094491" top="0.19685039370078741" bottom="0.15748031496062992" header="0.19685039370078741" footer="0.15748031496062992"/>
  <pageSetup paperSize="9" scale="99" fitToHeight="0" orientation="landscape" r:id="rId1"/>
  <headerFooter alignWithMargins="0"/>
</worksheet>
</file>

<file path=xl/worksheets/sheet10.xml><?xml version="1.0" encoding="utf-8"?>
<worksheet xmlns="http://schemas.openxmlformats.org/spreadsheetml/2006/main" xmlns:r="http://schemas.openxmlformats.org/officeDocument/2006/relationships">
  <sheetPr>
    <tabColor rgb="FF00B0F0"/>
  </sheetPr>
  <dimension ref="A1:G1647"/>
  <sheetViews>
    <sheetView topLeftCell="A2" zoomScaleNormal="100" workbookViewId="0">
      <selection activeCell="C16" sqref="C16"/>
    </sheetView>
  </sheetViews>
  <sheetFormatPr defaultRowHeight="12.75"/>
  <cols>
    <col min="1" max="1" width="50" style="4" customWidth="1"/>
    <col min="2" max="2" width="12.85546875" style="145" customWidth="1"/>
    <col min="3" max="3" width="6.42578125" style="4" customWidth="1"/>
    <col min="4" max="4" width="7.140625" style="4" customWidth="1"/>
    <col min="5" max="5" width="15.7109375" style="21" customWidth="1"/>
    <col min="6" max="6" width="16.42578125" style="4" customWidth="1"/>
    <col min="7" max="7" width="8.42578125" style="4" customWidth="1"/>
    <col min="8" max="16384" width="9.140625" style="4"/>
  </cols>
  <sheetData>
    <row r="1" spans="1:7" hidden="1">
      <c r="A1" s="442" t="str">
        <f>"Приложение №"&amp;Н2цср&amp;"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2"/>
      <c r="C1" s="442"/>
      <c r="D1" s="442"/>
      <c r="E1" s="442"/>
    </row>
    <row r="2" spans="1:7" ht="49.5" customHeight="1">
      <c r="A2" s="442" t="str">
        <f>"Приложение "&amp;Н1цср&amp;" к решению
Богучанского районного Совета депутатов
от "&amp;Р1дата&amp;" года №"&amp;Р1номер</f>
        <v>Приложение 5 к решению
Богучанского районного Совета депутатов
от 2020  года №</v>
      </c>
      <c r="B2" s="442"/>
      <c r="C2" s="442"/>
      <c r="D2" s="442"/>
      <c r="E2" s="442"/>
      <c r="F2" s="442"/>
      <c r="G2" s="442"/>
    </row>
    <row r="3" spans="1:7" ht="84" customHeight="1">
      <c r="A3" s="441"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за "&amp;год&amp;" год"</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за 2019 год</v>
      </c>
      <c r="B3" s="441"/>
      <c r="C3" s="441"/>
      <c r="D3" s="441"/>
      <c r="E3" s="441"/>
      <c r="F3" s="441"/>
      <c r="G3" s="441"/>
    </row>
    <row r="4" spans="1:7">
      <c r="G4" s="10" t="s">
        <v>95</v>
      </c>
    </row>
    <row r="5" spans="1:7">
      <c r="A5" s="476" t="s">
        <v>1773</v>
      </c>
      <c r="B5" s="484" t="s">
        <v>212</v>
      </c>
      <c r="C5" s="489"/>
      <c r="D5" s="485"/>
      <c r="E5" s="476" t="s">
        <v>2086</v>
      </c>
      <c r="F5" s="486" t="s">
        <v>2087</v>
      </c>
      <c r="G5" s="487" t="s">
        <v>2085</v>
      </c>
    </row>
    <row r="6" spans="1:7" ht="55.5" customHeight="1">
      <c r="A6" s="477"/>
      <c r="B6" s="146" t="s">
        <v>1771</v>
      </c>
      <c r="C6" s="352" t="s">
        <v>1772</v>
      </c>
      <c r="D6" s="352" t="s">
        <v>1775</v>
      </c>
      <c r="E6" s="477"/>
      <c r="F6" s="486"/>
      <c r="G6" s="488"/>
    </row>
    <row r="7" spans="1:7" s="13" customFormat="1">
      <c r="A7" s="329" t="s">
        <v>765</v>
      </c>
      <c r="B7" s="330" t="s">
        <v>1468</v>
      </c>
      <c r="C7" s="330" t="s">
        <v>1468</v>
      </c>
      <c r="D7" s="330" t="s">
        <v>1468</v>
      </c>
      <c r="E7" s="371">
        <v>2317181226.9899998</v>
      </c>
      <c r="F7" s="218">
        <f>F8+F484+F520+F647+F745+F995+F1075+F1144+F1167+F1234+F1257+F1373+F1401+F1520</f>
        <v>2232600466.2299995</v>
      </c>
      <c r="G7" s="400">
        <f>F7/E7*100</f>
        <v>96.34984265473831</v>
      </c>
    </row>
    <row r="8" spans="1:7" ht="25.5">
      <c r="A8" s="329" t="s">
        <v>535</v>
      </c>
      <c r="B8" s="330" t="s">
        <v>1105</v>
      </c>
      <c r="C8" s="330" t="s">
        <v>1468</v>
      </c>
      <c r="D8" s="330" t="s">
        <v>1468</v>
      </c>
      <c r="E8" s="371">
        <v>1297859524.3699999</v>
      </c>
      <c r="F8" s="400">
        <v>1262261677.27</v>
      </c>
      <c r="G8" s="400">
        <f>F8/E8*100</f>
        <v>97.257187975156285</v>
      </c>
    </row>
    <row r="9" spans="1:7" ht="25.5">
      <c r="A9" s="329" t="s">
        <v>536</v>
      </c>
      <c r="B9" s="330" t="s">
        <v>1106</v>
      </c>
      <c r="C9" s="330" t="s">
        <v>1468</v>
      </c>
      <c r="D9" s="330" t="s">
        <v>1468</v>
      </c>
      <c r="E9" s="371">
        <v>1212907021.27</v>
      </c>
      <c r="F9" s="400">
        <v>1184057704.5999999</v>
      </c>
      <c r="G9" s="400">
        <f t="shared" ref="G9:G72" si="0">F9/E9*100</f>
        <v>97.621473355823042</v>
      </c>
    </row>
    <row r="10" spans="1:7" ht="140.25">
      <c r="A10" s="329" t="s">
        <v>2021</v>
      </c>
      <c r="B10" s="330" t="s">
        <v>2022</v>
      </c>
      <c r="C10" s="330" t="s">
        <v>1468</v>
      </c>
      <c r="D10" s="330" t="s">
        <v>1468</v>
      </c>
      <c r="E10" s="371">
        <v>118900</v>
      </c>
      <c r="F10" s="400">
        <v>112109.15</v>
      </c>
      <c r="G10" s="400">
        <f t="shared" si="0"/>
        <v>94.28860386879731</v>
      </c>
    </row>
    <row r="11" spans="1:7" ht="63.75">
      <c r="A11" s="329" t="s">
        <v>1754</v>
      </c>
      <c r="B11" s="330" t="s">
        <v>2022</v>
      </c>
      <c r="C11" s="330" t="s">
        <v>322</v>
      </c>
      <c r="D11" s="330" t="s">
        <v>1468</v>
      </c>
      <c r="E11" s="371">
        <v>118900</v>
      </c>
      <c r="F11" s="400">
        <f>F12</f>
        <v>112109.15</v>
      </c>
      <c r="G11" s="400">
        <f t="shared" si="0"/>
        <v>94.28860386879731</v>
      </c>
    </row>
    <row r="12" spans="1:7">
      <c r="A12" s="329" t="s">
        <v>1487</v>
      </c>
      <c r="B12" s="330" t="s">
        <v>2022</v>
      </c>
      <c r="C12" s="330" t="s">
        <v>165</v>
      </c>
      <c r="D12" s="330" t="s">
        <v>1468</v>
      </c>
      <c r="E12" s="371">
        <v>118900</v>
      </c>
      <c r="F12" s="400">
        <f>F13</f>
        <v>112109.15</v>
      </c>
      <c r="G12" s="400">
        <f t="shared" si="0"/>
        <v>94.28860386879731</v>
      </c>
    </row>
    <row r="13" spans="1:7">
      <c r="A13" s="329" t="s">
        <v>173</v>
      </c>
      <c r="B13" s="330" t="s">
        <v>2022</v>
      </c>
      <c r="C13" s="330" t="s">
        <v>165</v>
      </c>
      <c r="D13" s="330" t="s">
        <v>1364</v>
      </c>
      <c r="E13" s="371">
        <v>118900</v>
      </c>
      <c r="F13" s="400">
        <f>F14+F15</f>
        <v>112109.15</v>
      </c>
      <c r="G13" s="400">
        <f t="shared" si="0"/>
        <v>94.28860386879731</v>
      </c>
    </row>
    <row r="14" spans="1:7">
      <c r="A14" s="329" t="s">
        <v>187</v>
      </c>
      <c r="B14" s="330" t="s">
        <v>2022</v>
      </c>
      <c r="C14" s="330" t="s">
        <v>165</v>
      </c>
      <c r="D14" s="330" t="s">
        <v>484</v>
      </c>
      <c r="E14" s="371">
        <v>71400</v>
      </c>
      <c r="F14" s="400">
        <v>66742.039999999994</v>
      </c>
      <c r="G14" s="400">
        <f t="shared" si="0"/>
        <v>93.476246498599437</v>
      </c>
    </row>
    <row r="15" spans="1:7">
      <c r="A15" s="329" t="s">
        <v>1240</v>
      </c>
      <c r="B15" s="330" t="s">
        <v>2022</v>
      </c>
      <c r="C15" s="330" t="s">
        <v>165</v>
      </c>
      <c r="D15" s="330" t="s">
        <v>1241</v>
      </c>
      <c r="E15" s="371">
        <v>47500</v>
      </c>
      <c r="F15" s="400">
        <v>45367.11</v>
      </c>
      <c r="G15" s="400">
        <f t="shared" si="0"/>
        <v>95.509705263157898</v>
      </c>
    </row>
    <row r="16" spans="1:7" ht="153">
      <c r="A16" s="329" t="s">
        <v>1862</v>
      </c>
      <c r="B16" s="330" t="s">
        <v>1863</v>
      </c>
      <c r="C16" s="330" t="s">
        <v>1468</v>
      </c>
      <c r="D16" s="330" t="s">
        <v>1468</v>
      </c>
      <c r="E16" s="371">
        <v>2215600</v>
      </c>
      <c r="F16" s="400">
        <v>2191034.7599999998</v>
      </c>
      <c r="G16" s="400">
        <f t="shared" si="0"/>
        <v>98.891260155262671</v>
      </c>
    </row>
    <row r="17" spans="1:7" ht="63.75">
      <c r="A17" s="329" t="s">
        <v>1754</v>
      </c>
      <c r="B17" s="330" t="s">
        <v>1863</v>
      </c>
      <c r="C17" s="330" t="s">
        <v>322</v>
      </c>
      <c r="D17" s="330" t="s">
        <v>1468</v>
      </c>
      <c r="E17" s="371">
        <v>1715600</v>
      </c>
      <c r="F17" s="400">
        <v>1691034.76</v>
      </c>
      <c r="G17" s="400">
        <f t="shared" si="0"/>
        <v>98.568125437164838</v>
      </c>
    </row>
    <row r="18" spans="1:7">
      <c r="A18" s="329" t="s">
        <v>1487</v>
      </c>
      <c r="B18" s="330" t="s">
        <v>1863</v>
      </c>
      <c r="C18" s="330" t="s">
        <v>165</v>
      </c>
      <c r="D18" s="330" t="s">
        <v>1468</v>
      </c>
      <c r="E18" s="371">
        <v>1715600</v>
      </c>
      <c r="F18" s="400">
        <v>1691034.76</v>
      </c>
      <c r="G18" s="400">
        <f t="shared" si="0"/>
        <v>98.568125437164838</v>
      </c>
    </row>
    <row r="19" spans="1:7">
      <c r="A19" s="329" t="s">
        <v>173</v>
      </c>
      <c r="B19" s="330" t="s">
        <v>1863</v>
      </c>
      <c r="C19" s="330" t="s">
        <v>165</v>
      </c>
      <c r="D19" s="330" t="s">
        <v>1364</v>
      </c>
      <c r="E19" s="371">
        <v>1715600</v>
      </c>
      <c r="F19" s="400">
        <v>1691034.76</v>
      </c>
      <c r="G19" s="400">
        <f t="shared" si="0"/>
        <v>98.568125437164838</v>
      </c>
    </row>
    <row r="20" spans="1:7">
      <c r="A20" s="329" t="s">
        <v>1240</v>
      </c>
      <c r="B20" s="330" t="s">
        <v>1863</v>
      </c>
      <c r="C20" s="330" t="s">
        <v>165</v>
      </c>
      <c r="D20" s="330" t="s">
        <v>1241</v>
      </c>
      <c r="E20" s="371">
        <v>1715600</v>
      </c>
      <c r="F20" s="400">
        <v>1691034.76</v>
      </c>
      <c r="G20" s="400">
        <f t="shared" si="0"/>
        <v>98.568125437164838</v>
      </c>
    </row>
    <row r="21" spans="1:7" ht="25.5">
      <c r="A21" s="329" t="s">
        <v>1763</v>
      </c>
      <c r="B21" s="330" t="s">
        <v>1863</v>
      </c>
      <c r="C21" s="330" t="s">
        <v>1764</v>
      </c>
      <c r="D21" s="330" t="s">
        <v>1468</v>
      </c>
      <c r="E21" s="371">
        <v>500000</v>
      </c>
      <c r="F21" s="398">
        <v>500000</v>
      </c>
      <c r="G21" s="400">
        <f t="shared" si="0"/>
        <v>100</v>
      </c>
    </row>
    <row r="22" spans="1:7">
      <c r="A22" s="329" t="s">
        <v>1504</v>
      </c>
      <c r="B22" s="330" t="s">
        <v>1863</v>
      </c>
      <c r="C22" s="330" t="s">
        <v>1505</v>
      </c>
      <c r="D22" s="330" t="s">
        <v>1468</v>
      </c>
      <c r="E22" s="371">
        <v>500000</v>
      </c>
      <c r="F22" s="398">
        <v>500000</v>
      </c>
      <c r="G22" s="400">
        <f t="shared" si="0"/>
        <v>100</v>
      </c>
    </row>
    <row r="23" spans="1:7">
      <c r="A23" s="329" t="s">
        <v>173</v>
      </c>
      <c r="B23" s="330" t="s">
        <v>1863</v>
      </c>
      <c r="C23" s="330" t="s">
        <v>1505</v>
      </c>
      <c r="D23" s="330" t="s">
        <v>1364</v>
      </c>
      <c r="E23" s="371">
        <v>500000</v>
      </c>
      <c r="F23" s="398">
        <v>500000</v>
      </c>
      <c r="G23" s="400">
        <f t="shared" si="0"/>
        <v>100</v>
      </c>
    </row>
    <row r="24" spans="1:7">
      <c r="A24" s="329" t="s">
        <v>1240</v>
      </c>
      <c r="B24" s="330" t="s">
        <v>1863</v>
      </c>
      <c r="C24" s="330" t="s">
        <v>1505</v>
      </c>
      <c r="D24" s="330" t="s">
        <v>1241</v>
      </c>
      <c r="E24" s="371">
        <v>500000</v>
      </c>
      <c r="F24" s="398">
        <v>500000</v>
      </c>
      <c r="G24" s="400">
        <f t="shared" si="0"/>
        <v>100</v>
      </c>
    </row>
    <row r="25" spans="1:7" ht="102">
      <c r="A25" s="329" t="s">
        <v>499</v>
      </c>
      <c r="B25" s="330" t="s">
        <v>870</v>
      </c>
      <c r="C25" s="330" t="s">
        <v>1468</v>
      </c>
      <c r="D25" s="330" t="s">
        <v>1468</v>
      </c>
      <c r="E25" s="371">
        <v>38676718.18</v>
      </c>
      <c r="F25" s="400">
        <v>37423828.869999997</v>
      </c>
      <c r="G25" s="400">
        <f t="shared" si="0"/>
        <v>96.760611114497607</v>
      </c>
    </row>
    <row r="26" spans="1:7" ht="63.75">
      <c r="A26" s="329" t="s">
        <v>1754</v>
      </c>
      <c r="B26" s="330" t="s">
        <v>870</v>
      </c>
      <c r="C26" s="330" t="s">
        <v>322</v>
      </c>
      <c r="D26" s="330" t="s">
        <v>1468</v>
      </c>
      <c r="E26" s="371">
        <v>27441792.629999999</v>
      </c>
      <c r="F26" s="400">
        <v>26443803.780000001</v>
      </c>
      <c r="G26" s="400">
        <f t="shared" si="0"/>
        <v>96.363251980451992</v>
      </c>
    </row>
    <row r="27" spans="1:7">
      <c r="A27" s="329" t="s">
        <v>1487</v>
      </c>
      <c r="B27" s="330" t="s">
        <v>870</v>
      </c>
      <c r="C27" s="330" t="s">
        <v>165</v>
      </c>
      <c r="D27" s="330" t="s">
        <v>1468</v>
      </c>
      <c r="E27" s="371">
        <v>27441792.629999999</v>
      </c>
      <c r="F27" s="400">
        <v>26443803.780000001</v>
      </c>
      <c r="G27" s="400">
        <f t="shared" si="0"/>
        <v>96.363251980451992</v>
      </c>
    </row>
    <row r="28" spans="1:7">
      <c r="A28" s="329" t="s">
        <v>173</v>
      </c>
      <c r="B28" s="330" t="s">
        <v>870</v>
      </c>
      <c r="C28" s="330" t="s">
        <v>165</v>
      </c>
      <c r="D28" s="330" t="s">
        <v>1364</v>
      </c>
      <c r="E28" s="371">
        <v>27441792.629999999</v>
      </c>
      <c r="F28" s="400">
        <v>26443803.780000001</v>
      </c>
      <c r="G28" s="400">
        <f t="shared" si="0"/>
        <v>96.363251980451992</v>
      </c>
    </row>
    <row r="29" spans="1:7">
      <c r="A29" s="329" t="s">
        <v>186</v>
      </c>
      <c r="B29" s="330" t="s">
        <v>870</v>
      </c>
      <c r="C29" s="330" t="s">
        <v>165</v>
      </c>
      <c r="D29" s="330" t="s">
        <v>497</v>
      </c>
      <c r="E29" s="371">
        <v>27441792.629999999</v>
      </c>
      <c r="F29" s="400">
        <v>26443803.780000001</v>
      </c>
      <c r="G29" s="400">
        <f t="shared" si="0"/>
        <v>96.363251980451992</v>
      </c>
    </row>
    <row r="30" spans="1:7" ht="25.5">
      <c r="A30" s="329" t="s">
        <v>1755</v>
      </c>
      <c r="B30" s="330" t="s">
        <v>870</v>
      </c>
      <c r="C30" s="330" t="s">
        <v>1756</v>
      </c>
      <c r="D30" s="330" t="s">
        <v>1468</v>
      </c>
      <c r="E30" s="371">
        <v>10518111.220000001</v>
      </c>
      <c r="F30" s="400">
        <v>10292477.029999999</v>
      </c>
      <c r="G30" s="400">
        <f t="shared" si="0"/>
        <v>97.854803155428115</v>
      </c>
    </row>
    <row r="31" spans="1:7" ht="25.5">
      <c r="A31" s="329" t="s">
        <v>1502</v>
      </c>
      <c r="B31" s="330" t="s">
        <v>870</v>
      </c>
      <c r="C31" s="330" t="s">
        <v>1503</v>
      </c>
      <c r="D31" s="330" t="s">
        <v>1468</v>
      </c>
      <c r="E31" s="371">
        <v>10518111.220000001</v>
      </c>
      <c r="F31" s="400">
        <v>10292477.029999999</v>
      </c>
      <c r="G31" s="400">
        <f t="shared" si="0"/>
        <v>97.854803155428115</v>
      </c>
    </row>
    <row r="32" spans="1:7">
      <c r="A32" s="329" t="s">
        <v>173</v>
      </c>
      <c r="B32" s="330" t="s">
        <v>870</v>
      </c>
      <c r="C32" s="330" t="s">
        <v>1503</v>
      </c>
      <c r="D32" s="330" t="s">
        <v>1364</v>
      </c>
      <c r="E32" s="371">
        <v>10518111.220000001</v>
      </c>
      <c r="F32" s="400">
        <v>10292477.029999999</v>
      </c>
      <c r="G32" s="400">
        <f t="shared" si="0"/>
        <v>97.854803155428115</v>
      </c>
    </row>
    <row r="33" spans="1:7">
      <c r="A33" s="329" t="s">
        <v>186</v>
      </c>
      <c r="B33" s="330" t="s">
        <v>870</v>
      </c>
      <c r="C33" s="330" t="s">
        <v>1503</v>
      </c>
      <c r="D33" s="330" t="s">
        <v>497</v>
      </c>
      <c r="E33" s="371">
        <v>10518111.220000001</v>
      </c>
      <c r="F33" s="400">
        <v>10292477.029999999</v>
      </c>
      <c r="G33" s="400">
        <f t="shared" si="0"/>
        <v>97.854803155428115</v>
      </c>
    </row>
    <row r="34" spans="1:7">
      <c r="A34" s="329" t="s">
        <v>1757</v>
      </c>
      <c r="B34" s="330" t="s">
        <v>870</v>
      </c>
      <c r="C34" s="330" t="s">
        <v>1758</v>
      </c>
      <c r="D34" s="330" t="s">
        <v>1468</v>
      </c>
      <c r="E34" s="371">
        <v>716814.33</v>
      </c>
      <c r="F34" s="400">
        <f>F35+F38</f>
        <v>687548.06</v>
      </c>
      <c r="G34" s="400">
        <f t="shared" si="0"/>
        <v>95.917175651329416</v>
      </c>
    </row>
    <row r="35" spans="1:7">
      <c r="A35" s="329" t="s">
        <v>1516</v>
      </c>
      <c r="B35" s="330" t="s">
        <v>870</v>
      </c>
      <c r="C35" s="330" t="s">
        <v>242</v>
      </c>
      <c r="D35" s="330" t="s">
        <v>1468</v>
      </c>
      <c r="E35" s="371">
        <v>14864</v>
      </c>
      <c r="F35" s="400">
        <v>14864</v>
      </c>
      <c r="G35" s="400">
        <f t="shared" si="0"/>
        <v>100</v>
      </c>
    </row>
    <row r="36" spans="1:7">
      <c r="A36" s="329" t="s">
        <v>173</v>
      </c>
      <c r="B36" s="330" t="s">
        <v>870</v>
      </c>
      <c r="C36" s="330" t="s">
        <v>242</v>
      </c>
      <c r="D36" s="330" t="s">
        <v>1364</v>
      </c>
      <c r="E36" s="371">
        <v>14864</v>
      </c>
      <c r="F36" s="400">
        <v>14864</v>
      </c>
      <c r="G36" s="400">
        <f t="shared" si="0"/>
        <v>100</v>
      </c>
    </row>
    <row r="37" spans="1:7">
      <c r="A37" s="329" t="s">
        <v>186</v>
      </c>
      <c r="B37" s="330" t="s">
        <v>870</v>
      </c>
      <c r="C37" s="330" t="s">
        <v>242</v>
      </c>
      <c r="D37" s="330" t="s">
        <v>497</v>
      </c>
      <c r="E37" s="371">
        <v>14864</v>
      </c>
      <c r="F37" s="400">
        <v>14864</v>
      </c>
      <c r="G37" s="400">
        <f t="shared" si="0"/>
        <v>100</v>
      </c>
    </row>
    <row r="38" spans="1:7">
      <c r="A38" s="329" t="s">
        <v>1507</v>
      </c>
      <c r="B38" s="330" t="s">
        <v>870</v>
      </c>
      <c r="C38" s="330" t="s">
        <v>1508</v>
      </c>
      <c r="D38" s="330" t="s">
        <v>1468</v>
      </c>
      <c r="E38" s="371">
        <v>701950.33</v>
      </c>
      <c r="F38" s="400">
        <v>672684.06</v>
      </c>
      <c r="G38" s="400">
        <f t="shared" si="0"/>
        <v>95.830720672216245</v>
      </c>
    </row>
    <row r="39" spans="1:7">
      <c r="A39" s="329" t="s">
        <v>173</v>
      </c>
      <c r="B39" s="330" t="s">
        <v>870</v>
      </c>
      <c r="C39" s="330" t="s">
        <v>1508</v>
      </c>
      <c r="D39" s="330" t="s">
        <v>1364</v>
      </c>
      <c r="E39" s="371">
        <v>701950.33</v>
      </c>
      <c r="F39" s="400">
        <v>672684.06</v>
      </c>
      <c r="G39" s="400">
        <f t="shared" si="0"/>
        <v>95.830720672216245</v>
      </c>
    </row>
    <row r="40" spans="1:7">
      <c r="A40" s="329" t="s">
        <v>186</v>
      </c>
      <c r="B40" s="330" t="s">
        <v>870</v>
      </c>
      <c r="C40" s="330" t="s">
        <v>1508</v>
      </c>
      <c r="D40" s="330" t="s">
        <v>497</v>
      </c>
      <c r="E40" s="371">
        <v>701950.33</v>
      </c>
      <c r="F40" s="400">
        <v>672684.06</v>
      </c>
      <c r="G40" s="400">
        <f t="shared" si="0"/>
        <v>95.830720672216245</v>
      </c>
    </row>
    <row r="41" spans="1:7" ht="114.75">
      <c r="A41" s="329" t="s">
        <v>502</v>
      </c>
      <c r="B41" s="330" t="s">
        <v>878</v>
      </c>
      <c r="C41" s="330" t="s">
        <v>1468</v>
      </c>
      <c r="D41" s="330" t="s">
        <v>1468</v>
      </c>
      <c r="E41" s="371">
        <v>63654296</v>
      </c>
      <c r="F41" s="400">
        <v>62184616.829999998</v>
      </c>
      <c r="G41" s="400">
        <f t="shared" si="0"/>
        <v>97.691154780817939</v>
      </c>
    </row>
    <row r="42" spans="1:7" ht="63.75">
      <c r="A42" s="329" t="s">
        <v>1754</v>
      </c>
      <c r="B42" s="330" t="s">
        <v>878</v>
      </c>
      <c r="C42" s="330" t="s">
        <v>322</v>
      </c>
      <c r="D42" s="330" t="s">
        <v>1468</v>
      </c>
      <c r="E42" s="371">
        <v>41634977.399999999</v>
      </c>
      <c r="F42" s="400">
        <v>41194514.969999999</v>
      </c>
      <c r="G42" s="400">
        <f t="shared" si="0"/>
        <v>98.942085579227438</v>
      </c>
    </row>
    <row r="43" spans="1:7">
      <c r="A43" s="329" t="s">
        <v>1487</v>
      </c>
      <c r="B43" s="330" t="s">
        <v>878</v>
      </c>
      <c r="C43" s="330" t="s">
        <v>165</v>
      </c>
      <c r="D43" s="330" t="s">
        <v>1468</v>
      </c>
      <c r="E43" s="371">
        <v>41634977.399999999</v>
      </c>
      <c r="F43" s="400">
        <v>41194514.969999999</v>
      </c>
      <c r="G43" s="400">
        <f t="shared" si="0"/>
        <v>98.942085579227438</v>
      </c>
    </row>
    <row r="44" spans="1:7">
      <c r="A44" s="329" t="s">
        <v>173</v>
      </c>
      <c r="B44" s="330" t="s">
        <v>878</v>
      </c>
      <c r="C44" s="330" t="s">
        <v>165</v>
      </c>
      <c r="D44" s="330" t="s">
        <v>1364</v>
      </c>
      <c r="E44" s="371">
        <v>41634977.399999999</v>
      </c>
      <c r="F44" s="400">
        <v>41194514.969999999</v>
      </c>
      <c r="G44" s="400">
        <f t="shared" si="0"/>
        <v>98.942085579227438</v>
      </c>
    </row>
    <row r="45" spans="1:7">
      <c r="A45" s="329" t="s">
        <v>187</v>
      </c>
      <c r="B45" s="330" t="s">
        <v>878</v>
      </c>
      <c r="C45" s="330" t="s">
        <v>165</v>
      </c>
      <c r="D45" s="330" t="s">
        <v>484</v>
      </c>
      <c r="E45" s="371">
        <v>41634977.399999999</v>
      </c>
      <c r="F45" s="400">
        <v>41194514.969999999</v>
      </c>
      <c r="G45" s="400">
        <f t="shared" si="0"/>
        <v>98.942085579227438</v>
      </c>
    </row>
    <row r="46" spans="1:7" ht="25.5">
      <c r="A46" s="329" t="s">
        <v>1755</v>
      </c>
      <c r="B46" s="330" t="s">
        <v>878</v>
      </c>
      <c r="C46" s="330" t="s">
        <v>1756</v>
      </c>
      <c r="D46" s="330" t="s">
        <v>1468</v>
      </c>
      <c r="E46" s="371">
        <v>21453747.239999998</v>
      </c>
      <c r="F46" s="400">
        <v>20457694.02</v>
      </c>
      <c r="G46" s="400">
        <f t="shared" si="0"/>
        <v>95.357206324576808</v>
      </c>
    </row>
    <row r="47" spans="1:7" ht="25.5">
      <c r="A47" s="329" t="s">
        <v>1502</v>
      </c>
      <c r="B47" s="330" t="s">
        <v>878</v>
      </c>
      <c r="C47" s="330" t="s">
        <v>1503</v>
      </c>
      <c r="D47" s="330" t="s">
        <v>1468</v>
      </c>
      <c r="E47" s="371">
        <v>21453747.239999998</v>
      </c>
      <c r="F47" s="400">
        <v>20457694.02</v>
      </c>
      <c r="G47" s="400">
        <f t="shared" si="0"/>
        <v>95.357206324576808</v>
      </c>
    </row>
    <row r="48" spans="1:7">
      <c r="A48" s="329" t="s">
        <v>173</v>
      </c>
      <c r="B48" s="330" t="s">
        <v>878</v>
      </c>
      <c r="C48" s="330" t="s">
        <v>1503</v>
      </c>
      <c r="D48" s="330" t="s">
        <v>1364</v>
      </c>
      <c r="E48" s="371">
        <v>21453747.239999998</v>
      </c>
      <c r="F48" s="400">
        <v>20457694.02</v>
      </c>
      <c r="G48" s="400">
        <f t="shared" si="0"/>
        <v>95.357206324576808</v>
      </c>
    </row>
    <row r="49" spans="1:7">
      <c r="A49" s="329" t="s">
        <v>187</v>
      </c>
      <c r="B49" s="330" t="s">
        <v>878</v>
      </c>
      <c r="C49" s="330" t="s">
        <v>1503</v>
      </c>
      <c r="D49" s="330" t="s">
        <v>484</v>
      </c>
      <c r="E49" s="371">
        <v>21453747.239999998</v>
      </c>
      <c r="F49" s="400">
        <v>20457694.02</v>
      </c>
      <c r="G49" s="400">
        <f t="shared" si="0"/>
        <v>95.357206324576808</v>
      </c>
    </row>
    <row r="50" spans="1:7">
      <c r="A50" s="329" t="s">
        <v>1757</v>
      </c>
      <c r="B50" s="330" t="s">
        <v>878</v>
      </c>
      <c r="C50" s="330" t="s">
        <v>1758</v>
      </c>
      <c r="D50" s="330" t="s">
        <v>1468</v>
      </c>
      <c r="E50" s="371">
        <v>565571.36</v>
      </c>
      <c r="F50" s="400">
        <f>F51+F54</f>
        <v>532407.84000000008</v>
      </c>
      <c r="G50" s="400">
        <f t="shared" si="0"/>
        <v>94.136280168076425</v>
      </c>
    </row>
    <row r="51" spans="1:7">
      <c r="A51" s="329" t="s">
        <v>1516</v>
      </c>
      <c r="B51" s="330" t="s">
        <v>878</v>
      </c>
      <c r="C51" s="330" t="s">
        <v>242</v>
      </c>
      <c r="D51" s="330" t="s">
        <v>1468</v>
      </c>
      <c r="E51" s="371">
        <v>12499</v>
      </c>
      <c r="F51" s="398">
        <v>12499</v>
      </c>
      <c r="G51" s="400">
        <f t="shared" si="0"/>
        <v>100</v>
      </c>
    </row>
    <row r="52" spans="1:7">
      <c r="A52" s="329" t="s">
        <v>173</v>
      </c>
      <c r="B52" s="330" t="s">
        <v>878</v>
      </c>
      <c r="C52" s="330" t="s">
        <v>242</v>
      </c>
      <c r="D52" s="330" t="s">
        <v>1364</v>
      </c>
      <c r="E52" s="371">
        <v>12499</v>
      </c>
      <c r="F52" s="398">
        <v>12499</v>
      </c>
      <c r="G52" s="400">
        <f t="shared" si="0"/>
        <v>100</v>
      </c>
    </row>
    <row r="53" spans="1:7">
      <c r="A53" s="329" t="s">
        <v>187</v>
      </c>
      <c r="B53" s="330" t="s">
        <v>878</v>
      </c>
      <c r="C53" s="330" t="s">
        <v>242</v>
      </c>
      <c r="D53" s="330" t="s">
        <v>484</v>
      </c>
      <c r="E53" s="371">
        <v>12499</v>
      </c>
      <c r="F53" s="398">
        <v>12499</v>
      </c>
      <c r="G53" s="400">
        <f t="shared" si="0"/>
        <v>100</v>
      </c>
    </row>
    <row r="54" spans="1:7">
      <c r="A54" s="329" t="s">
        <v>1507</v>
      </c>
      <c r="B54" s="330" t="s">
        <v>878</v>
      </c>
      <c r="C54" s="330" t="s">
        <v>1508</v>
      </c>
      <c r="D54" s="330" t="s">
        <v>1468</v>
      </c>
      <c r="E54" s="371">
        <v>553072.36</v>
      </c>
      <c r="F54" s="400">
        <v>519908.84</v>
      </c>
      <c r="G54" s="400">
        <f t="shared" si="0"/>
        <v>94.003764715343934</v>
      </c>
    </row>
    <row r="55" spans="1:7">
      <c r="A55" s="329" t="s">
        <v>173</v>
      </c>
      <c r="B55" s="330" t="s">
        <v>878</v>
      </c>
      <c r="C55" s="330" t="s">
        <v>1508</v>
      </c>
      <c r="D55" s="330" t="s">
        <v>1364</v>
      </c>
      <c r="E55" s="371">
        <v>553072.36</v>
      </c>
      <c r="F55" s="400">
        <v>519908.84</v>
      </c>
      <c r="G55" s="400">
        <f t="shared" si="0"/>
        <v>94.003764715343934</v>
      </c>
    </row>
    <row r="56" spans="1:7">
      <c r="A56" s="329" t="s">
        <v>187</v>
      </c>
      <c r="B56" s="330" t="s">
        <v>878</v>
      </c>
      <c r="C56" s="330" t="s">
        <v>1508</v>
      </c>
      <c r="D56" s="330" t="s">
        <v>484</v>
      </c>
      <c r="E56" s="371">
        <v>553072.36</v>
      </c>
      <c r="F56" s="400">
        <v>519908.84</v>
      </c>
      <c r="G56" s="400">
        <f t="shared" si="0"/>
        <v>94.003764715343934</v>
      </c>
    </row>
    <row r="57" spans="1:7" ht="102">
      <c r="A57" s="329" t="s">
        <v>503</v>
      </c>
      <c r="B57" s="330" t="s">
        <v>882</v>
      </c>
      <c r="C57" s="330" t="s">
        <v>1468</v>
      </c>
      <c r="D57" s="330" t="s">
        <v>1468</v>
      </c>
      <c r="E57" s="371">
        <v>31751695.41</v>
      </c>
      <c r="F57" s="400">
        <v>28950802.370000001</v>
      </c>
      <c r="G57" s="400">
        <f t="shared" si="0"/>
        <v>91.178760680861544</v>
      </c>
    </row>
    <row r="58" spans="1:7" ht="63.75">
      <c r="A58" s="329" t="s">
        <v>1754</v>
      </c>
      <c r="B58" s="330" t="s">
        <v>882</v>
      </c>
      <c r="C58" s="330" t="s">
        <v>322</v>
      </c>
      <c r="D58" s="330" t="s">
        <v>1468</v>
      </c>
      <c r="E58" s="371">
        <v>17179743.030000001</v>
      </c>
      <c r="F58" s="400">
        <v>14679472.689999999</v>
      </c>
      <c r="G58" s="400">
        <f t="shared" si="0"/>
        <v>85.446404316793775</v>
      </c>
    </row>
    <row r="59" spans="1:7">
      <c r="A59" s="329" t="s">
        <v>1487</v>
      </c>
      <c r="B59" s="330" t="s">
        <v>882</v>
      </c>
      <c r="C59" s="330" t="s">
        <v>165</v>
      </c>
      <c r="D59" s="330" t="s">
        <v>1468</v>
      </c>
      <c r="E59" s="371">
        <v>17179743.030000001</v>
      </c>
      <c r="F59" s="400">
        <v>14679472.689999999</v>
      </c>
      <c r="G59" s="400">
        <f t="shared" si="0"/>
        <v>85.446404316793775</v>
      </c>
    </row>
    <row r="60" spans="1:7">
      <c r="A60" s="329" t="s">
        <v>173</v>
      </c>
      <c r="B60" s="330" t="s">
        <v>882</v>
      </c>
      <c r="C60" s="330" t="s">
        <v>165</v>
      </c>
      <c r="D60" s="330" t="s">
        <v>1364</v>
      </c>
      <c r="E60" s="371">
        <v>17179743.030000001</v>
      </c>
      <c r="F60" s="400">
        <v>14679472.689999999</v>
      </c>
      <c r="G60" s="400">
        <f t="shared" si="0"/>
        <v>85.446404316793775</v>
      </c>
    </row>
    <row r="61" spans="1:7">
      <c r="A61" s="329" t="s">
        <v>1240</v>
      </c>
      <c r="B61" s="330" t="s">
        <v>882</v>
      </c>
      <c r="C61" s="330" t="s">
        <v>165</v>
      </c>
      <c r="D61" s="330" t="s">
        <v>1241</v>
      </c>
      <c r="E61" s="371">
        <v>17179743.030000001</v>
      </c>
      <c r="F61" s="400">
        <v>14679472.689999999</v>
      </c>
      <c r="G61" s="400">
        <f t="shared" si="0"/>
        <v>85.446404316793775</v>
      </c>
    </row>
    <row r="62" spans="1:7" ht="25.5">
      <c r="A62" s="329" t="s">
        <v>1755</v>
      </c>
      <c r="B62" s="330" t="s">
        <v>882</v>
      </c>
      <c r="C62" s="330" t="s">
        <v>1756</v>
      </c>
      <c r="D62" s="330" t="s">
        <v>1468</v>
      </c>
      <c r="E62" s="371">
        <v>1178021</v>
      </c>
      <c r="F62" s="400">
        <v>1168332.26</v>
      </c>
      <c r="G62" s="400">
        <f t="shared" si="0"/>
        <v>99.177540977622641</v>
      </c>
    </row>
    <row r="63" spans="1:7" ht="25.5">
      <c r="A63" s="329" t="s">
        <v>1502</v>
      </c>
      <c r="B63" s="330" t="s">
        <v>882</v>
      </c>
      <c r="C63" s="330" t="s">
        <v>1503</v>
      </c>
      <c r="D63" s="330" t="s">
        <v>1468</v>
      </c>
      <c r="E63" s="371">
        <v>1178021</v>
      </c>
      <c r="F63" s="400">
        <v>1168332.26</v>
      </c>
      <c r="G63" s="400">
        <f t="shared" si="0"/>
        <v>99.177540977622641</v>
      </c>
    </row>
    <row r="64" spans="1:7">
      <c r="A64" s="329" t="s">
        <v>173</v>
      </c>
      <c r="B64" s="330" t="s">
        <v>882</v>
      </c>
      <c r="C64" s="330" t="s">
        <v>1503</v>
      </c>
      <c r="D64" s="330" t="s">
        <v>1364</v>
      </c>
      <c r="E64" s="371">
        <v>1178021</v>
      </c>
      <c r="F64" s="400">
        <v>1168332.26</v>
      </c>
      <c r="G64" s="400">
        <f t="shared" si="0"/>
        <v>99.177540977622641</v>
      </c>
    </row>
    <row r="65" spans="1:7">
      <c r="A65" s="329" t="s">
        <v>1240</v>
      </c>
      <c r="B65" s="330" t="s">
        <v>882</v>
      </c>
      <c r="C65" s="330" t="s">
        <v>1503</v>
      </c>
      <c r="D65" s="330" t="s">
        <v>1241</v>
      </c>
      <c r="E65" s="371">
        <v>1178021</v>
      </c>
      <c r="F65" s="400">
        <v>1168332.26</v>
      </c>
      <c r="G65" s="400">
        <f t="shared" si="0"/>
        <v>99.177540977622641</v>
      </c>
    </row>
    <row r="66" spans="1:7" ht="25.5">
      <c r="A66" s="329" t="s">
        <v>1763</v>
      </c>
      <c r="B66" s="330" t="s">
        <v>882</v>
      </c>
      <c r="C66" s="330" t="s">
        <v>1764</v>
      </c>
      <c r="D66" s="330" t="s">
        <v>1468</v>
      </c>
      <c r="E66" s="371">
        <v>13379981.380000001</v>
      </c>
      <c r="F66" s="400">
        <v>13090209.470000001</v>
      </c>
      <c r="G66" s="400">
        <f t="shared" si="0"/>
        <v>97.834287643829285</v>
      </c>
    </row>
    <row r="67" spans="1:7">
      <c r="A67" s="329" t="s">
        <v>1504</v>
      </c>
      <c r="B67" s="330" t="s">
        <v>882</v>
      </c>
      <c r="C67" s="330" t="s">
        <v>1505</v>
      </c>
      <c r="D67" s="330" t="s">
        <v>1468</v>
      </c>
      <c r="E67" s="371">
        <v>13379981.380000001</v>
      </c>
      <c r="F67" s="400">
        <v>13090209.470000001</v>
      </c>
      <c r="G67" s="400">
        <f t="shared" si="0"/>
        <v>97.834287643829285</v>
      </c>
    </row>
    <row r="68" spans="1:7">
      <c r="A68" s="329" t="s">
        <v>173</v>
      </c>
      <c r="B68" s="330" t="s">
        <v>882</v>
      </c>
      <c r="C68" s="330" t="s">
        <v>1505</v>
      </c>
      <c r="D68" s="330" t="s">
        <v>1364</v>
      </c>
      <c r="E68" s="371">
        <v>12978118.73</v>
      </c>
      <c r="F68" s="400">
        <v>12707949.449999999</v>
      </c>
      <c r="G68" s="400">
        <f t="shared" si="0"/>
        <v>97.918270855578754</v>
      </c>
    </row>
    <row r="69" spans="1:7">
      <c r="A69" s="329" t="s">
        <v>1240</v>
      </c>
      <c r="B69" s="330" t="s">
        <v>882</v>
      </c>
      <c r="C69" s="330" t="s">
        <v>1505</v>
      </c>
      <c r="D69" s="330" t="s">
        <v>1241</v>
      </c>
      <c r="E69" s="371">
        <v>12978118.73</v>
      </c>
      <c r="F69" s="400">
        <v>12707949.449999999</v>
      </c>
      <c r="G69" s="400">
        <f t="shared" si="0"/>
        <v>97.918270855578754</v>
      </c>
    </row>
    <row r="70" spans="1:7">
      <c r="A70" s="329" t="s">
        <v>292</v>
      </c>
      <c r="B70" s="330" t="s">
        <v>882</v>
      </c>
      <c r="C70" s="330" t="s">
        <v>1505</v>
      </c>
      <c r="D70" s="330" t="s">
        <v>1366</v>
      </c>
      <c r="E70" s="371">
        <v>401862.65</v>
      </c>
      <c r="F70" s="400">
        <v>382260.02</v>
      </c>
      <c r="G70" s="400">
        <f t="shared" si="0"/>
        <v>95.122057250157482</v>
      </c>
    </row>
    <row r="71" spans="1:7">
      <c r="A71" s="329" t="s">
        <v>1588</v>
      </c>
      <c r="B71" s="330" t="s">
        <v>882</v>
      </c>
      <c r="C71" s="330" t="s">
        <v>1505</v>
      </c>
      <c r="D71" s="330" t="s">
        <v>1589</v>
      </c>
      <c r="E71" s="371">
        <v>401862.65</v>
      </c>
      <c r="F71" s="400">
        <v>382260.02</v>
      </c>
      <c r="G71" s="400">
        <f t="shared" si="0"/>
        <v>95.122057250157482</v>
      </c>
    </row>
    <row r="72" spans="1:7">
      <c r="A72" s="329" t="s">
        <v>1757</v>
      </c>
      <c r="B72" s="330" t="s">
        <v>882</v>
      </c>
      <c r="C72" s="330" t="s">
        <v>1758</v>
      </c>
      <c r="D72" s="330" t="s">
        <v>1468</v>
      </c>
      <c r="E72" s="371">
        <v>13950</v>
      </c>
      <c r="F72" s="400">
        <v>12787.95</v>
      </c>
      <c r="G72" s="400">
        <f t="shared" si="0"/>
        <v>91.669892473118281</v>
      </c>
    </row>
    <row r="73" spans="1:7">
      <c r="A73" s="329" t="s">
        <v>1507</v>
      </c>
      <c r="B73" s="330" t="s">
        <v>882</v>
      </c>
      <c r="C73" s="330" t="s">
        <v>1508</v>
      </c>
      <c r="D73" s="330" t="s">
        <v>1468</v>
      </c>
      <c r="E73" s="371">
        <v>13950</v>
      </c>
      <c r="F73" s="400">
        <v>12787.95</v>
      </c>
      <c r="G73" s="400">
        <f t="shared" ref="G73:G136" si="1">F73/E73*100</f>
        <v>91.669892473118281</v>
      </c>
    </row>
    <row r="74" spans="1:7">
      <c r="A74" s="329" t="s">
        <v>173</v>
      </c>
      <c r="B74" s="330" t="s">
        <v>882</v>
      </c>
      <c r="C74" s="330" t="s">
        <v>1508</v>
      </c>
      <c r="D74" s="330" t="s">
        <v>1364</v>
      </c>
      <c r="E74" s="371">
        <v>13950</v>
      </c>
      <c r="F74" s="400">
        <v>12787.95</v>
      </c>
      <c r="G74" s="400">
        <f t="shared" si="1"/>
        <v>91.669892473118281</v>
      </c>
    </row>
    <row r="75" spans="1:7">
      <c r="A75" s="329" t="s">
        <v>1240</v>
      </c>
      <c r="B75" s="330" t="s">
        <v>882</v>
      </c>
      <c r="C75" s="330" t="s">
        <v>1508</v>
      </c>
      <c r="D75" s="330" t="s">
        <v>1241</v>
      </c>
      <c r="E75" s="371">
        <v>13950</v>
      </c>
      <c r="F75" s="400">
        <v>12787.95</v>
      </c>
      <c r="G75" s="400">
        <f t="shared" si="1"/>
        <v>91.669892473118281</v>
      </c>
    </row>
    <row r="76" spans="1:7" ht="114.75">
      <c r="A76" s="329" t="s">
        <v>506</v>
      </c>
      <c r="B76" s="330" t="s">
        <v>895</v>
      </c>
      <c r="C76" s="330" t="s">
        <v>1468</v>
      </c>
      <c r="D76" s="330" t="s">
        <v>1468</v>
      </c>
      <c r="E76" s="371">
        <v>921400</v>
      </c>
      <c r="F76" s="398">
        <v>921400</v>
      </c>
      <c r="G76" s="400">
        <f t="shared" si="1"/>
        <v>100</v>
      </c>
    </row>
    <row r="77" spans="1:7" ht="25.5">
      <c r="A77" s="329" t="s">
        <v>1763</v>
      </c>
      <c r="B77" s="330" t="s">
        <v>895</v>
      </c>
      <c r="C77" s="330" t="s">
        <v>1764</v>
      </c>
      <c r="D77" s="330" t="s">
        <v>1468</v>
      </c>
      <c r="E77" s="371">
        <v>921400</v>
      </c>
      <c r="F77" s="398">
        <v>921400</v>
      </c>
      <c r="G77" s="400">
        <f t="shared" si="1"/>
        <v>100</v>
      </c>
    </row>
    <row r="78" spans="1:7">
      <c r="A78" s="329" t="s">
        <v>1504</v>
      </c>
      <c r="B78" s="330" t="s">
        <v>895</v>
      </c>
      <c r="C78" s="330" t="s">
        <v>1505</v>
      </c>
      <c r="D78" s="330" t="s">
        <v>1468</v>
      </c>
      <c r="E78" s="371">
        <v>921400</v>
      </c>
      <c r="F78" s="398">
        <v>921400</v>
      </c>
      <c r="G78" s="400">
        <f t="shared" si="1"/>
        <v>100</v>
      </c>
    </row>
    <row r="79" spans="1:7">
      <c r="A79" s="329" t="s">
        <v>173</v>
      </c>
      <c r="B79" s="330" t="s">
        <v>895</v>
      </c>
      <c r="C79" s="330" t="s">
        <v>1505</v>
      </c>
      <c r="D79" s="330" t="s">
        <v>1364</v>
      </c>
      <c r="E79" s="371">
        <v>921400</v>
      </c>
      <c r="F79" s="398">
        <v>921400</v>
      </c>
      <c r="G79" s="400">
        <f t="shared" si="1"/>
        <v>100</v>
      </c>
    </row>
    <row r="80" spans="1:7">
      <c r="A80" s="329" t="s">
        <v>1238</v>
      </c>
      <c r="B80" s="330" t="s">
        <v>895</v>
      </c>
      <c r="C80" s="330" t="s">
        <v>1505</v>
      </c>
      <c r="D80" s="330" t="s">
        <v>453</v>
      </c>
      <c r="E80" s="371">
        <v>921400</v>
      </c>
      <c r="F80" s="398">
        <v>921400</v>
      </c>
      <c r="G80" s="400">
        <f t="shared" si="1"/>
        <v>100</v>
      </c>
    </row>
    <row r="81" spans="1:7" ht="140.25">
      <c r="A81" s="329" t="s">
        <v>681</v>
      </c>
      <c r="B81" s="330" t="s">
        <v>871</v>
      </c>
      <c r="C81" s="330" t="s">
        <v>1468</v>
      </c>
      <c r="D81" s="330" t="s">
        <v>1468</v>
      </c>
      <c r="E81" s="371">
        <v>60267028.649999999</v>
      </c>
      <c r="F81" s="400">
        <v>58981548.049999997</v>
      </c>
      <c r="G81" s="400">
        <f t="shared" si="1"/>
        <v>97.867025090177563</v>
      </c>
    </row>
    <row r="82" spans="1:7" ht="63.75">
      <c r="A82" s="329" t="s">
        <v>1754</v>
      </c>
      <c r="B82" s="330" t="s">
        <v>871</v>
      </c>
      <c r="C82" s="330" t="s">
        <v>322</v>
      </c>
      <c r="D82" s="330" t="s">
        <v>1468</v>
      </c>
      <c r="E82" s="371">
        <v>60267028.649999999</v>
      </c>
      <c r="F82" s="400">
        <v>58981548.049999997</v>
      </c>
      <c r="G82" s="400">
        <f t="shared" si="1"/>
        <v>97.867025090177563</v>
      </c>
    </row>
    <row r="83" spans="1:7">
      <c r="A83" s="329" t="s">
        <v>1487</v>
      </c>
      <c r="B83" s="330" t="s">
        <v>871</v>
      </c>
      <c r="C83" s="330" t="s">
        <v>165</v>
      </c>
      <c r="D83" s="330" t="s">
        <v>1468</v>
      </c>
      <c r="E83" s="371">
        <v>60267028.649999999</v>
      </c>
      <c r="F83" s="400">
        <v>58981548.049999997</v>
      </c>
      <c r="G83" s="400">
        <f t="shared" si="1"/>
        <v>97.867025090177563</v>
      </c>
    </row>
    <row r="84" spans="1:7">
      <c r="A84" s="329" t="s">
        <v>173</v>
      </c>
      <c r="B84" s="330" t="s">
        <v>871</v>
      </c>
      <c r="C84" s="330" t="s">
        <v>165</v>
      </c>
      <c r="D84" s="330" t="s">
        <v>1364</v>
      </c>
      <c r="E84" s="371">
        <v>60267028.649999999</v>
      </c>
      <c r="F84" s="400">
        <v>58981548.049999997</v>
      </c>
      <c r="G84" s="400">
        <f t="shared" si="1"/>
        <v>97.867025090177563</v>
      </c>
    </row>
    <row r="85" spans="1:7">
      <c r="A85" s="329" t="s">
        <v>186</v>
      </c>
      <c r="B85" s="330" t="s">
        <v>871</v>
      </c>
      <c r="C85" s="330" t="s">
        <v>165</v>
      </c>
      <c r="D85" s="330" t="s">
        <v>497</v>
      </c>
      <c r="E85" s="371">
        <v>60267028.649999999</v>
      </c>
      <c r="F85" s="400">
        <v>58981548.049999997</v>
      </c>
      <c r="G85" s="400">
        <f t="shared" si="1"/>
        <v>97.867025090177563</v>
      </c>
    </row>
    <row r="86" spans="1:7" ht="153">
      <c r="A86" s="329" t="s">
        <v>504</v>
      </c>
      <c r="B86" s="330" t="s">
        <v>879</v>
      </c>
      <c r="C86" s="330" t="s">
        <v>1468</v>
      </c>
      <c r="D86" s="330" t="s">
        <v>1468</v>
      </c>
      <c r="E86" s="371">
        <v>85612109.090000004</v>
      </c>
      <c r="F86" s="400">
        <v>84644577.950000003</v>
      </c>
      <c r="G86" s="400">
        <f t="shared" si="1"/>
        <v>98.869866482342033</v>
      </c>
    </row>
    <row r="87" spans="1:7" ht="63.75">
      <c r="A87" s="329" t="s">
        <v>1754</v>
      </c>
      <c r="B87" s="330" t="s">
        <v>879</v>
      </c>
      <c r="C87" s="330" t="s">
        <v>322</v>
      </c>
      <c r="D87" s="330" t="s">
        <v>1468</v>
      </c>
      <c r="E87" s="371">
        <v>85612109.090000004</v>
      </c>
      <c r="F87" s="400">
        <v>84644577.950000003</v>
      </c>
      <c r="G87" s="400">
        <f t="shared" si="1"/>
        <v>98.869866482342033</v>
      </c>
    </row>
    <row r="88" spans="1:7">
      <c r="A88" s="329" t="s">
        <v>1487</v>
      </c>
      <c r="B88" s="330" t="s">
        <v>879</v>
      </c>
      <c r="C88" s="330" t="s">
        <v>165</v>
      </c>
      <c r="D88" s="330" t="s">
        <v>1468</v>
      </c>
      <c r="E88" s="371">
        <v>85612109.090000004</v>
      </c>
      <c r="F88" s="400">
        <v>84644577.950000003</v>
      </c>
      <c r="G88" s="400">
        <f t="shared" si="1"/>
        <v>98.869866482342033</v>
      </c>
    </row>
    <row r="89" spans="1:7">
      <c r="A89" s="329" t="s">
        <v>173</v>
      </c>
      <c r="B89" s="330" t="s">
        <v>879</v>
      </c>
      <c r="C89" s="330" t="s">
        <v>165</v>
      </c>
      <c r="D89" s="330" t="s">
        <v>1364</v>
      </c>
      <c r="E89" s="371">
        <v>85612109.090000004</v>
      </c>
      <c r="F89" s="400">
        <v>84644577.950000003</v>
      </c>
      <c r="G89" s="400">
        <f t="shared" si="1"/>
        <v>98.869866482342033</v>
      </c>
    </row>
    <row r="90" spans="1:7">
      <c r="A90" s="329" t="s">
        <v>187</v>
      </c>
      <c r="B90" s="330" t="s">
        <v>879</v>
      </c>
      <c r="C90" s="330" t="s">
        <v>165</v>
      </c>
      <c r="D90" s="330" t="s">
        <v>484</v>
      </c>
      <c r="E90" s="371">
        <v>85612109.090000004</v>
      </c>
      <c r="F90" s="400">
        <v>84644577.950000003</v>
      </c>
      <c r="G90" s="400">
        <f t="shared" si="1"/>
        <v>98.869866482342033</v>
      </c>
    </row>
    <row r="91" spans="1:7" ht="140.25">
      <c r="A91" s="329" t="s">
        <v>685</v>
      </c>
      <c r="B91" s="330" t="s">
        <v>883</v>
      </c>
      <c r="C91" s="330" t="s">
        <v>1468</v>
      </c>
      <c r="D91" s="330" t="s">
        <v>1468</v>
      </c>
      <c r="E91" s="371">
        <v>5577524</v>
      </c>
      <c r="F91" s="400">
        <v>5416187.5099999998</v>
      </c>
      <c r="G91" s="400">
        <f t="shared" si="1"/>
        <v>97.107381519111343</v>
      </c>
    </row>
    <row r="92" spans="1:7" ht="63.75">
      <c r="A92" s="329" t="s">
        <v>1754</v>
      </c>
      <c r="B92" s="330" t="s">
        <v>883</v>
      </c>
      <c r="C92" s="330" t="s">
        <v>322</v>
      </c>
      <c r="D92" s="330" t="s">
        <v>1468</v>
      </c>
      <c r="E92" s="371">
        <v>3521700</v>
      </c>
      <c r="F92" s="400">
        <v>3378324.43</v>
      </c>
      <c r="G92" s="400">
        <f t="shared" si="1"/>
        <v>95.928796603912886</v>
      </c>
    </row>
    <row r="93" spans="1:7">
      <c r="A93" s="329" t="s">
        <v>1487</v>
      </c>
      <c r="B93" s="330" t="s">
        <v>883</v>
      </c>
      <c r="C93" s="330" t="s">
        <v>165</v>
      </c>
      <c r="D93" s="330" t="s">
        <v>1468</v>
      </c>
      <c r="E93" s="371">
        <v>3521700</v>
      </c>
      <c r="F93" s="400">
        <v>3378324.43</v>
      </c>
      <c r="G93" s="400">
        <f t="shared" si="1"/>
        <v>95.928796603912886</v>
      </c>
    </row>
    <row r="94" spans="1:7">
      <c r="A94" s="329" t="s">
        <v>173</v>
      </c>
      <c r="B94" s="330" t="s">
        <v>883</v>
      </c>
      <c r="C94" s="330" t="s">
        <v>165</v>
      </c>
      <c r="D94" s="330" t="s">
        <v>1364</v>
      </c>
      <c r="E94" s="371">
        <v>3521700</v>
      </c>
      <c r="F94" s="400">
        <v>3378324.43</v>
      </c>
      <c r="G94" s="400">
        <f t="shared" si="1"/>
        <v>95.928796603912886</v>
      </c>
    </row>
    <row r="95" spans="1:7">
      <c r="A95" s="329" t="s">
        <v>1240</v>
      </c>
      <c r="B95" s="330" t="s">
        <v>883</v>
      </c>
      <c r="C95" s="330" t="s">
        <v>165</v>
      </c>
      <c r="D95" s="330" t="s">
        <v>1241</v>
      </c>
      <c r="E95" s="371">
        <v>3521700</v>
      </c>
      <c r="F95" s="400">
        <v>3378324.43</v>
      </c>
      <c r="G95" s="400">
        <f t="shared" si="1"/>
        <v>95.928796603912886</v>
      </c>
    </row>
    <row r="96" spans="1:7" ht="25.5">
      <c r="A96" s="329" t="s">
        <v>1763</v>
      </c>
      <c r="B96" s="330" t="s">
        <v>883</v>
      </c>
      <c r="C96" s="330" t="s">
        <v>1764</v>
      </c>
      <c r="D96" s="330" t="s">
        <v>1468</v>
      </c>
      <c r="E96" s="371">
        <v>2055824</v>
      </c>
      <c r="F96" s="400">
        <v>2037863.08</v>
      </c>
      <c r="G96" s="400">
        <f t="shared" si="1"/>
        <v>99.126339608838109</v>
      </c>
    </row>
    <row r="97" spans="1:7">
      <c r="A97" s="329" t="s">
        <v>1504</v>
      </c>
      <c r="B97" s="330" t="s">
        <v>883</v>
      </c>
      <c r="C97" s="330" t="s">
        <v>1505</v>
      </c>
      <c r="D97" s="330" t="s">
        <v>1468</v>
      </c>
      <c r="E97" s="371">
        <v>2055824</v>
      </c>
      <c r="F97" s="400">
        <v>2037863.08</v>
      </c>
      <c r="G97" s="400">
        <f t="shared" si="1"/>
        <v>99.126339608838109</v>
      </c>
    </row>
    <row r="98" spans="1:7">
      <c r="A98" s="329" t="s">
        <v>173</v>
      </c>
      <c r="B98" s="330" t="s">
        <v>883</v>
      </c>
      <c r="C98" s="330" t="s">
        <v>1505</v>
      </c>
      <c r="D98" s="330" t="s">
        <v>1364</v>
      </c>
      <c r="E98" s="371">
        <v>2055824</v>
      </c>
      <c r="F98" s="400">
        <v>2037863.08</v>
      </c>
      <c r="G98" s="400">
        <f t="shared" si="1"/>
        <v>99.126339608838109</v>
      </c>
    </row>
    <row r="99" spans="1:7">
      <c r="A99" s="329" t="s">
        <v>1240</v>
      </c>
      <c r="B99" s="330" t="s">
        <v>883</v>
      </c>
      <c r="C99" s="330" t="s">
        <v>1505</v>
      </c>
      <c r="D99" s="330" t="s">
        <v>1241</v>
      </c>
      <c r="E99" s="371">
        <v>2055824</v>
      </c>
      <c r="F99" s="400">
        <v>2037863.08</v>
      </c>
      <c r="G99" s="400">
        <f t="shared" si="1"/>
        <v>99.126339608838109</v>
      </c>
    </row>
    <row r="100" spans="1:7" ht="153">
      <c r="A100" s="329" t="s">
        <v>507</v>
      </c>
      <c r="B100" s="330" t="s">
        <v>896</v>
      </c>
      <c r="C100" s="330" t="s">
        <v>1468</v>
      </c>
      <c r="D100" s="330" t="s">
        <v>1468</v>
      </c>
      <c r="E100" s="371">
        <v>1590600</v>
      </c>
      <c r="F100" s="400">
        <v>1118529.8400000001</v>
      </c>
      <c r="G100" s="400">
        <f t="shared" si="1"/>
        <v>70.321252357600912</v>
      </c>
    </row>
    <row r="101" spans="1:7" ht="25.5">
      <c r="A101" s="329" t="s">
        <v>1763</v>
      </c>
      <c r="B101" s="330" t="s">
        <v>896</v>
      </c>
      <c r="C101" s="330" t="s">
        <v>1764</v>
      </c>
      <c r="D101" s="330" t="s">
        <v>1468</v>
      </c>
      <c r="E101" s="371">
        <v>1590600</v>
      </c>
      <c r="F101" s="400">
        <v>1118529.8400000001</v>
      </c>
      <c r="G101" s="400">
        <f t="shared" si="1"/>
        <v>70.321252357600912</v>
      </c>
    </row>
    <row r="102" spans="1:7">
      <c r="A102" s="329" t="s">
        <v>1504</v>
      </c>
      <c r="B102" s="330" t="s">
        <v>896</v>
      </c>
      <c r="C102" s="330" t="s">
        <v>1505</v>
      </c>
      <c r="D102" s="330" t="s">
        <v>1468</v>
      </c>
      <c r="E102" s="371">
        <v>1590600</v>
      </c>
      <c r="F102" s="400">
        <v>1118529.8400000001</v>
      </c>
      <c r="G102" s="400">
        <f t="shared" si="1"/>
        <v>70.321252357600912</v>
      </c>
    </row>
    <row r="103" spans="1:7">
      <c r="A103" s="329" t="s">
        <v>173</v>
      </c>
      <c r="B103" s="330" t="s">
        <v>896</v>
      </c>
      <c r="C103" s="330" t="s">
        <v>1505</v>
      </c>
      <c r="D103" s="330" t="s">
        <v>1364</v>
      </c>
      <c r="E103" s="371">
        <v>1590600</v>
      </c>
      <c r="F103" s="400">
        <v>1118529.8400000001</v>
      </c>
      <c r="G103" s="400">
        <f t="shared" si="1"/>
        <v>70.321252357600912</v>
      </c>
    </row>
    <row r="104" spans="1:7">
      <c r="A104" s="329" t="s">
        <v>1238</v>
      </c>
      <c r="B104" s="330" t="s">
        <v>896</v>
      </c>
      <c r="C104" s="330" t="s">
        <v>1505</v>
      </c>
      <c r="D104" s="330" t="s">
        <v>453</v>
      </c>
      <c r="E104" s="371">
        <v>1590600</v>
      </c>
      <c r="F104" s="400">
        <v>1118529.8400000001</v>
      </c>
      <c r="G104" s="400">
        <f t="shared" si="1"/>
        <v>70.321252357600912</v>
      </c>
    </row>
    <row r="105" spans="1:7" ht="127.5">
      <c r="A105" s="329" t="s">
        <v>2046</v>
      </c>
      <c r="B105" s="330" t="s">
        <v>2047</v>
      </c>
      <c r="C105" s="330" t="s">
        <v>1468</v>
      </c>
      <c r="D105" s="330" t="s">
        <v>1468</v>
      </c>
      <c r="E105" s="371">
        <v>10200</v>
      </c>
      <c r="F105" s="398">
        <v>10200</v>
      </c>
      <c r="G105" s="400">
        <f t="shared" si="1"/>
        <v>100</v>
      </c>
    </row>
    <row r="106" spans="1:7" ht="25.5">
      <c r="A106" s="329" t="s">
        <v>1755</v>
      </c>
      <c r="B106" s="330" t="s">
        <v>2047</v>
      </c>
      <c r="C106" s="330" t="s">
        <v>1756</v>
      </c>
      <c r="D106" s="330" t="s">
        <v>1468</v>
      </c>
      <c r="E106" s="371">
        <v>10200</v>
      </c>
      <c r="F106" s="398">
        <v>10200</v>
      </c>
      <c r="G106" s="400">
        <f t="shared" si="1"/>
        <v>100</v>
      </c>
    </row>
    <row r="107" spans="1:7" ht="25.5">
      <c r="A107" s="329" t="s">
        <v>1502</v>
      </c>
      <c r="B107" s="330" t="s">
        <v>2047</v>
      </c>
      <c r="C107" s="330" t="s">
        <v>1503</v>
      </c>
      <c r="D107" s="330" t="s">
        <v>1468</v>
      </c>
      <c r="E107" s="371">
        <v>10200</v>
      </c>
      <c r="F107" s="398">
        <v>10200</v>
      </c>
      <c r="G107" s="400">
        <f t="shared" si="1"/>
        <v>100</v>
      </c>
    </row>
    <row r="108" spans="1:7">
      <c r="A108" s="329" t="s">
        <v>173</v>
      </c>
      <c r="B108" s="330" t="s">
        <v>2047</v>
      </c>
      <c r="C108" s="330" t="s">
        <v>1503</v>
      </c>
      <c r="D108" s="330" t="s">
        <v>1364</v>
      </c>
      <c r="E108" s="371">
        <v>10200</v>
      </c>
      <c r="F108" s="398">
        <v>10200</v>
      </c>
      <c r="G108" s="400">
        <f t="shared" si="1"/>
        <v>100</v>
      </c>
    </row>
    <row r="109" spans="1:7">
      <c r="A109" s="329" t="s">
        <v>186</v>
      </c>
      <c r="B109" s="330" t="s">
        <v>2047</v>
      </c>
      <c r="C109" s="330" t="s">
        <v>1503</v>
      </c>
      <c r="D109" s="330" t="s">
        <v>497</v>
      </c>
      <c r="E109" s="371">
        <v>10200</v>
      </c>
      <c r="F109" s="398">
        <v>10200</v>
      </c>
      <c r="G109" s="400">
        <f t="shared" si="1"/>
        <v>100</v>
      </c>
    </row>
    <row r="110" spans="1:7" ht="140.25">
      <c r="A110" s="329" t="s">
        <v>624</v>
      </c>
      <c r="B110" s="330" t="s">
        <v>885</v>
      </c>
      <c r="C110" s="330" t="s">
        <v>1468</v>
      </c>
      <c r="D110" s="330" t="s">
        <v>1468</v>
      </c>
      <c r="E110" s="371">
        <v>4537503.38</v>
      </c>
      <c r="F110" s="400">
        <v>2833219.38</v>
      </c>
      <c r="G110" s="400">
        <f t="shared" si="1"/>
        <v>62.440050017108753</v>
      </c>
    </row>
    <row r="111" spans="1:7" ht="63.75">
      <c r="A111" s="329" t="s">
        <v>1754</v>
      </c>
      <c r="B111" s="330" t="s">
        <v>885</v>
      </c>
      <c r="C111" s="330" t="s">
        <v>322</v>
      </c>
      <c r="D111" s="330" t="s">
        <v>1468</v>
      </c>
      <c r="E111" s="371">
        <v>1285113.3</v>
      </c>
      <c r="F111" s="400">
        <v>1015972</v>
      </c>
      <c r="G111" s="400">
        <f t="shared" si="1"/>
        <v>79.056998320692813</v>
      </c>
    </row>
    <row r="112" spans="1:7">
      <c r="A112" s="329" t="s">
        <v>1487</v>
      </c>
      <c r="B112" s="330" t="s">
        <v>885</v>
      </c>
      <c r="C112" s="330" t="s">
        <v>165</v>
      </c>
      <c r="D112" s="330" t="s">
        <v>1468</v>
      </c>
      <c r="E112" s="371">
        <v>1285113.3</v>
      </c>
      <c r="F112" s="400">
        <v>1015972</v>
      </c>
      <c r="G112" s="400">
        <f t="shared" si="1"/>
        <v>79.056998320692813</v>
      </c>
    </row>
    <row r="113" spans="1:7">
      <c r="A113" s="329" t="s">
        <v>173</v>
      </c>
      <c r="B113" s="330" t="s">
        <v>885</v>
      </c>
      <c r="C113" s="330" t="s">
        <v>165</v>
      </c>
      <c r="D113" s="330" t="s">
        <v>1364</v>
      </c>
      <c r="E113" s="371">
        <v>1285113.3</v>
      </c>
      <c r="F113" s="400">
        <v>1015972</v>
      </c>
      <c r="G113" s="400">
        <f t="shared" si="1"/>
        <v>79.056998320692813</v>
      </c>
    </row>
    <row r="114" spans="1:7">
      <c r="A114" s="329" t="s">
        <v>187</v>
      </c>
      <c r="B114" s="330" t="s">
        <v>885</v>
      </c>
      <c r="C114" s="330" t="s">
        <v>165</v>
      </c>
      <c r="D114" s="330" t="s">
        <v>484</v>
      </c>
      <c r="E114" s="371">
        <v>1285113.3</v>
      </c>
      <c r="F114" s="400">
        <v>1015972</v>
      </c>
      <c r="G114" s="400">
        <f t="shared" si="1"/>
        <v>79.056998320692813</v>
      </c>
    </row>
    <row r="115" spans="1:7" ht="25.5">
      <c r="A115" s="329" t="s">
        <v>1755</v>
      </c>
      <c r="B115" s="330" t="s">
        <v>885</v>
      </c>
      <c r="C115" s="330" t="s">
        <v>1756</v>
      </c>
      <c r="D115" s="330" t="s">
        <v>1468</v>
      </c>
      <c r="E115" s="371">
        <v>3252390.08</v>
      </c>
      <c r="F115" s="400">
        <v>1817247.38</v>
      </c>
      <c r="G115" s="400">
        <f t="shared" si="1"/>
        <v>55.874213587565727</v>
      </c>
    </row>
    <row r="116" spans="1:7" ht="25.5">
      <c r="A116" s="329" t="s">
        <v>1502</v>
      </c>
      <c r="B116" s="330" t="s">
        <v>885</v>
      </c>
      <c r="C116" s="330" t="s">
        <v>1503</v>
      </c>
      <c r="D116" s="330" t="s">
        <v>1468</v>
      </c>
      <c r="E116" s="371">
        <v>3252390.08</v>
      </c>
      <c r="F116" s="400">
        <v>1817247.38</v>
      </c>
      <c r="G116" s="400">
        <f t="shared" si="1"/>
        <v>55.874213587565727</v>
      </c>
    </row>
    <row r="117" spans="1:7">
      <c r="A117" s="329" t="s">
        <v>173</v>
      </c>
      <c r="B117" s="330" t="s">
        <v>885</v>
      </c>
      <c r="C117" s="330" t="s">
        <v>1503</v>
      </c>
      <c r="D117" s="330" t="s">
        <v>1364</v>
      </c>
      <c r="E117" s="371">
        <v>3252390.08</v>
      </c>
      <c r="F117" s="400">
        <v>1817247.38</v>
      </c>
      <c r="G117" s="400">
        <f t="shared" si="1"/>
        <v>55.874213587565727</v>
      </c>
    </row>
    <row r="118" spans="1:7">
      <c r="A118" s="329" t="s">
        <v>187</v>
      </c>
      <c r="B118" s="330" t="s">
        <v>885</v>
      </c>
      <c r="C118" s="330" t="s">
        <v>1503</v>
      </c>
      <c r="D118" s="330" t="s">
        <v>484</v>
      </c>
      <c r="E118" s="371">
        <v>3252390.08</v>
      </c>
      <c r="F118" s="400">
        <v>1817247.38</v>
      </c>
      <c r="G118" s="400">
        <f t="shared" si="1"/>
        <v>55.874213587565727</v>
      </c>
    </row>
    <row r="119" spans="1:7" ht="127.5">
      <c r="A119" s="329" t="s">
        <v>2081</v>
      </c>
      <c r="B119" s="330" t="s">
        <v>2082</v>
      </c>
      <c r="C119" s="330" t="s">
        <v>1468</v>
      </c>
      <c r="D119" s="330" t="s">
        <v>1468</v>
      </c>
      <c r="E119" s="371">
        <v>7500</v>
      </c>
      <c r="F119" s="398">
        <v>7500</v>
      </c>
      <c r="G119" s="400">
        <f t="shared" si="1"/>
        <v>100</v>
      </c>
    </row>
    <row r="120" spans="1:7" ht="25.5">
      <c r="A120" s="329" t="s">
        <v>1755</v>
      </c>
      <c r="B120" s="330" t="s">
        <v>2082</v>
      </c>
      <c r="C120" s="330" t="s">
        <v>1756</v>
      </c>
      <c r="D120" s="330" t="s">
        <v>1468</v>
      </c>
      <c r="E120" s="371">
        <v>7500</v>
      </c>
      <c r="F120" s="398">
        <v>7500</v>
      </c>
      <c r="G120" s="400">
        <f t="shared" si="1"/>
        <v>100</v>
      </c>
    </row>
    <row r="121" spans="1:7" ht="25.5">
      <c r="A121" s="329" t="s">
        <v>1502</v>
      </c>
      <c r="B121" s="330" t="s">
        <v>2082</v>
      </c>
      <c r="C121" s="330" t="s">
        <v>1503</v>
      </c>
      <c r="D121" s="330" t="s">
        <v>1468</v>
      </c>
      <c r="E121" s="371">
        <v>7500</v>
      </c>
      <c r="F121" s="398">
        <v>7500</v>
      </c>
      <c r="G121" s="400">
        <f t="shared" si="1"/>
        <v>100</v>
      </c>
    </row>
    <row r="122" spans="1:7">
      <c r="A122" s="329" t="s">
        <v>173</v>
      </c>
      <c r="B122" s="330" t="s">
        <v>2082</v>
      </c>
      <c r="C122" s="330" t="s">
        <v>1503</v>
      </c>
      <c r="D122" s="330" t="s">
        <v>1364</v>
      </c>
      <c r="E122" s="371">
        <v>7500</v>
      </c>
      <c r="F122" s="398">
        <v>7500</v>
      </c>
      <c r="G122" s="400">
        <f t="shared" si="1"/>
        <v>100</v>
      </c>
    </row>
    <row r="123" spans="1:7">
      <c r="A123" s="329" t="s">
        <v>1240</v>
      </c>
      <c r="B123" s="330" t="s">
        <v>2082</v>
      </c>
      <c r="C123" s="330" t="s">
        <v>1503</v>
      </c>
      <c r="D123" s="330" t="s">
        <v>1241</v>
      </c>
      <c r="E123" s="371">
        <v>7500</v>
      </c>
      <c r="F123" s="398">
        <v>7500</v>
      </c>
      <c r="G123" s="400">
        <f t="shared" si="1"/>
        <v>100</v>
      </c>
    </row>
    <row r="124" spans="1:7" ht="114.75">
      <c r="A124" s="329" t="s">
        <v>686</v>
      </c>
      <c r="B124" s="330" t="s">
        <v>884</v>
      </c>
      <c r="C124" s="330" t="s">
        <v>1468</v>
      </c>
      <c r="D124" s="330" t="s">
        <v>1468</v>
      </c>
      <c r="E124" s="371">
        <v>92246.97</v>
      </c>
      <c r="F124" s="400">
        <v>91148.79</v>
      </c>
      <c r="G124" s="400">
        <f t="shared" si="1"/>
        <v>98.809521873726581</v>
      </c>
    </row>
    <row r="125" spans="1:7" ht="63.75">
      <c r="A125" s="329" t="s">
        <v>1754</v>
      </c>
      <c r="B125" s="330" t="s">
        <v>884</v>
      </c>
      <c r="C125" s="330" t="s">
        <v>322</v>
      </c>
      <c r="D125" s="330" t="s">
        <v>1468</v>
      </c>
      <c r="E125" s="371">
        <v>37046.97</v>
      </c>
      <c r="F125" s="400">
        <v>35948.79</v>
      </c>
      <c r="G125" s="400">
        <f t="shared" si="1"/>
        <v>97.03570899320512</v>
      </c>
    </row>
    <row r="126" spans="1:7">
      <c r="A126" s="329" t="s">
        <v>1487</v>
      </c>
      <c r="B126" s="330" t="s">
        <v>884</v>
      </c>
      <c r="C126" s="330" t="s">
        <v>165</v>
      </c>
      <c r="D126" s="330" t="s">
        <v>1468</v>
      </c>
      <c r="E126" s="371">
        <v>37046.97</v>
      </c>
      <c r="F126" s="400">
        <v>35948.79</v>
      </c>
      <c r="G126" s="400">
        <f t="shared" si="1"/>
        <v>97.03570899320512</v>
      </c>
    </row>
    <row r="127" spans="1:7">
      <c r="A127" s="329" t="s">
        <v>173</v>
      </c>
      <c r="B127" s="330" t="s">
        <v>884</v>
      </c>
      <c r="C127" s="330" t="s">
        <v>165</v>
      </c>
      <c r="D127" s="330" t="s">
        <v>1364</v>
      </c>
      <c r="E127" s="371">
        <v>37046.97</v>
      </c>
      <c r="F127" s="400">
        <v>35948.79</v>
      </c>
      <c r="G127" s="400">
        <f t="shared" si="1"/>
        <v>97.03570899320512</v>
      </c>
    </row>
    <row r="128" spans="1:7">
      <c r="A128" s="329" t="s">
        <v>1240</v>
      </c>
      <c r="B128" s="330" t="s">
        <v>884</v>
      </c>
      <c r="C128" s="330" t="s">
        <v>165</v>
      </c>
      <c r="D128" s="330" t="s">
        <v>1241</v>
      </c>
      <c r="E128" s="371">
        <v>37046.97</v>
      </c>
      <c r="F128" s="400">
        <v>35948.79</v>
      </c>
      <c r="G128" s="400">
        <f t="shared" si="1"/>
        <v>97.03570899320512</v>
      </c>
    </row>
    <row r="129" spans="1:7" ht="25.5">
      <c r="A129" s="329" t="s">
        <v>1763</v>
      </c>
      <c r="B129" s="330" t="s">
        <v>884</v>
      </c>
      <c r="C129" s="330" t="s">
        <v>1764</v>
      </c>
      <c r="D129" s="330" t="s">
        <v>1468</v>
      </c>
      <c r="E129" s="371">
        <v>55200</v>
      </c>
      <c r="F129" s="398">
        <v>55200</v>
      </c>
      <c r="G129" s="400">
        <f t="shared" si="1"/>
        <v>100</v>
      </c>
    </row>
    <row r="130" spans="1:7">
      <c r="A130" s="329" t="s">
        <v>1504</v>
      </c>
      <c r="B130" s="330" t="s">
        <v>884</v>
      </c>
      <c r="C130" s="330" t="s">
        <v>1505</v>
      </c>
      <c r="D130" s="330" t="s">
        <v>1468</v>
      </c>
      <c r="E130" s="371">
        <v>55200</v>
      </c>
      <c r="F130" s="398">
        <v>55200</v>
      </c>
      <c r="G130" s="400">
        <f t="shared" si="1"/>
        <v>100</v>
      </c>
    </row>
    <row r="131" spans="1:7">
      <c r="A131" s="329" t="s">
        <v>173</v>
      </c>
      <c r="B131" s="330" t="s">
        <v>884</v>
      </c>
      <c r="C131" s="330" t="s">
        <v>1505</v>
      </c>
      <c r="D131" s="330" t="s">
        <v>1364</v>
      </c>
      <c r="E131" s="371">
        <v>55200</v>
      </c>
      <c r="F131" s="398">
        <v>55200</v>
      </c>
      <c r="G131" s="400">
        <f t="shared" si="1"/>
        <v>100</v>
      </c>
    </row>
    <row r="132" spans="1:7">
      <c r="A132" s="329" t="s">
        <v>1240</v>
      </c>
      <c r="B132" s="330" t="s">
        <v>884</v>
      </c>
      <c r="C132" s="330" t="s">
        <v>1505</v>
      </c>
      <c r="D132" s="330" t="s">
        <v>1241</v>
      </c>
      <c r="E132" s="371">
        <v>55200</v>
      </c>
      <c r="F132" s="398">
        <v>55200</v>
      </c>
      <c r="G132" s="400">
        <f t="shared" si="1"/>
        <v>100</v>
      </c>
    </row>
    <row r="133" spans="1:7" ht="102">
      <c r="A133" s="329" t="s">
        <v>682</v>
      </c>
      <c r="B133" s="330" t="s">
        <v>872</v>
      </c>
      <c r="C133" s="330" t="s">
        <v>1468</v>
      </c>
      <c r="D133" s="330" t="s">
        <v>1468</v>
      </c>
      <c r="E133" s="371">
        <v>767037.69</v>
      </c>
      <c r="F133" s="400">
        <v>763685.87</v>
      </c>
      <c r="G133" s="400">
        <f t="shared" si="1"/>
        <v>99.563017561757633</v>
      </c>
    </row>
    <row r="134" spans="1:7" ht="63.75">
      <c r="A134" s="329" t="s">
        <v>1754</v>
      </c>
      <c r="B134" s="330" t="s">
        <v>872</v>
      </c>
      <c r="C134" s="330" t="s">
        <v>322</v>
      </c>
      <c r="D134" s="330" t="s">
        <v>1468</v>
      </c>
      <c r="E134" s="371">
        <v>767037.69</v>
      </c>
      <c r="F134" s="400">
        <v>763685.87</v>
      </c>
      <c r="G134" s="400">
        <f t="shared" si="1"/>
        <v>99.563017561757633</v>
      </c>
    </row>
    <row r="135" spans="1:7">
      <c r="A135" s="329" t="s">
        <v>1487</v>
      </c>
      <c r="B135" s="330" t="s">
        <v>872</v>
      </c>
      <c r="C135" s="330" t="s">
        <v>165</v>
      </c>
      <c r="D135" s="330" t="s">
        <v>1468</v>
      </c>
      <c r="E135" s="371">
        <v>767037.69</v>
      </c>
      <c r="F135" s="400">
        <v>763685.87</v>
      </c>
      <c r="G135" s="400">
        <f t="shared" si="1"/>
        <v>99.563017561757633</v>
      </c>
    </row>
    <row r="136" spans="1:7">
      <c r="A136" s="329" t="s">
        <v>173</v>
      </c>
      <c r="B136" s="330" t="s">
        <v>872</v>
      </c>
      <c r="C136" s="330" t="s">
        <v>165</v>
      </c>
      <c r="D136" s="330" t="s">
        <v>1364</v>
      </c>
      <c r="E136" s="371">
        <v>767037.69</v>
      </c>
      <c r="F136" s="400">
        <v>763685.87</v>
      </c>
      <c r="G136" s="400">
        <f t="shared" si="1"/>
        <v>99.563017561757633</v>
      </c>
    </row>
    <row r="137" spans="1:7">
      <c r="A137" s="329" t="s">
        <v>186</v>
      </c>
      <c r="B137" s="330" t="s">
        <v>872</v>
      </c>
      <c r="C137" s="330" t="s">
        <v>165</v>
      </c>
      <c r="D137" s="330" t="s">
        <v>497</v>
      </c>
      <c r="E137" s="371">
        <v>767037.69</v>
      </c>
      <c r="F137" s="400">
        <v>763685.87</v>
      </c>
      <c r="G137" s="400">
        <f t="shared" ref="G137:G200" si="2">F137/E137*100</f>
        <v>99.563017561757633</v>
      </c>
    </row>
    <row r="138" spans="1:7" ht="114.75">
      <c r="A138" s="329" t="s">
        <v>687</v>
      </c>
      <c r="B138" s="330" t="s">
        <v>880</v>
      </c>
      <c r="C138" s="330" t="s">
        <v>1468</v>
      </c>
      <c r="D138" s="330" t="s">
        <v>1468</v>
      </c>
      <c r="E138" s="371">
        <v>1133511.97</v>
      </c>
      <c r="F138" s="400">
        <v>1027266.17</v>
      </c>
      <c r="G138" s="400">
        <f t="shared" si="2"/>
        <v>90.626847989968738</v>
      </c>
    </row>
    <row r="139" spans="1:7" ht="63.75">
      <c r="A139" s="329" t="s">
        <v>1754</v>
      </c>
      <c r="B139" s="330" t="s">
        <v>880</v>
      </c>
      <c r="C139" s="330" t="s">
        <v>322</v>
      </c>
      <c r="D139" s="330" t="s">
        <v>1468</v>
      </c>
      <c r="E139" s="371">
        <v>1133511.97</v>
      </c>
      <c r="F139" s="400">
        <v>1027266.17</v>
      </c>
      <c r="G139" s="400">
        <f t="shared" si="2"/>
        <v>90.626847989968738</v>
      </c>
    </row>
    <row r="140" spans="1:7">
      <c r="A140" s="329" t="s">
        <v>1487</v>
      </c>
      <c r="B140" s="330" t="s">
        <v>880</v>
      </c>
      <c r="C140" s="330" t="s">
        <v>165</v>
      </c>
      <c r="D140" s="330" t="s">
        <v>1468</v>
      </c>
      <c r="E140" s="371">
        <v>1133511.97</v>
      </c>
      <c r="F140" s="400">
        <v>1027266.17</v>
      </c>
      <c r="G140" s="400">
        <f t="shared" si="2"/>
        <v>90.626847989968738</v>
      </c>
    </row>
    <row r="141" spans="1:7">
      <c r="A141" s="329" t="s">
        <v>173</v>
      </c>
      <c r="B141" s="330" t="s">
        <v>880</v>
      </c>
      <c r="C141" s="330" t="s">
        <v>165</v>
      </c>
      <c r="D141" s="330" t="s">
        <v>1364</v>
      </c>
      <c r="E141" s="371">
        <v>1133511.97</v>
      </c>
      <c r="F141" s="400">
        <v>1027266.17</v>
      </c>
      <c r="G141" s="400">
        <f t="shared" si="2"/>
        <v>90.626847989968738</v>
      </c>
    </row>
    <row r="142" spans="1:7">
      <c r="A142" s="329" t="s">
        <v>187</v>
      </c>
      <c r="B142" s="330" t="s">
        <v>880</v>
      </c>
      <c r="C142" s="330" t="s">
        <v>165</v>
      </c>
      <c r="D142" s="330" t="s">
        <v>484</v>
      </c>
      <c r="E142" s="371">
        <v>1133511.97</v>
      </c>
      <c r="F142" s="400">
        <v>1027266.17</v>
      </c>
      <c r="G142" s="400">
        <f t="shared" si="2"/>
        <v>90.626847989968738</v>
      </c>
    </row>
    <row r="143" spans="1:7" ht="102">
      <c r="A143" s="329" t="s">
        <v>688</v>
      </c>
      <c r="B143" s="330" t="s">
        <v>887</v>
      </c>
      <c r="C143" s="330" t="s">
        <v>1468</v>
      </c>
      <c r="D143" s="330" t="s">
        <v>1468</v>
      </c>
      <c r="E143" s="371">
        <v>538635.84</v>
      </c>
      <c r="F143" s="398">
        <v>538635.84</v>
      </c>
      <c r="G143" s="400">
        <f t="shared" si="2"/>
        <v>100</v>
      </c>
    </row>
    <row r="144" spans="1:7" ht="63.75">
      <c r="A144" s="329" t="s">
        <v>1754</v>
      </c>
      <c r="B144" s="330" t="s">
        <v>887</v>
      </c>
      <c r="C144" s="330" t="s">
        <v>322</v>
      </c>
      <c r="D144" s="330" t="s">
        <v>1468</v>
      </c>
      <c r="E144" s="371">
        <v>379211.54</v>
      </c>
      <c r="F144" s="398">
        <v>379211.54</v>
      </c>
      <c r="G144" s="400">
        <f t="shared" si="2"/>
        <v>100</v>
      </c>
    </row>
    <row r="145" spans="1:7">
      <c r="A145" s="329" t="s">
        <v>1487</v>
      </c>
      <c r="B145" s="330" t="s">
        <v>887</v>
      </c>
      <c r="C145" s="330" t="s">
        <v>165</v>
      </c>
      <c r="D145" s="330" t="s">
        <v>1468</v>
      </c>
      <c r="E145" s="371">
        <v>379211.54</v>
      </c>
      <c r="F145" s="398">
        <v>379211.54</v>
      </c>
      <c r="G145" s="400">
        <f t="shared" si="2"/>
        <v>100</v>
      </c>
    </row>
    <row r="146" spans="1:7">
      <c r="A146" s="329" t="s">
        <v>173</v>
      </c>
      <c r="B146" s="330" t="s">
        <v>887</v>
      </c>
      <c r="C146" s="330" t="s">
        <v>165</v>
      </c>
      <c r="D146" s="330" t="s">
        <v>1364</v>
      </c>
      <c r="E146" s="371">
        <v>379211.54</v>
      </c>
      <c r="F146" s="398">
        <v>379211.54</v>
      </c>
      <c r="G146" s="400">
        <f t="shared" si="2"/>
        <v>100</v>
      </c>
    </row>
    <row r="147" spans="1:7">
      <c r="A147" s="329" t="s">
        <v>1240</v>
      </c>
      <c r="B147" s="330" t="s">
        <v>887</v>
      </c>
      <c r="C147" s="330" t="s">
        <v>165</v>
      </c>
      <c r="D147" s="330" t="s">
        <v>1241</v>
      </c>
      <c r="E147" s="371">
        <v>379211.54</v>
      </c>
      <c r="F147" s="398">
        <v>379211.54</v>
      </c>
      <c r="G147" s="400">
        <f t="shared" si="2"/>
        <v>100</v>
      </c>
    </row>
    <row r="148" spans="1:7" ht="25.5">
      <c r="A148" s="329" t="s">
        <v>1763</v>
      </c>
      <c r="B148" s="330" t="s">
        <v>887</v>
      </c>
      <c r="C148" s="330" t="s">
        <v>1764</v>
      </c>
      <c r="D148" s="330" t="s">
        <v>1468</v>
      </c>
      <c r="E148" s="371">
        <v>159424.29999999999</v>
      </c>
      <c r="F148" s="398">
        <v>159424.29999999999</v>
      </c>
      <c r="G148" s="400">
        <f t="shared" si="2"/>
        <v>100</v>
      </c>
    </row>
    <row r="149" spans="1:7">
      <c r="A149" s="329" t="s">
        <v>1504</v>
      </c>
      <c r="B149" s="330" t="s">
        <v>887</v>
      </c>
      <c r="C149" s="330" t="s">
        <v>1505</v>
      </c>
      <c r="D149" s="330" t="s">
        <v>1468</v>
      </c>
      <c r="E149" s="371">
        <v>159424.29999999999</v>
      </c>
      <c r="F149" s="398">
        <v>159424.29999999999</v>
      </c>
      <c r="G149" s="400">
        <f t="shared" si="2"/>
        <v>100</v>
      </c>
    </row>
    <row r="150" spans="1:7">
      <c r="A150" s="329" t="s">
        <v>173</v>
      </c>
      <c r="B150" s="330" t="s">
        <v>887</v>
      </c>
      <c r="C150" s="330" t="s">
        <v>1505</v>
      </c>
      <c r="D150" s="330" t="s">
        <v>1364</v>
      </c>
      <c r="E150" s="371">
        <v>159424.29999999999</v>
      </c>
      <c r="F150" s="398">
        <v>159424.29999999999</v>
      </c>
      <c r="G150" s="400">
        <f t="shared" si="2"/>
        <v>100</v>
      </c>
    </row>
    <row r="151" spans="1:7">
      <c r="A151" s="329" t="s">
        <v>1240</v>
      </c>
      <c r="B151" s="330" t="s">
        <v>887</v>
      </c>
      <c r="C151" s="330" t="s">
        <v>1505</v>
      </c>
      <c r="D151" s="330" t="s">
        <v>1241</v>
      </c>
      <c r="E151" s="371">
        <v>159424.29999999999</v>
      </c>
      <c r="F151" s="398">
        <v>159424.29999999999</v>
      </c>
      <c r="G151" s="400">
        <f t="shared" si="2"/>
        <v>100</v>
      </c>
    </row>
    <row r="152" spans="1:7" ht="114.75">
      <c r="A152" s="329" t="s">
        <v>897</v>
      </c>
      <c r="B152" s="330" t="s">
        <v>898</v>
      </c>
      <c r="C152" s="330" t="s">
        <v>1468</v>
      </c>
      <c r="D152" s="330" t="s">
        <v>1468</v>
      </c>
      <c r="E152" s="371">
        <v>68519.47</v>
      </c>
      <c r="F152" s="398">
        <v>68519.47</v>
      </c>
      <c r="G152" s="400">
        <f t="shared" si="2"/>
        <v>100</v>
      </c>
    </row>
    <row r="153" spans="1:7" ht="25.5">
      <c r="A153" s="329" t="s">
        <v>1763</v>
      </c>
      <c r="B153" s="330" t="s">
        <v>898</v>
      </c>
      <c r="C153" s="330" t="s">
        <v>1764</v>
      </c>
      <c r="D153" s="330" t="s">
        <v>1468</v>
      </c>
      <c r="E153" s="371">
        <v>68519.47</v>
      </c>
      <c r="F153" s="398">
        <v>68519.47</v>
      </c>
      <c r="G153" s="400">
        <f t="shared" si="2"/>
        <v>100</v>
      </c>
    </row>
    <row r="154" spans="1:7">
      <c r="A154" s="329" t="s">
        <v>1504</v>
      </c>
      <c r="B154" s="330" t="s">
        <v>898</v>
      </c>
      <c r="C154" s="330" t="s">
        <v>1505</v>
      </c>
      <c r="D154" s="330" t="s">
        <v>1468</v>
      </c>
      <c r="E154" s="371">
        <v>68519.47</v>
      </c>
      <c r="F154" s="398">
        <v>68519.47</v>
      </c>
      <c r="G154" s="400">
        <f t="shared" si="2"/>
        <v>100</v>
      </c>
    </row>
    <row r="155" spans="1:7">
      <c r="A155" s="329" t="s">
        <v>173</v>
      </c>
      <c r="B155" s="330" t="s">
        <v>898</v>
      </c>
      <c r="C155" s="330" t="s">
        <v>1505</v>
      </c>
      <c r="D155" s="330" t="s">
        <v>1364</v>
      </c>
      <c r="E155" s="371">
        <v>68519.47</v>
      </c>
      <c r="F155" s="398">
        <v>68519.47</v>
      </c>
      <c r="G155" s="400">
        <f t="shared" si="2"/>
        <v>100</v>
      </c>
    </row>
    <row r="156" spans="1:7">
      <c r="A156" s="329" t="s">
        <v>1238</v>
      </c>
      <c r="B156" s="330" t="s">
        <v>898</v>
      </c>
      <c r="C156" s="330" t="s">
        <v>1505</v>
      </c>
      <c r="D156" s="330" t="s">
        <v>453</v>
      </c>
      <c r="E156" s="371">
        <v>68519.47</v>
      </c>
      <c r="F156" s="398">
        <v>68519.47</v>
      </c>
      <c r="G156" s="400">
        <f t="shared" si="2"/>
        <v>100</v>
      </c>
    </row>
    <row r="157" spans="1:7" ht="114.75">
      <c r="A157" s="329" t="s">
        <v>683</v>
      </c>
      <c r="B157" s="330" t="s">
        <v>873</v>
      </c>
      <c r="C157" s="330" t="s">
        <v>1468</v>
      </c>
      <c r="D157" s="330" t="s">
        <v>1468</v>
      </c>
      <c r="E157" s="371">
        <v>36585958.149999999</v>
      </c>
      <c r="F157" s="400">
        <v>33803144.140000001</v>
      </c>
      <c r="G157" s="400">
        <f t="shared" si="2"/>
        <v>92.393764846636941</v>
      </c>
    </row>
    <row r="158" spans="1:7" ht="25.5">
      <c r="A158" s="329" t="s">
        <v>1755</v>
      </c>
      <c r="B158" s="330" t="s">
        <v>873</v>
      </c>
      <c r="C158" s="330" t="s">
        <v>1756</v>
      </c>
      <c r="D158" s="330" t="s">
        <v>1468</v>
      </c>
      <c r="E158" s="371">
        <v>36585958.149999999</v>
      </c>
      <c r="F158" s="400">
        <v>33803144.140000001</v>
      </c>
      <c r="G158" s="400">
        <f t="shared" si="2"/>
        <v>92.393764846636941</v>
      </c>
    </row>
    <row r="159" spans="1:7" ht="25.5">
      <c r="A159" s="329" t="s">
        <v>1502</v>
      </c>
      <c r="B159" s="330" t="s">
        <v>873</v>
      </c>
      <c r="C159" s="330" t="s">
        <v>1503</v>
      </c>
      <c r="D159" s="330" t="s">
        <v>1468</v>
      </c>
      <c r="E159" s="371">
        <v>36585958.149999999</v>
      </c>
      <c r="F159" s="400">
        <v>33803144.140000001</v>
      </c>
      <c r="G159" s="400">
        <f t="shared" si="2"/>
        <v>92.393764846636941</v>
      </c>
    </row>
    <row r="160" spans="1:7">
      <c r="A160" s="329" t="s">
        <v>173</v>
      </c>
      <c r="B160" s="330" t="s">
        <v>873</v>
      </c>
      <c r="C160" s="330" t="s">
        <v>1503</v>
      </c>
      <c r="D160" s="330" t="s">
        <v>1364</v>
      </c>
      <c r="E160" s="371">
        <v>36585958.149999999</v>
      </c>
      <c r="F160" s="400">
        <v>33803144.140000001</v>
      </c>
      <c r="G160" s="400">
        <f t="shared" si="2"/>
        <v>92.393764846636941</v>
      </c>
    </row>
    <row r="161" spans="1:7">
      <c r="A161" s="329" t="s">
        <v>186</v>
      </c>
      <c r="B161" s="330" t="s">
        <v>873</v>
      </c>
      <c r="C161" s="330" t="s">
        <v>1503</v>
      </c>
      <c r="D161" s="330" t="s">
        <v>497</v>
      </c>
      <c r="E161" s="371">
        <v>36585958.149999999</v>
      </c>
      <c r="F161" s="400">
        <v>33803144.140000001</v>
      </c>
      <c r="G161" s="400">
        <f t="shared" si="2"/>
        <v>92.393764846636941</v>
      </c>
    </row>
    <row r="162" spans="1:7" ht="127.5">
      <c r="A162" s="329" t="s">
        <v>689</v>
      </c>
      <c r="B162" s="330" t="s">
        <v>881</v>
      </c>
      <c r="C162" s="330" t="s">
        <v>1468</v>
      </c>
      <c r="D162" s="330" t="s">
        <v>1468</v>
      </c>
      <c r="E162" s="371">
        <v>85578852.489999995</v>
      </c>
      <c r="F162" s="400">
        <v>81559533.230000004</v>
      </c>
      <c r="G162" s="400">
        <f t="shared" si="2"/>
        <v>95.303373271487075</v>
      </c>
    </row>
    <row r="163" spans="1:7" ht="25.5">
      <c r="A163" s="329" t="s">
        <v>1755</v>
      </c>
      <c r="B163" s="330" t="s">
        <v>881</v>
      </c>
      <c r="C163" s="330" t="s">
        <v>1756</v>
      </c>
      <c r="D163" s="330" t="s">
        <v>1468</v>
      </c>
      <c r="E163" s="371">
        <v>85578852.489999995</v>
      </c>
      <c r="F163" s="400">
        <v>81559533.230000004</v>
      </c>
      <c r="G163" s="400">
        <f t="shared" si="2"/>
        <v>95.303373271487075</v>
      </c>
    </row>
    <row r="164" spans="1:7" ht="25.5">
      <c r="A164" s="329" t="s">
        <v>1502</v>
      </c>
      <c r="B164" s="330" t="s">
        <v>881</v>
      </c>
      <c r="C164" s="330" t="s">
        <v>1503</v>
      </c>
      <c r="D164" s="330" t="s">
        <v>1468</v>
      </c>
      <c r="E164" s="371">
        <v>85578852.489999995</v>
      </c>
      <c r="F164" s="400">
        <v>81559533.230000004</v>
      </c>
      <c r="G164" s="400">
        <f t="shared" si="2"/>
        <v>95.303373271487075</v>
      </c>
    </row>
    <row r="165" spans="1:7">
      <c r="A165" s="329" t="s">
        <v>173</v>
      </c>
      <c r="B165" s="330" t="s">
        <v>881</v>
      </c>
      <c r="C165" s="330" t="s">
        <v>1503</v>
      </c>
      <c r="D165" s="330" t="s">
        <v>1364</v>
      </c>
      <c r="E165" s="371">
        <v>85578852.489999995</v>
      </c>
      <c r="F165" s="400">
        <v>81559533.230000004</v>
      </c>
      <c r="G165" s="400">
        <f t="shared" si="2"/>
        <v>95.303373271487075</v>
      </c>
    </row>
    <row r="166" spans="1:7">
      <c r="A166" s="329" t="s">
        <v>187</v>
      </c>
      <c r="B166" s="330" t="s">
        <v>881</v>
      </c>
      <c r="C166" s="330" t="s">
        <v>1503</v>
      </c>
      <c r="D166" s="330" t="s">
        <v>484</v>
      </c>
      <c r="E166" s="371">
        <v>85578852.489999995</v>
      </c>
      <c r="F166" s="400">
        <v>81559533.230000004</v>
      </c>
      <c r="G166" s="400">
        <f t="shared" si="2"/>
        <v>95.303373271487075</v>
      </c>
    </row>
    <row r="167" spans="1:7" ht="114.75">
      <c r="A167" s="329" t="s">
        <v>690</v>
      </c>
      <c r="B167" s="330" t="s">
        <v>888</v>
      </c>
      <c r="C167" s="330" t="s">
        <v>1468</v>
      </c>
      <c r="D167" s="330" t="s">
        <v>1468</v>
      </c>
      <c r="E167" s="371">
        <v>2648647.66</v>
      </c>
      <c r="F167" s="400">
        <v>2582948.2000000002</v>
      </c>
      <c r="G167" s="400">
        <f t="shared" si="2"/>
        <v>97.519509257792336</v>
      </c>
    </row>
    <row r="168" spans="1:7" ht="25.5">
      <c r="A168" s="329" t="s">
        <v>1755</v>
      </c>
      <c r="B168" s="330" t="s">
        <v>888</v>
      </c>
      <c r="C168" s="330" t="s">
        <v>1756</v>
      </c>
      <c r="D168" s="330" t="s">
        <v>1468</v>
      </c>
      <c r="E168" s="371">
        <v>1316609</v>
      </c>
      <c r="F168" s="400">
        <v>1250909.54</v>
      </c>
      <c r="G168" s="400">
        <f t="shared" si="2"/>
        <v>95.009949043337855</v>
      </c>
    </row>
    <row r="169" spans="1:7" ht="25.5">
      <c r="A169" s="329" t="s">
        <v>1502</v>
      </c>
      <c r="B169" s="330" t="s">
        <v>888</v>
      </c>
      <c r="C169" s="330" t="s">
        <v>1503</v>
      </c>
      <c r="D169" s="330" t="s">
        <v>1468</v>
      </c>
      <c r="E169" s="371">
        <v>1316609</v>
      </c>
      <c r="F169" s="400">
        <v>1250909.54</v>
      </c>
      <c r="G169" s="400">
        <f t="shared" si="2"/>
        <v>95.009949043337855</v>
      </c>
    </row>
    <row r="170" spans="1:7">
      <c r="A170" s="329" t="s">
        <v>173</v>
      </c>
      <c r="B170" s="330" t="s">
        <v>888</v>
      </c>
      <c r="C170" s="330" t="s">
        <v>1503</v>
      </c>
      <c r="D170" s="330" t="s">
        <v>1364</v>
      </c>
      <c r="E170" s="371">
        <v>1316609</v>
      </c>
      <c r="F170" s="400">
        <v>1250909.54</v>
      </c>
      <c r="G170" s="400">
        <f t="shared" si="2"/>
        <v>95.009949043337855</v>
      </c>
    </row>
    <row r="171" spans="1:7">
      <c r="A171" s="329" t="s">
        <v>1240</v>
      </c>
      <c r="B171" s="330" t="s">
        <v>888</v>
      </c>
      <c r="C171" s="330" t="s">
        <v>1503</v>
      </c>
      <c r="D171" s="330" t="s">
        <v>1241</v>
      </c>
      <c r="E171" s="371">
        <v>1316609</v>
      </c>
      <c r="F171" s="400">
        <v>1250909.54</v>
      </c>
      <c r="G171" s="400">
        <f t="shared" si="2"/>
        <v>95.009949043337855</v>
      </c>
    </row>
    <row r="172" spans="1:7" ht="25.5">
      <c r="A172" s="329" t="s">
        <v>1763</v>
      </c>
      <c r="B172" s="330" t="s">
        <v>888</v>
      </c>
      <c r="C172" s="330" t="s">
        <v>1764</v>
      </c>
      <c r="D172" s="330" t="s">
        <v>1468</v>
      </c>
      <c r="E172" s="371">
        <v>1332038.6599999999</v>
      </c>
      <c r="F172" s="398">
        <v>1332038.6599999999</v>
      </c>
      <c r="G172" s="400">
        <f t="shared" si="2"/>
        <v>100</v>
      </c>
    </row>
    <row r="173" spans="1:7">
      <c r="A173" s="329" t="s">
        <v>1504</v>
      </c>
      <c r="B173" s="330" t="s">
        <v>888</v>
      </c>
      <c r="C173" s="330" t="s">
        <v>1505</v>
      </c>
      <c r="D173" s="330" t="s">
        <v>1468</v>
      </c>
      <c r="E173" s="371">
        <v>1332038.6599999999</v>
      </c>
      <c r="F173" s="398">
        <v>1332038.6599999999</v>
      </c>
      <c r="G173" s="400">
        <f t="shared" si="2"/>
        <v>100</v>
      </c>
    </row>
    <row r="174" spans="1:7">
      <c r="A174" s="329" t="s">
        <v>173</v>
      </c>
      <c r="B174" s="330" t="s">
        <v>888</v>
      </c>
      <c r="C174" s="330" t="s">
        <v>1505</v>
      </c>
      <c r="D174" s="330" t="s">
        <v>1364</v>
      </c>
      <c r="E174" s="371">
        <v>712787.85</v>
      </c>
      <c r="F174" s="398">
        <v>712787.85</v>
      </c>
      <c r="G174" s="400">
        <f t="shared" si="2"/>
        <v>100</v>
      </c>
    </row>
    <row r="175" spans="1:7">
      <c r="A175" s="329" t="s">
        <v>1240</v>
      </c>
      <c r="B175" s="330" t="s">
        <v>888</v>
      </c>
      <c r="C175" s="330" t="s">
        <v>1505</v>
      </c>
      <c r="D175" s="330" t="s">
        <v>1241</v>
      </c>
      <c r="E175" s="371">
        <v>712787.85</v>
      </c>
      <c r="F175" s="398">
        <v>712787.85</v>
      </c>
      <c r="G175" s="400">
        <f t="shared" si="2"/>
        <v>100</v>
      </c>
    </row>
    <row r="176" spans="1:7">
      <c r="A176" s="329" t="s">
        <v>292</v>
      </c>
      <c r="B176" s="330" t="s">
        <v>888</v>
      </c>
      <c r="C176" s="330" t="s">
        <v>1505</v>
      </c>
      <c r="D176" s="330" t="s">
        <v>1366</v>
      </c>
      <c r="E176" s="371">
        <v>619250.81000000006</v>
      </c>
      <c r="F176" s="398">
        <v>619250.81000000006</v>
      </c>
      <c r="G176" s="400">
        <f t="shared" si="2"/>
        <v>100</v>
      </c>
    </row>
    <row r="177" spans="1:7">
      <c r="A177" s="329" t="s">
        <v>1588</v>
      </c>
      <c r="B177" s="330" t="s">
        <v>888</v>
      </c>
      <c r="C177" s="330" t="s">
        <v>1505</v>
      </c>
      <c r="D177" s="330" t="s">
        <v>1589</v>
      </c>
      <c r="E177" s="371">
        <v>619250.81000000006</v>
      </c>
      <c r="F177" s="398">
        <v>619250.81000000006</v>
      </c>
      <c r="G177" s="400">
        <f t="shared" si="2"/>
        <v>100</v>
      </c>
    </row>
    <row r="178" spans="1:7" ht="114.75">
      <c r="A178" s="329" t="s">
        <v>1372</v>
      </c>
      <c r="B178" s="330" t="s">
        <v>1373</v>
      </c>
      <c r="C178" s="330" t="s">
        <v>1468</v>
      </c>
      <c r="D178" s="330" t="s">
        <v>1468</v>
      </c>
      <c r="E178" s="371">
        <v>149888</v>
      </c>
      <c r="F178" s="398">
        <v>149888</v>
      </c>
      <c r="G178" s="400">
        <f t="shared" si="2"/>
        <v>100</v>
      </c>
    </row>
    <row r="179" spans="1:7" ht="25.5">
      <c r="A179" s="329" t="s">
        <v>1763</v>
      </c>
      <c r="B179" s="330" t="s">
        <v>1373</v>
      </c>
      <c r="C179" s="330" t="s">
        <v>1764</v>
      </c>
      <c r="D179" s="330" t="s">
        <v>1468</v>
      </c>
      <c r="E179" s="371">
        <v>149888</v>
      </c>
      <c r="F179" s="398">
        <v>149888</v>
      </c>
      <c r="G179" s="400">
        <f t="shared" si="2"/>
        <v>100</v>
      </c>
    </row>
    <row r="180" spans="1:7">
      <c r="A180" s="329" t="s">
        <v>1504</v>
      </c>
      <c r="B180" s="330" t="s">
        <v>1373</v>
      </c>
      <c r="C180" s="330" t="s">
        <v>1505</v>
      </c>
      <c r="D180" s="330" t="s">
        <v>1468</v>
      </c>
      <c r="E180" s="371">
        <v>149888</v>
      </c>
      <c r="F180" s="398">
        <v>149888</v>
      </c>
      <c r="G180" s="400">
        <f t="shared" si="2"/>
        <v>100</v>
      </c>
    </row>
    <row r="181" spans="1:7">
      <c r="A181" s="329" t="s">
        <v>173</v>
      </c>
      <c r="B181" s="330" t="s">
        <v>1373</v>
      </c>
      <c r="C181" s="330" t="s">
        <v>1505</v>
      </c>
      <c r="D181" s="330" t="s">
        <v>1364</v>
      </c>
      <c r="E181" s="371">
        <v>149888</v>
      </c>
      <c r="F181" s="398">
        <v>149888</v>
      </c>
      <c r="G181" s="400">
        <f t="shared" si="2"/>
        <v>100</v>
      </c>
    </row>
    <row r="182" spans="1:7">
      <c r="A182" s="329" t="s">
        <v>1238</v>
      </c>
      <c r="B182" s="330" t="s">
        <v>1373</v>
      </c>
      <c r="C182" s="330" t="s">
        <v>1505</v>
      </c>
      <c r="D182" s="330" t="s">
        <v>453</v>
      </c>
      <c r="E182" s="371">
        <v>149888</v>
      </c>
      <c r="F182" s="398">
        <v>149888</v>
      </c>
      <c r="G182" s="400">
        <f t="shared" si="2"/>
        <v>100</v>
      </c>
    </row>
    <row r="183" spans="1:7" ht="102">
      <c r="A183" s="329" t="s">
        <v>684</v>
      </c>
      <c r="B183" s="330" t="s">
        <v>874</v>
      </c>
      <c r="C183" s="330" t="s">
        <v>1468</v>
      </c>
      <c r="D183" s="330" t="s">
        <v>1468</v>
      </c>
      <c r="E183" s="371">
        <v>30720000</v>
      </c>
      <c r="F183" s="400">
        <v>30719133.100000001</v>
      </c>
      <c r="G183" s="400">
        <f t="shared" si="2"/>
        <v>99.997178059895845</v>
      </c>
    </row>
    <row r="184" spans="1:7" ht="25.5">
      <c r="A184" s="329" t="s">
        <v>1755</v>
      </c>
      <c r="B184" s="330" t="s">
        <v>874</v>
      </c>
      <c r="C184" s="330" t="s">
        <v>1756</v>
      </c>
      <c r="D184" s="330" t="s">
        <v>1468</v>
      </c>
      <c r="E184" s="371">
        <v>30720000</v>
      </c>
      <c r="F184" s="400">
        <v>30719133.100000001</v>
      </c>
      <c r="G184" s="400">
        <f t="shared" si="2"/>
        <v>99.997178059895845</v>
      </c>
    </row>
    <row r="185" spans="1:7" ht="25.5">
      <c r="A185" s="329" t="s">
        <v>1502</v>
      </c>
      <c r="B185" s="330" t="s">
        <v>874</v>
      </c>
      <c r="C185" s="330" t="s">
        <v>1503</v>
      </c>
      <c r="D185" s="330" t="s">
        <v>1468</v>
      </c>
      <c r="E185" s="371">
        <v>30720000</v>
      </c>
      <c r="F185" s="400">
        <v>30719133.100000001</v>
      </c>
      <c r="G185" s="400">
        <f t="shared" si="2"/>
        <v>99.997178059895845</v>
      </c>
    </row>
    <row r="186" spans="1:7">
      <c r="A186" s="329" t="s">
        <v>173</v>
      </c>
      <c r="B186" s="330" t="s">
        <v>874</v>
      </c>
      <c r="C186" s="330" t="s">
        <v>1503</v>
      </c>
      <c r="D186" s="330" t="s">
        <v>1364</v>
      </c>
      <c r="E186" s="371">
        <v>30720000</v>
      </c>
      <c r="F186" s="400">
        <v>30719133.100000001</v>
      </c>
      <c r="G186" s="400">
        <f t="shared" si="2"/>
        <v>99.997178059895845</v>
      </c>
    </row>
    <row r="187" spans="1:7">
      <c r="A187" s="329" t="s">
        <v>186</v>
      </c>
      <c r="B187" s="330" t="s">
        <v>874</v>
      </c>
      <c r="C187" s="330" t="s">
        <v>1503</v>
      </c>
      <c r="D187" s="330" t="s">
        <v>497</v>
      </c>
      <c r="E187" s="371">
        <v>30720000</v>
      </c>
      <c r="F187" s="400">
        <v>30719133.100000001</v>
      </c>
      <c r="G187" s="400">
        <f t="shared" si="2"/>
        <v>99.997178059895845</v>
      </c>
    </row>
    <row r="188" spans="1:7" ht="114.75">
      <c r="A188" s="329" t="s">
        <v>691</v>
      </c>
      <c r="B188" s="330" t="s">
        <v>886</v>
      </c>
      <c r="C188" s="330" t="s">
        <v>1468</v>
      </c>
      <c r="D188" s="330" t="s">
        <v>1468</v>
      </c>
      <c r="E188" s="371">
        <v>5347843.09</v>
      </c>
      <c r="F188" s="400">
        <v>4741127.09</v>
      </c>
      <c r="G188" s="400">
        <f t="shared" si="2"/>
        <v>88.654940135874483</v>
      </c>
    </row>
    <row r="189" spans="1:7" ht="25.5">
      <c r="A189" s="329" t="s">
        <v>1755</v>
      </c>
      <c r="B189" s="330" t="s">
        <v>886</v>
      </c>
      <c r="C189" s="330" t="s">
        <v>1756</v>
      </c>
      <c r="D189" s="330" t="s">
        <v>1468</v>
      </c>
      <c r="E189" s="371">
        <v>5347843.09</v>
      </c>
      <c r="F189" s="400">
        <v>4741127.09</v>
      </c>
      <c r="G189" s="400">
        <f t="shared" si="2"/>
        <v>88.654940135874483</v>
      </c>
    </row>
    <row r="190" spans="1:7" ht="25.5">
      <c r="A190" s="329" t="s">
        <v>1502</v>
      </c>
      <c r="B190" s="330" t="s">
        <v>886</v>
      </c>
      <c r="C190" s="330" t="s">
        <v>1503</v>
      </c>
      <c r="D190" s="330" t="s">
        <v>1468</v>
      </c>
      <c r="E190" s="371">
        <v>5347843.09</v>
      </c>
      <c r="F190" s="400">
        <v>4741127.09</v>
      </c>
      <c r="G190" s="400">
        <f t="shared" si="2"/>
        <v>88.654940135874483</v>
      </c>
    </row>
    <row r="191" spans="1:7">
      <c r="A191" s="329" t="s">
        <v>173</v>
      </c>
      <c r="B191" s="330" t="s">
        <v>886</v>
      </c>
      <c r="C191" s="330" t="s">
        <v>1503</v>
      </c>
      <c r="D191" s="330" t="s">
        <v>1364</v>
      </c>
      <c r="E191" s="371">
        <v>5347843.09</v>
      </c>
      <c r="F191" s="400">
        <v>4741127.09</v>
      </c>
      <c r="G191" s="400">
        <f t="shared" si="2"/>
        <v>88.654940135874483</v>
      </c>
    </row>
    <row r="192" spans="1:7">
      <c r="A192" s="329" t="s">
        <v>187</v>
      </c>
      <c r="B192" s="330" t="s">
        <v>886</v>
      </c>
      <c r="C192" s="330" t="s">
        <v>1503</v>
      </c>
      <c r="D192" s="330" t="s">
        <v>484</v>
      </c>
      <c r="E192" s="371">
        <v>5347843.09</v>
      </c>
      <c r="F192" s="400">
        <v>4741127.09</v>
      </c>
      <c r="G192" s="400">
        <f t="shared" si="2"/>
        <v>88.654940135874483</v>
      </c>
    </row>
    <row r="193" spans="1:7" ht="76.5">
      <c r="A193" s="329" t="s">
        <v>1860</v>
      </c>
      <c r="B193" s="330" t="s">
        <v>1861</v>
      </c>
      <c r="C193" s="330" t="s">
        <v>1468</v>
      </c>
      <c r="D193" s="330" t="s">
        <v>1468</v>
      </c>
      <c r="E193" s="371">
        <v>1874967.31</v>
      </c>
      <c r="F193" s="400">
        <v>1837107.76</v>
      </c>
      <c r="G193" s="400">
        <f t="shared" si="2"/>
        <v>97.980788795725729</v>
      </c>
    </row>
    <row r="194" spans="1:7" ht="25.5">
      <c r="A194" s="329" t="s">
        <v>1755</v>
      </c>
      <c r="B194" s="330" t="s">
        <v>1861</v>
      </c>
      <c r="C194" s="330" t="s">
        <v>1756</v>
      </c>
      <c r="D194" s="330" t="s">
        <v>1468</v>
      </c>
      <c r="E194" s="371">
        <v>1874967.31</v>
      </c>
      <c r="F194" s="400">
        <v>1837107.76</v>
      </c>
      <c r="G194" s="400">
        <f t="shared" si="2"/>
        <v>97.980788795725729</v>
      </c>
    </row>
    <row r="195" spans="1:7" ht="25.5">
      <c r="A195" s="329" t="s">
        <v>1502</v>
      </c>
      <c r="B195" s="330" t="s">
        <v>1861</v>
      </c>
      <c r="C195" s="330" t="s">
        <v>1503</v>
      </c>
      <c r="D195" s="330" t="s">
        <v>1468</v>
      </c>
      <c r="E195" s="371">
        <v>1874967.31</v>
      </c>
      <c r="F195" s="400">
        <v>1837107.76</v>
      </c>
      <c r="G195" s="400">
        <f t="shared" si="2"/>
        <v>97.980788795725729</v>
      </c>
    </row>
    <row r="196" spans="1:7">
      <c r="A196" s="329" t="s">
        <v>173</v>
      </c>
      <c r="B196" s="330" t="s">
        <v>1861</v>
      </c>
      <c r="C196" s="330" t="s">
        <v>1503</v>
      </c>
      <c r="D196" s="330" t="s">
        <v>1364</v>
      </c>
      <c r="E196" s="371">
        <v>1874967.31</v>
      </c>
      <c r="F196" s="400">
        <v>1837107.76</v>
      </c>
      <c r="G196" s="400">
        <f t="shared" si="2"/>
        <v>97.980788795725729</v>
      </c>
    </row>
    <row r="197" spans="1:7">
      <c r="A197" s="329" t="s">
        <v>186</v>
      </c>
      <c r="B197" s="330" t="s">
        <v>1861</v>
      </c>
      <c r="C197" s="330" t="s">
        <v>1503</v>
      </c>
      <c r="D197" s="330" t="s">
        <v>497</v>
      </c>
      <c r="E197" s="371">
        <v>1252164.28</v>
      </c>
      <c r="F197" s="400">
        <v>1239304.73</v>
      </c>
      <c r="G197" s="400">
        <f t="shared" si="2"/>
        <v>98.973014147951886</v>
      </c>
    </row>
    <row r="198" spans="1:7">
      <c r="A198" s="329" t="s">
        <v>187</v>
      </c>
      <c r="B198" s="330" t="s">
        <v>1861</v>
      </c>
      <c r="C198" s="330" t="s">
        <v>1503</v>
      </c>
      <c r="D198" s="330" t="s">
        <v>484</v>
      </c>
      <c r="E198" s="371">
        <v>578856.03</v>
      </c>
      <c r="F198" s="400">
        <v>553856.03</v>
      </c>
      <c r="G198" s="400">
        <f t="shared" si="2"/>
        <v>95.681136810477724</v>
      </c>
    </row>
    <row r="199" spans="1:7">
      <c r="A199" s="329" t="s">
        <v>1240</v>
      </c>
      <c r="B199" s="330" t="s">
        <v>1861</v>
      </c>
      <c r="C199" s="330" t="s">
        <v>1503</v>
      </c>
      <c r="D199" s="330" t="s">
        <v>1241</v>
      </c>
      <c r="E199" s="371">
        <v>43947</v>
      </c>
      <c r="F199" s="400">
        <v>43947</v>
      </c>
      <c r="G199" s="400">
        <f t="shared" si="2"/>
        <v>100</v>
      </c>
    </row>
    <row r="200" spans="1:7" ht="102">
      <c r="A200" s="329" t="s">
        <v>1095</v>
      </c>
      <c r="B200" s="330" t="s">
        <v>1096</v>
      </c>
      <c r="C200" s="330" t="s">
        <v>1468</v>
      </c>
      <c r="D200" s="330" t="s">
        <v>1468</v>
      </c>
      <c r="E200" s="371">
        <v>9007748.4000000004</v>
      </c>
      <c r="F200" s="400">
        <v>8769911.9499999993</v>
      </c>
      <c r="G200" s="400">
        <f t="shared" si="2"/>
        <v>97.359645946594142</v>
      </c>
    </row>
    <row r="201" spans="1:7" ht="25.5">
      <c r="A201" s="329" t="s">
        <v>1755</v>
      </c>
      <c r="B201" s="330" t="s">
        <v>1096</v>
      </c>
      <c r="C201" s="330" t="s">
        <v>1756</v>
      </c>
      <c r="D201" s="330" t="s">
        <v>1468</v>
      </c>
      <c r="E201" s="371">
        <v>9007748.4000000004</v>
      </c>
      <c r="F201" s="400">
        <v>8769911.9499999993</v>
      </c>
      <c r="G201" s="400">
        <f t="shared" ref="G201:G264" si="3">F201/E201*100</f>
        <v>97.359645946594142</v>
      </c>
    </row>
    <row r="202" spans="1:7" ht="25.5">
      <c r="A202" s="329" t="s">
        <v>1502</v>
      </c>
      <c r="B202" s="330" t="s">
        <v>1096</v>
      </c>
      <c r="C202" s="330" t="s">
        <v>1503</v>
      </c>
      <c r="D202" s="330" t="s">
        <v>1468</v>
      </c>
      <c r="E202" s="371">
        <v>9007748.4000000004</v>
      </c>
      <c r="F202" s="400">
        <v>8769911.9499999993</v>
      </c>
      <c r="G202" s="400">
        <f t="shared" si="3"/>
        <v>97.359645946594142</v>
      </c>
    </row>
    <row r="203" spans="1:7">
      <c r="A203" s="329" t="s">
        <v>173</v>
      </c>
      <c r="B203" s="330" t="s">
        <v>1096</v>
      </c>
      <c r="C203" s="330" t="s">
        <v>1503</v>
      </c>
      <c r="D203" s="330" t="s">
        <v>1364</v>
      </c>
      <c r="E203" s="371">
        <v>9007748.4000000004</v>
      </c>
      <c r="F203" s="400">
        <v>8769911.9499999993</v>
      </c>
      <c r="G203" s="400">
        <f t="shared" si="3"/>
        <v>97.359645946594142</v>
      </c>
    </row>
    <row r="204" spans="1:7">
      <c r="A204" s="329" t="s">
        <v>186</v>
      </c>
      <c r="B204" s="330" t="s">
        <v>1096</v>
      </c>
      <c r="C204" s="330" t="s">
        <v>1503</v>
      </c>
      <c r="D204" s="330" t="s">
        <v>497</v>
      </c>
      <c r="E204" s="371">
        <v>9007748.4000000004</v>
      </c>
      <c r="F204" s="400">
        <v>8769911.9499999993</v>
      </c>
      <c r="G204" s="400">
        <f t="shared" si="3"/>
        <v>97.359645946594142</v>
      </c>
    </row>
    <row r="205" spans="1:7" ht="114.75">
      <c r="A205" s="329" t="s">
        <v>1097</v>
      </c>
      <c r="B205" s="330" t="s">
        <v>1098</v>
      </c>
      <c r="C205" s="330" t="s">
        <v>1468</v>
      </c>
      <c r="D205" s="330" t="s">
        <v>1468</v>
      </c>
      <c r="E205" s="371">
        <v>11203430.460000001</v>
      </c>
      <c r="F205" s="400">
        <v>10520090.630000001</v>
      </c>
      <c r="G205" s="400">
        <f t="shared" si="3"/>
        <v>93.900619703583189</v>
      </c>
    </row>
    <row r="206" spans="1:7" ht="25.5">
      <c r="A206" s="329" t="s">
        <v>1755</v>
      </c>
      <c r="B206" s="330" t="s">
        <v>1098</v>
      </c>
      <c r="C206" s="330" t="s">
        <v>1756</v>
      </c>
      <c r="D206" s="330" t="s">
        <v>1468</v>
      </c>
      <c r="E206" s="371">
        <v>11203430.460000001</v>
      </c>
      <c r="F206" s="400">
        <v>10520090.630000001</v>
      </c>
      <c r="G206" s="400">
        <f t="shared" si="3"/>
        <v>93.900619703583189</v>
      </c>
    </row>
    <row r="207" spans="1:7" ht="25.5">
      <c r="A207" s="329" t="s">
        <v>1502</v>
      </c>
      <c r="B207" s="330" t="s">
        <v>1098</v>
      </c>
      <c r="C207" s="330" t="s">
        <v>1503</v>
      </c>
      <c r="D207" s="330" t="s">
        <v>1468</v>
      </c>
      <c r="E207" s="371">
        <v>11203430.460000001</v>
      </c>
      <c r="F207" s="400">
        <v>10520090.630000001</v>
      </c>
      <c r="G207" s="400">
        <f t="shared" si="3"/>
        <v>93.900619703583189</v>
      </c>
    </row>
    <row r="208" spans="1:7">
      <c r="A208" s="329" t="s">
        <v>173</v>
      </c>
      <c r="B208" s="330" t="s">
        <v>1098</v>
      </c>
      <c r="C208" s="330" t="s">
        <v>1503</v>
      </c>
      <c r="D208" s="330" t="s">
        <v>1364</v>
      </c>
      <c r="E208" s="371">
        <v>11203430.460000001</v>
      </c>
      <c r="F208" s="400">
        <v>10520090.630000001</v>
      </c>
      <c r="G208" s="400">
        <f t="shared" si="3"/>
        <v>93.900619703583189</v>
      </c>
    </row>
    <row r="209" spans="1:7">
      <c r="A209" s="329" t="s">
        <v>187</v>
      </c>
      <c r="B209" s="330" t="s">
        <v>1098</v>
      </c>
      <c r="C209" s="330" t="s">
        <v>1503</v>
      </c>
      <c r="D209" s="330" t="s">
        <v>484</v>
      </c>
      <c r="E209" s="371">
        <v>11203430.460000001</v>
      </c>
      <c r="F209" s="400">
        <v>10520090.630000001</v>
      </c>
      <c r="G209" s="400">
        <f t="shared" si="3"/>
        <v>93.900619703583189</v>
      </c>
    </row>
    <row r="210" spans="1:7" ht="102">
      <c r="A210" s="329" t="s">
        <v>1099</v>
      </c>
      <c r="B210" s="330" t="s">
        <v>1100</v>
      </c>
      <c r="C210" s="330" t="s">
        <v>1468</v>
      </c>
      <c r="D210" s="330" t="s">
        <v>1468</v>
      </c>
      <c r="E210" s="371">
        <v>388407.06</v>
      </c>
      <c r="F210" s="400">
        <v>335402.01</v>
      </c>
      <c r="G210" s="400">
        <f t="shared" si="3"/>
        <v>86.353221797770615</v>
      </c>
    </row>
    <row r="211" spans="1:7" ht="25.5">
      <c r="A211" s="329" t="s">
        <v>1755</v>
      </c>
      <c r="B211" s="330" t="s">
        <v>1100</v>
      </c>
      <c r="C211" s="330" t="s">
        <v>1756</v>
      </c>
      <c r="D211" s="330" t="s">
        <v>1468</v>
      </c>
      <c r="E211" s="371">
        <v>306743</v>
      </c>
      <c r="F211" s="400">
        <v>253737.95</v>
      </c>
      <c r="G211" s="400">
        <f t="shared" si="3"/>
        <v>82.720045771215638</v>
      </c>
    </row>
    <row r="212" spans="1:7" ht="25.5">
      <c r="A212" s="329" t="s">
        <v>1502</v>
      </c>
      <c r="B212" s="330" t="s">
        <v>1100</v>
      </c>
      <c r="C212" s="330" t="s">
        <v>1503</v>
      </c>
      <c r="D212" s="330" t="s">
        <v>1468</v>
      </c>
      <c r="E212" s="371">
        <v>306743</v>
      </c>
      <c r="F212" s="400">
        <v>253737.95</v>
      </c>
      <c r="G212" s="400">
        <f t="shared" si="3"/>
        <v>82.720045771215638</v>
      </c>
    </row>
    <row r="213" spans="1:7">
      <c r="A213" s="329" t="s">
        <v>173</v>
      </c>
      <c r="B213" s="330" t="s">
        <v>1100</v>
      </c>
      <c r="C213" s="330" t="s">
        <v>1503</v>
      </c>
      <c r="D213" s="330" t="s">
        <v>1364</v>
      </c>
      <c r="E213" s="371">
        <v>306743</v>
      </c>
      <c r="F213" s="400">
        <v>253737.95</v>
      </c>
      <c r="G213" s="400">
        <f t="shared" si="3"/>
        <v>82.720045771215638</v>
      </c>
    </row>
    <row r="214" spans="1:7">
      <c r="A214" s="329" t="s">
        <v>1240</v>
      </c>
      <c r="B214" s="330" t="s">
        <v>1100</v>
      </c>
      <c r="C214" s="330" t="s">
        <v>1503</v>
      </c>
      <c r="D214" s="330" t="s">
        <v>1241</v>
      </c>
      <c r="E214" s="371">
        <v>306743</v>
      </c>
      <c r="F214" s="400">
        <v>253737.95</v>
      </c>
      <c r="G214" s="400">
        <f t="shared" si="3"/>
        <v>82.720045771215638</v>
      </c>
    </row>
    <row r="215" spans="1:7" ht="25.5">
      <c r="A215" s="329" t="s">
        <v>1763</v>
      </c>
      <c r="B215" s="330" t="s">
        <v>1100</v>
      </c>
      <c r="C215" s="330" t="s">
        <v>1764</v>
      </c>
      <c r="D215" s="330" t="s">
        <v>1468</v>
      </c>
      <c r="E215" s="371">
        <v>81664.06</v>
      </c>
      <c r="F215" s="400">
        <v>81664.06</v>
      </c>
      <c r="G215" s="400">
        <f t="shared" si="3"/>
        <v>100</v>
      </c>
    </row>
    <row r="216" spans="1:7">
      <c r="A216" s="329" t="s">
        <v>1504</v>
      </c>
      <c r="B216" s="330" t="s">
        <v>1100</v>
      </c>
      <c r="C216" s="330" t="s">
        <v>1505</v>
      </c>
      <c r="D216" s="330" t="s">
        <v>1468</v>
      </c>
      <c r="E216" s="371">
        <v>81664.06</v>
      </c>
      <c r="F216" s="400">
        <v>81664.06</v>
      </c>
      <c r="G216" s="400">
        <f t="shared" si="3"/>
        <v>100</v>
      </c>
    </row>
    <row r="217" spans="1:7">
      <c r="A217" s="329" t="s">
        <v>173</v>
      </c>
      <c r="B217" s="330" t="s">
        <v>1100</v>
      </c>
      <c r="C217" s="330" t="s">
        <v>1505</v>
      </c>
      <c r="D217" s="330" t="s">
        <v>1364</v>
      </c>
      <c r="E217" s="371">
        <v>68137.13</v>
      </c>
      <c r="F217" s="398">
        <v>68137.13</v>
      </c>
      <c r="G217" s="400">
        <f t="shared" si="3"/>
        <v>100</v>
      </c>
    </row>
    <row r="218" spans="1:7">
      <c r="A218" s="329" t="s">
        <v>1240</v>
      </c>
      <c r="B218" s="330" t="s">
        <v>1100</v>
      </c>
      <c r="C218" s="330" t="s">
        <v>1505</v>
      </c>
      <c r="D218" s="330" t="s">
        <v>1241</v>
      </c>
      <c r="E218" s="371">
        <v>68137.13</v>
      </c>
      <c r="F218" s="398">
        <v>68137.13</v>
      </c>
      <c r="G218" s="400">
        <f t="shared" si="3"/>
        <v>100</v>
      </c>
    </row>
    <row r="219" spans="1:7">
      <c r="A219" s="329" t="s">
        <v>292</v>
      </c>
      <c r="B219" s="330" t="s">
        <v>1100</v>
      </c>
      <c r="C219" s="330" t="s">
        <v>1505</v>
      </c>
      <c r="D219" s="330" t="s">
        <v>1366</v>
      </c>
      <c r="E219" s="371">
        <v>13526.93</v>
      </c>
      <c r="F219" s="398">
        <v>13526.93</v>
      </c>
      <c r="G219" s="400">
        <f t="shared" si="3"/>
        <v>100</v>
      </c>
    </row>
    <row r="220" spans="1:7">
      <c r="A220" s="329" t="s">
        <v>1588</v>
      </c>
      <c r="B220" s="330" t="s">
        <v>1100</v>
      </c>
      <c r="C220" s="330" t="s">
        <v>1505</v>
      </c>
      <c r="D220" s="330" t="s">
        <v>1589</v>
      </c>
      <c r="E220" s="371">
        <v>13526.93</v>
      </c>
      <c r="F220" s="398">
        <v>13526.93</v>
      </c>
      <c r="G220" s="400">
        <f t="shared" si="3"/>
        <v>100</v>
      </c>
    </row>
    <row r="221" spans="1:7" ht="102">
      <c r="A221" s="329" t="s">
        <v>1374</v>
      </c>
      <c r="B221" s="330" t="s">
        <v>1375</v>
      </c>
      <c r="C221" s="330" t="s">
        <v>1468</v>
      </c>
      <c r="D221" s="330" t="s">
        <v>1468</v>
      </c>
      <c r="E221" s="371">
        <v>222365</v>
      </c>
      <c r="F221" s="400">
        <v>187777.44</v>
      </c>
      <c r="G221" s="400">
        <f t="shared" si="3"/>
        <v>84.445591707328035</v>
      </c>
    </row>
    <row r="222" spans="1:7" ht="25.5">
      <c r="A222" s="329" t="s">
        <v>1763</v>
      </c>
      <c r="B222" s="330" t="s">
        <v>1375</v>
      </c>
      <c r="C222" s="330" t="s">
        <v>1764</v>
      </c>
      <c r="D222" s="330" t="s">
        <v>1468</v>
      </c>
      <c r="E222" s="371">
        <v>222365</v>
      </c>
      <c r="F222" s="400">
        <v>187777.44</v>
      </c>
      <c r="G222" s="400">
        <f t="shared" si="3"/>
        <v>84.445591707328035</v>
      </c>
    </row>
    <row r="223" spans="1:7">
      <c r="A223" s="329" t="s">
        <v>1504</v>
      </c>
      <c r="B223" s="330" t="s">
        <v>1375</v>
      </c>
      <c r="C223" s="330" t="s">
        <v>1505</v>
      </c>
      <c r="D223" s="330" t="s">
        <v>1468</v>
      </c>
      <c r="E223" s="371">
        <v>222365</v>
      </c>
      <c r="F223" s="400">
        <v>187777.44</v>
      </c>
      <c r="G223" s="400">
        <f t="shared" si="3"/>
        <v>84.445591707328035</v>
      </c>
    </row>
    <row r="224" spans="1:7">
      <c r="A224" s="329" t="s">
        <v>173</v>
      </c>
      <c r="B224" s="330" t="s">
        <v>1375</v>
      </c>
      <c r="C224" s="330" t="s">
        <v>1505</v>
      </c>
      <c r="D224" s="330" t="s">
        <v>1364</v>
      </c>
      <c r="E224" s="371">
        <v>222365</v>
      </c>
      <c r="F224" s="400">
        <v>187777.44</v>
      </c>
      <c r="G224" s="400">
        <f t="shared" si="3"/>
        <v>84.445591707328035</v>
      </c>
    </row>
    <row r="225" spans="1:7">
      <c r="A225" s="329" t="s">
        <v>1238</v>
      </c>
      <c r="B225" s="330" t="s">
        <v>1375</v>
      </c>
      <c r="C225" s="330" t="s">
        <v>1505</v>
      </c>
      <c r="D225" s="330" t="s">
        <v>453</v>
      </c>
      <c r="E225" s="371">
        <v>222365</v>
      </c>
      <c r="F225" s="400">
        <v>187777.44</v>
      </c>
      <c r="G225" s="400">
        <f t="shared" si="3"/>
        <v>84.445591707328035</v>
      </c>
    </row>
    <row r="226" spans="1:7" ht="63.75">
      <c r="A226" s="329" t="s">
        <v>1212</v>
      </c>
      <c r="B226" s="330" t="s">
        <v>1213</v>
      </c>
      <c r="C226" s="330" t="s">
        <v>1468</v>
      </c>
      <c r="D226" s="330" t="s">
        <v>1468</v>
      </c>
      <c r="E226" s="371">
        <v>317600</v>
      </c>
      <c r="F226" s="400">
        <v>149724.39000000001</v>
      </c>
      <c r="G226" s="400">
        <f t="shared" si="3"/>
        <v>47.142440176322417</v>
      </c>
    </row>
    <row r="227" spans="1:7" ht="25.5">
      <c r="A227" s="329" t="s">
        <v>1763</v>
      </c>
      <c r="B227" s="330" t="s">
        <v>1213</v>
      </c>
      <c r="C227" s="330" t="s">
        <v>1764</v>
      </c>
      <c r="D227" s="330" t="s">
        <v>1468</v>
      </c>
      <c r="E227" s="371">
        <v>317600</v>
      </c>
      <c r="F227" s="400">
        <v>149724.39000000001</v>
      </c>
      <c r="G227" s="400">
        <f t="shared" si="3"/>
        <v>47.142440176322417</v>
      </c>
    </row>
    <row r="228" spans="1:7">
      <c r="A228" s="329" t="s">
        <v>1504</v>
      </c>
      <c r="B228" s="330" t="s">
        <v>1213</v>
      </c>
      <c r="C228" s="330" t="s">
        <v>1505</v>
      </c>
      <c r="D228" s="330" t="s">
        <v>1468</v>
      </c>
      <c r="E228" s="371">
        <v>317600</v>
      </c>
      <c r="F228" s="400">
        <v>149724.39000000001</v>
      </c>
      <c r="G228" s="400">
        <f t="shared" si="3"/>
        <v>47.142440176322417</v>
      </c>
    </row>
    <row r="229" spans="1:7">
      <c r="A229" s="329" t="s">
        <v>173</v>
      </c>
      <c r="B229" s="330" t="s">
        <v>1213</v>
      </c>
      <c r="C229" s="330" t="s">
        <v>1505</v>
      </c>
      <c r="D229" s="330" t="s">
        <v>1364</v>
      </c>
      <c r="E229" s="371">
        <v>317600</v>
      </c>
      <c r="F229" s="400">
        <v>149724.39000000001</v>
      </c>
      <c r="G229" s="400">
        <f t="shared" si="3"/>
        <v>47.142440176322417</v>
      </c>
    </row>
    <row r="230" spans="1:7">
      <c r="A230" s="329" t="s">
        <v>1238</v>
      </c>
      <c r="B230" s="330" t="s">
        <v>1213</v>
      </c>
      <c r="C230" s="330" t="s">
        <v>1505</v>
      </c>
      <c r="D230" s="330" t="s">
        <v>453</v>
      </c>
      <c r="E230" s="371">
        <v>317600</v>
      </c>
      <c r="F230" s="400">
        <v>149724.39000000001</v>
      </c>
      <c r="G230" s="400">
        <f t="shared" si="3"/>
        <v>47.142440176322417</v>
      </c>
    </row>
    <row r="231" spans="1:7" ht="204">
      <c r="A231" s="329" t="s">
        <v>868</v>
      </c>
      <c r="B231" s="330" t="s">
        <v>869</v>
      </c>
      <c r="C231" s="330" t="s">
        <v>1468</v>
      </c>
      <c r="D231" s="330" t="s">
        <v>1468</v>
      </c>
      <c r="E231" s="371">
        <v>78666460</v>
      </c>
      <c r="F231" s="400">
        <v>76673911.019999996</v>
      </c>
      <c r="G231" s="400">
        <f t="shared" si="3"/>
        <v>97.467092099987724</v>
      </c>
    </row>
    <row r="232" spans="1:7" ht="63.75">
      <c r="A232" s="329" t="s">
        <v>1754</v>
      </c>
      <c r="B232" s="330" t="s">
        <v>869</v>
      </c>
      <c r="C232" s="330" t="s">
        <v>322</v>
      </c>
      <c r="D232" s="330" t="s">
        <v>1468</v>
      </c>
      <c r="E232" s="371">
        <v>76688238.560000002</v>
      </c>
      <c r="F232" s="400">
        <v>74839550.569999993</v>
      </c>
      <c r="G232" s="400">
        <f t="shared" si="3"/>
        <v>97.589346130888615</v>
      </c>
    </row>
    <row r="233" spans="1:7">
      <c r="A233" s="329" t="s">
        <v>1487</v>
      </c>
      <c r="B233" s="330" t="s">
        <v>869</v>
      </c>
      <c r="C233" s="330" t="s">
        <v>165</v>
      </c>
      <c r="D233" s="330" t="s">
        <v>1468</v>
      </c>
      <c r="E233" s="371">
        <v>76688238.560000002</v>
      </c>
      <c r="F233" s="400">
        <v>74839550.569999993</v>
      </c>
      <c r="G233" s="400">
        <f t="shared" si="3"/>
        <v>97.589346130888615</v>
      </c>
    </row>
    <row r="234" spans="1:7">
      <c r="A234" s="329" t="s">
        <v>173</v>
      </c>
      <c r="B234" s="330" t="s">
        <v>869</v>
      </c>
      <c r="C234" s="330" t="s">
        <v>165</v>
      </c>
      <c r="D234" s="330" t="s">
        <v>1364</v>
      </c>
      <c r="E234" s="371">
        <v>76688238.560000002</v>
      </c>
      <c r="F234" s="400">
        <v>74839550.569999993</v>
      </c>
      <c r="G234" s="400">
        <f t="shared" si="3"/>
        <v>97.589346130888615</v>
      </c>
    </row>
    <row r="235" spans="1:7">
      <c r="A235" s="329" t="s">
        <v>186</v>
      </c>
      <c r="B235" s="330" t="s">
        <v>869</v>
      </c>
      <c r="C235" s="330" t="s">
        <v>165</v>
      </c>
      <c r="D235" s="330" t="s">
        <v>497</v>
      </c>
      <c r="E235" s="371">
        <v>76688238.560000002</v>
      </c>
      <c r="F235" s="400">
        <v>74839550.569999993</v>
      </c>
      <c r="G235" s="400">
        <f t="shared" si="3"/>
        <v>97.589346130888615</v>
      </c>
    </row>
    <row r="236" spans="1:7" ht="25.5">
      <c r="A236" s="329" t="s">
        <v>1755</v>
      </c>
      <c r="B236" s="330" t="s">
        <v>869</v>
      </c>
      <c r="C236" s="330" t="s">
        <v>1756</v>
      </c>
      <c r="D236" s="330" t="s">
        <v>1468</v>
      </c>
      <c r="E236" s="371">
        <v>1978221.44</v>
      </c>
      <c r="F236" s="400">
        <v>1834360.45</v>
      </c>
      <c r="G236" s="400">
        <f t="shared" si="3"/>
        <v>92.727761053888884</v>
      </c>
    </row>
    <row r="237" spans="1:7" ht="25.5">
      <c r="A237" s="329" t="s">
        <v>1502</v>
      </c>
      <c r="B237" s="330" t="s">
        <v>869</v>
      </c>
      <c r="C237" s="330" t="s">
        <v>1503</v>
      </c>
      <c r="D237" s="330" t="s">
        <v>1468</v>
      </c>
      <c r="E237" s="371">
        <v>1978221.44</v>
      </c>
      <c r="F237" s="400">
        <v>1834360.45</v>
      </c>
      <c r="G237" s="400">
        <f t="shared" si="3"/>
        <v>92.727761053888884</v>
      </c>
    </row>
    <row r="238" spans="1:7">
      <c r="A238" s="329" t="s">
        <v>173</v>
      </c>
      <c r="B238" s="330" t="s">
        <v>869</v>
      </c>
      <c r="C238" s="330" t="s">
        <v>1503</v>
      </c>
      <c r="D238" s="330" t="s">
        <v>1364</v>
      </c>
      <c r="E238" s="371">
        <v>1978221.44</v>
      </c>
      <c r="F238" s="400">
        <v>1834360.45</v>
      </c>
      <c r="G238" s="400">
        <f t="shared" si="3"/>
        <v>92.727761053888884</v>
      </c>
    </row>
    <row r="239" spans="1:7">
      <c r="A239" s="329" t="s">
        <v>186</v>
      </c>
      <c r="B239" s="330" t="s">
        <v>869</v>
      </c>
      <c r="C239" s="330" t="s">
        <v>1503</v>
      </c>
      <c r="D239" s="330" t="s">
        <v>497</v>
      </c>
      <c r="E239" s="371">
        <v>1978221.44</v>
      </c>
      <c r="F239" s="400">
        <v>1834360.45</v>
      </c>
      <c r="G239" s="400">
        <f t="shared" si="3"/>
        <v>92.727761053888884</v>
      </c>
    </row>
    <row r="240" spans="1:7" ht="191.25">
      <c r="A240" s="329" t="s">
        <v>1101</v>
      </c>
      <c r="B240" s="330" t="s">
        <v>877</v>
      </c>
      <c r="C240" s="330" t="s">
        <v>1468</v>
      </c>
      <c r="D240" s="330" t="s">
        <v>1468</v>
      </c>
      <c r="E240" s="371">
        <v>78690040</v>
      </c>
      <c r="F240" s="400">
        <v>77511806.879999995</v>
      </c>
      <c r="G240" s="400">
        <f t="shared" si="3"/>
        <v>98.502690912344164</v>
      </c>
    </row>
    <row r="241" spans="1:7" ht="63.75">
      <c r="A241" s="329" t="s">
        <v>1754</v>
      </c>
      <c r="B241" s="330" t="s">
        <v>877</v>
      </c>
      <c r="C241" s="330" t="s">
        <v>322</v>
      </c>
      <c r="D241" s="330" t="s">
        <v>1468</v>
      </c>
      <c r="E241" s="371">
        <v>74772892.689999998</v>
      </c>
      <c r="F241" s="400">
        <v>73827099.400000006</v>
      </c>
      <c r="G241" s="400">
        <f t="shared" si="3"/>
        <v>98.735112076081975</v>
      </c>
    </row>
    <row r="242" spans="1:7">
      <c r="A242" s="329" t="s">
        <v>1487</v>
      </c>
      <c r="B242" s="330" t="s">
        <v>877</v>
      </c>
      <c r="C242" s="330" t="s">
        <v>165</v>
      </c>
      <c r="D242" s="330" t="s">
        <v>1468</v>
      </c>
      <c r="E242" s="371">
        <v>74772892.689999998</v>
      </c>
      <c r="F242" s="400">
        <v>73827099.400000006</v>
      </c>
      <c r="G242" s="400">
        <f t="shared" si="3"/>
        <v>98.735112076081975</v>
      </c>
    </row>
    <row r="243" spans="1:7">
      <c r="A243" s="329" t="s">
        <v>173</v>
      </c>
      <c r="B243" s="330" t="s">
        <v>877</v>
      </c>
      <c r="C243" s="330" t="s">
        <v>165</v>
      </c>
      <c r="D243" s="330" t="s">
        <v>1364</v>
      </c>
      <c r="E243" s="371">
        <v>74772892.689999998</v>
      </c>
      <c r="F243" s="400">
        <v>73827099.400000006</v>
      </c>
      <c r="G243" s="400">
        <f t="shared" si="3"/>
        <v>98.735112076081975</v>
      </c>
    </row>
    <row r="244" spans="1:7">
      <c r="A244" s="329" t="s">
        <v>187</v>
      </c>
      <c r="B244" s="330" t="s">
        <v>877</v>
      </c>
      <c r="C244" s="330" t="s">
        <v>165</v>
      </c>
      <c r="D244" s="330" t="s">
        <v>484</v>
      </c>
      <c r="E244" s="371">
        <v>74772892.689999998</v>
      </c>
      <c r="F244" s="400">
        <v>73827099.400000006</v>
      </c>
      <c r="G244" s="400">
        <f t="shared" si="3"/>
        <v>98.735112076081975</v>
      </c>
    </row>
    <row r="245" spans="1:7" ht="25.5">
      <c r="A245" s="329" t="s">
        <v>1755</v>
      </c>
      <c r="B245" s="330" t="s">
        <v>877</v>
      </c>
      <c r="C245" s="330" t="s">
        <v>1756</v>
      </c>
      <c r="D245" s="330" t="s">
        <v>1468</v>
      </c>
      <c r="E245" s="371">
        <v>3917147.31</v>
      </c>
      <c r="F245" s="400">
        <v>3684707.48</v>
      </c>
      <c r="G245" s="400">
        <f t="shared" si="3"/>
        <v>94.066094236318108</v>
      </c>
    </row>
    <row r="246" spans="1:7" ht="25.5">
      <c r="A246" s="329" t="s">
        <v>1502</v>
      </c>
      <c r="B246" s="330" t="s">
        <v>877</v>
      </c>
      <c r="C246" s="330" t="s">
        <v>1503</v>
      </c>
      <c r="D246" s="330" t="s">
        <v>1468</v>
      </c>
      <c r="E246" s="371">
        <v>3917147.31</v>
      </c>
      <c r="F246" s="400">
        <v>3684707.48</v>
      </c>
      <c r="G246" s="400">
        <f t="shared" si="3"/>
        <v>94.066094236318108</v>
      </c>
    </row>
    <row r="247" spans="1:7">
      <c r="A247" s="329" t="s">
        <v>173</v>
      </c>
      <c r="B247" s="330" t="s">
        <v>877</v>
      </c>
      <c r="C247" s="330" t="s">
        <v>1503</v>
      </c>
      <c r="D247" s="330" t="s">
        <v>1364</v>
      </c>
      <c r="E247" s="371">
        <v>3917147.31</v>
      </c>
      <c r="F247" s="400">
        <v>3684707.48</v>
      </c>
      <c r="G247" s="400">
        <f t="shared" si="3"/>
        <v>94.066094236318108</v>
      </c>
    </row>
    <row r="248" spans="1:7">
      <c r="A248" s="329" t="s">
        <v>187</v>
      </c>
      <c r="B248" s="330" t="s">
        <v>877</v>
      </c>
      <c r="C248" s="330" t="s">
        <v>1503</v>
      </c>
      <c r="D248" s="330" t="s">
        <v>484</v>
      </c>
      <c r="E248" s="371">
        <v>3917147.31</v>
      </c>
      <c r="F248" s="400">
        <v>3684707.48</v>
      </c>
      <c r="G248" s="400">
        <f t="shared" si="3"/>
        <v>94.066094236318108</v>
      </c>
    </row>
    <row r="249" spans="1:7" ht="89.25">
      <c r="A249" s="329" t="s">
        <v>1941</v>
      </c>
      <c r="B249" s="330" t="s">
        <v>1942</v>
      </c>
      <c r="C249" s="330" t="s">
        <v>1468</v>
      </c>
      <c r="D249" s="330" t="s">
        <v>1468</v>
      </c>
      <c r="E249" s="371">
        <v>2708700</v>
      </c>
      <c r="F249" s="400">
        <v>2519091</v>
      </c>
      <c r="G249" s="400">
        <f t="shared" si="3"/>
        <v>93</v>
      </c>
    </row>
    <row r="250" spans="1:7" ht="25.5">
      <c r="A250" s="329" t="s">
        <v>1763</v>
      </c>
      <c r="B250" s="330" t="s">
        <v>1942</v>
      </c>
      <c r="C250" s="330" t="s">
        <v>1764</v>
      </c>
      <c r="D250" s="330" t="s">
        <v>1468</v>
      </c>
      <c r="E250" s="371">
        <v>2708700</v>
      </c>
      <c r="F250" s="400">
        <v>2519091</v>
      </c>
      <c r="G250" s="400">
        <f t="shared" si="3"/>
        <v>93</v>
      </c>
    </row>
    <row r="251" spans="1:7">
      <c r="A251" s="329" t="s">
        <v>1504</v>
      </c>
      <c r="B251" s="330" t="s">
        <v>1942</v>
      </c>
      <c r="C251" s="330" t="s">
        <v>1505</v>
      </c>
      <c r="D251" s="330" t="s">
        <v>1468</v>
      </c>
      <c r="E251" s="371">
        <v>2708700</v>
      </c>
      <c r="F251" s="400">
        <v>2519091</v>
      </c>
      <c r="G251" s="400">
        <f t="shared" si="3"/>
        <v>93</v>
      </c>
    </row>
    <row r="252" spans="1:7">
      <c r="A252" s="329" t="s">
        <v>173</v>
      </c>
      <c r="B252" s="330" t="s">
        <v>1942</v>
      </c>
      <c r="C252" s="330" t="s">
        <v>1505</v>
      </c>
      <c r="D252" s="330" t="s">
        <v>1364</v>
      </c>
      <c r="E252" s="371">
        <v>2708700</v>
      </c>
      <c r="F252" s="400">
        <v>2519091</v>
      </c>
      <c r="G252" s="400">
        <f t="shared" si="3"/>
        <v>93</v>
      </c>
    </row>
    <row r="253" spans="1:7">
      <c r="A253" s="329" t="s">
        <v>1238</v>
      </c>
      <c r="B253" s="330" t="s">
        <v>1942</v>
      </c>
      <c r="C253" s="330" t="s">
        <v>1505</v>
      </c>
      <c r="D253" s="330" t="s">
        <v>453</v>
      </c>
      <c r="E253" s="371">
        <v>2708700</v>
      </c>
      <c r="F253" s="400">
        <v>2519091</v>
      </c>
      <c r="G253" s="400">
        <f t="shared" si="3"/>
        <v>93</v>
      </c>
    </row>
    <row r="254" spans="1:7" ht="153">
      <c r="A254" s="329" t="s">
        <v>628</v>
      </c>
      <c r="B254" s="330" t="s">
        <v>913</v>
      </c>
      <c r="C254" s="330" t="s">
        <v>1468</v>
      </c>
      <c r="D254" s="330" t="s">
        <v>1468</v>
      </c>
      <c r="E254" s="371">
        <v>734200</v>
      </c>
      <c r="F254" s="398">
        <v>734200</v>
      </c>
      <c r="G254" s="400">
        <f t="shared" si="3"/>
        <v>100</v>
      </c>
    </row>
    <row r="255" spans="1:7" ht="25.5">
      <c r="A255" s="329" t="s">
        <v>1755</v>
      </c>
      <c r="B255" s="330" t="s">
        <v>913</v>
      </c>
      <c r="C255" s="330" t="s">
        <v>1756</v>
      </c>
      <c r="D255" s="330" t="s">
        <v>1468</v>
      </c>
      <c r="E255" s="371">
        <v>734200</v>
      </c>
      <c r="F255" s="398">
        <v>734200</v>
      </c>
      <c r="G255" s="400">
        <f t="shared" si="3"/>
        <v>100</v>
      </c>
    </row>
    <row r="256" spans="1:7" ht="25.5">
      <c r="A256" s="329" t="s">
        <v>1502</v>
      </c>
      <c r="B256" s="330" t="s">
        <v>913</v>
      </c>
      <c r="C256" s="330" t="s">
        <v>1503</v>
      </c>
      <c r="D256" s="330" t="s">
        <v>1468</v>
      </c>
      <c r="E256" s="371">
        <v>734200</v>
      </c>
      <c r="F256" s="398">
        <v>734200</v>
      </c>
      <c r="G256" s="400">
        <f t="shared" si="3"/>
        <v>100</v>
      </c>
    </row>
    <row r="257" spans="1:7">
      <c r="A257" s="329" t="s">
        <v>174</v>
      </c>
      <c r="B257" s="330" t="s">
        <v>913</v>
      </c>
      <c r="C257" s="330" t="s">
        <v>1503</v>
      </c>
      <c r="D257" s="330" t="s">
        <v>1365</v>
      </c>
      <c r="E257" s="371">
        <v>734200</v>
      </c>
      <c r="F257" s="398">
        <v>734200</v>
      </c>
      <c r="G257" s="400">
        <f t="shared" si="3"/>
        <v>100</v>
      </c>
    </row>
    <row r="258" spans="1:7">
      <c r="A258" s="329" t="s">
        <v>127</v>
      </c>
      <c r="B258" s="330" t="s">
        <v>913</v>
      </c>
      <c r="C258" s="330" t="s">
        <v>1503</v>
      </c>
      <c r="D258" s="330" t="s">
        <v>466</v>
      </c>
      <c r="E258" s="371">
        <v>734200</v>
      </c>
      <c r="F258" s="398">
        <v>734200</v>
      </c>
      <c r="G258" s="400">
        <f t="shared" si="3"/>
        <v>100</v>
      </c>
    </row>
    <row r="259" spans="1:7" ht="102">
      <c r="A259" s="329" t="s">
        <v>513</v>
      </c>
      <c r="B259" s="330" t="s">
        <v>915</v>
      </c>
      <c r="C259" s="330" t="s">
        <v>1468</v>
      </c>
      <c r="D259" s="330" t="s">
        <v>1468</v>
      </c>
      <c r="E259" s="371">
        <v>2216400</v>
      </c>
      <c r="F259" s="400">
        <v>2177204.4300000002</v>
      </c>
      <c r="G259" s="400">
        <f t="shared" si="3"/>
        <v>98.231566053059026</v>
      </c>
    </row>
    <row r="260" spans="1:7" ht="25.5">
      <c r="A260" s="329" t="s">
        <v>1755</v>
      </c>
      <c r="B260" s="330" t="s">
        <v>915</v>
      </c>
      <c r="C260" s="330" t="s">
        <v>1756</v>
      </c>
      <c r="D260" s="330" t="s">
        <v>1468</v>
      </c>
      <c r="E260" s="371">
        <v>4559.1400000000003</v>
      </c>
      <c r="F260" s="398">
        <v>4559.1400000000003</v>
      </c>
      <c r="G260" s="400">
        <f t="shared" si="3"/>
        <v>100</v>
      </c>
    </row>
    <row r="261" spans="1:7" ht="25.5">
      <c r="A261" s="329" t="s">
        <v>1502</v>
      </c>
      <c r="B261" s="330" t="s">
        <v>915</v>
      </c>
      <c r="C261" s="330" t="s">
        <v>1503</v>
      </c>
      <c r="D261" s="330" t="s">
        <v>1468</v>
      </c>
      <c r="E261" s="371">
        <v>4559.1400000000003</v>
      </c>
      <c r="F261" s="398">
        <v>4559.1400000000003</v>
      </c>
      <c r="G261" s="400">
        <f t="shared" si="3"/>
        <v>100</v>
      </c>
    </row>
    <row r="262" spans="1:7">
      <c r="A262" s="329" t="s">
        <v>174</v>
      </c>
      <c r="B262" s="330" t="s">
        <v>915</v>
      </c>
      <c r="C262" s="330" t="s">
        <v>1503</v>
      </c>
      <c r="D262" s="330" t="s">
        <v>1365</v>
      </c>
      <c r="E262" s="371">
        <v>4559.1400000000003</v>
      </c>
      <c r="F262" s="398">
        <v>4559.1400000000003</v>
      </c>
      <c r="G262" s="400">
        <f t="shared" si="3"/>
        <v>100</v>
      </c>
    </row>
    <row r="263" spans="1:7">
      <c r="A263" s="329" t="s">
        <v>26</v>
      </c>
      <c r="B263" s="330" t="s">
        <v>915</v>
      </c>
      <c r="C263" s="330" t="s">
        <v>1503</v>
      </c>
      <c r="D263" s="330" t="s">
        <v>512</v>
      </c>
      <c r="E263" s="371">
        <v>4559.1400000000003</v>
      </c>
      <c r="F263" s="398">
        <v>4559.1400000000003</v>
      </c>
      <c r="G263" s="400">
        <f t="shared" si="3"/>
        <v>100</v>
      </c>
    </row>
    <row r="264" spans="1:7">
      <c r="A264" s="329" t="s">
        <v>1759</v>
      </c>
      <c r="B264" s="330" t="s">
        <v>915</v>
      </c>
      <c r="C264" s="330" t="s">
        <v>1760</v>
      </c>
      <c r="D264" s="330" t="s">
        <v>1468</v>
      </c>
      <c r="E264" s="371">
        <v>2211840.86</v>
      </c>
      <c r="F264" s="400">
        <v>2172645.29</v>
      </c>
      <c r="G264" s="400">
        <f t="shared" si="3"/>
        <v>98.227920882156056</v>
      </c>
    </row>
    <row r="265" spans="1:7" ht="25.5">
      <c r="A265" s="329" t="s">
        <v>1506</v>
      </c>
      <c r="B265" s="330" t="s">
        <v>915</v>
      </c>
      <c r="C265" s="330" t="s">
        <v>666</v>
      </c>
      <c r="D265" s="330" t="s">
        <v>1468</v>
      </c>
      <c r="E265" s="371">
        <v>2211840.86</v>
      </c>
      <c r="F265" s="400">
        <v>2172645.29</v>
      </c>
      <c r="G265" s="400">
        <f t="shared" ref="G265:G328" si="4">F265/E265*100</f>
        <v>98.227920882156056</v>
      </c>
    </row>
    <row r="266" spans="1:7">
      <c r="A266" s="329" t="s">
        <v>174</v>
      </c>
      <c r="B266" s="330" t="s">
        <v>915</v>
      </c>
      <c r="C266" s="330" t="s">
        <v>666</v>
      </c>
      <c r="D266" s="330" t="s">
        <v>1365</v>
      </c>
      <c r="E266" s="371">
        <v>2211840.86</v>
      </c>
      <c r="F266" s="400">
        <v>2172645.29</v>
      </c>
      <c r="G266" s="400">
        <f t="shared" si="4"/>
        <v>98.227920882156056</v>
      </c>
    </row>
    <row r="267" spans="1:7">
      <c r="A267" s="329" t="s">
        <v>26</v>
      </c>
      <c r="B267" s="330" t="s">
        <v>915</v>
      </c>
      <c r="C267" s="330" t="s">
        <v>666</v>
      </c>
      <c r="D267" s="330" t="s">
        <v>512</v>
      </c>
      <c r="E267" s="371">
        <v>2211840.86</v>
      </c>
      <c r="F267" s="400">
        <v>2172645.29</v>
      </c>
      <c r="G267" s="400">
        <f t="shared" si="4"/>
        <v>98.227920882156056</v>
      </c>
    </row>
    <row r="268" spans="1:7" ht="63.75">
      <c r="A268" s="329" t="s">
        <v>1935</v>
      </c>
      <c r="B268" s="330" t="s">
        <v>1936</v>
      </c>
      <c r="C268" s="330" t="s">
        <v>1468</v>
      </c>
      <c r="D268" s="330" t="s">
        <v>1468</v>
      </c>
      <c r="E268" s="371">
        <v>7476300</v>
      </c>
      <c r="F268" s="400">
        <v>6158802</v>
      </c>
      <c r="G268" s="400">
        <f t="shared" si="4"/>
        <v>82.377673448095976</v>
      </c>
    </row>
    <row r="269" spans="1:7" ht="25.5">
      <c r="A269" s="329" t="s">
        <v>1755</v>
      </c>
      <c r="B269" s="330" t="s">
        <v>1936</v>
      </c>
      <c r="C269" s="330" t="s">
        <v>1756</v>
      </c>
      <c r="D269" s="330" t="s">
        <v>1468</v>
      </c>
      <c r="E269" s="371">
        <v>7476300</v>
      </c>
      <c r="F269" s="400">
        <v>6158802</v>
      </c>
      <c r="G269" s="400">
        <f t="shared" si="4"/>
        <v>82.377673448095976</v>
      </c>
    </row>
    <row r="270" spans="1:7" ht="25.5">
      <c r="A270" s="329" t="s">
        <v>1502</v>
      </c>
      <c r="B270" s="330" t="s">
        <v>1936</v>
      </c>
      <c r="C270" s="330" t="s">
        <v>1503</v>
      </c>
      <c r="D270" s="330" t="s">
        <v>1468</v>
      </c>
      <c r="E270" s="371">
        <v>7476300</v>
      </c>
      <c r="F270" s="400">
        <v>6158802</v>
      </c>
      <c r="G270" s="400">
        <f t="shared" si="4"/>
        <v>82.377673448095976</v>
      </c>
    </row>
    <row r="271" spans="1:7">
      <c r="A271" s="329" t="s">
        <v>173</v>
      </c>
      <c r="B271" s="330" t="s">
        <v>1936</v>
      </c>
      <c r="C271" s="330" t="s">
        <v>1503</v>
      </c>
      <c r="D271" s="330" t="s">
        <v>1364</v>
      </c>
      <c r="E271" s="371">
        <v>7476300</v>
      </c>
      <c r="F271" s="400">
        <v>6158802</v>
      </c>
      <c r="G271" s="400">
        <f t="shared" si="4"/>
        <v>82.377673448095976</v>
      </c>
    </row>
    <row r="272" spans="1:7">
      <c r="A272" s="329" t="s">
        <v>187</v>
      </c>
      <c r="B272" s="330" t="s">
        <v>1936</v>
      </c>
      <c r="C272" s="330" t="s">
        <v>1503</v>
      </c>
      <c r="D272" s="330" t="s">
        <v>484</v>
      </c>
      <c r="E272" s="371">
        <v>7476300</v>
      </c>
      <c r="F272" s="400">
        <v>6158802</v>
      </c>
      <c r="G272" s="400">
        <f t="shared" si="4"/>
        <v>82.377673448095976</v>
      </c>
    </row>
    <row r="273" spans="1:7" ht="153">
      <c r="A273" s="329" t="s">
        <v>501</v>
      </c>
      <c r="B273" s="330" t="s">
        <v>875</v>
      </c>
      <c r="C273" s="330" t="s">
        <v>1468</v>
      </c>
      <c r="D273" s="330" t="s">
        <v>1468</v>
      </c>
      <c r="E273" s="371">
        <v>364203200</v>
      </c>
      <c r="F273" s="400">
        <v>361380750.82999998</v>
      </c>
      <c r="G273" s="400">
        <f t="shared" si="4"/>
        <v>99.225034494479999</v>
      </c>
    </row>
    <row r="274" spans="1:7" ht="63.75">
      <c r="A274" s="329" t="s">
        <v>1754</v>
      </c>
      <c r="B274" s="330" t="s">
        <v>875</v>
      </c>
      <c r="C274" s="330" t="s">
        <v>322</v>
      </c>
      <c r="D274" s="330" t="s">
        <v>1468</v>
      </c>
      <c r="E274" s="371">
        <v>340901788.33999997</v>
      </c>
      <c r="F274" s="400">
        <v>338246241.61000001</v>
      </c>
      <c r="G274" s="400">
        <f t="shared" si="4"/>
        <v>99.221022939500841</v>
      </c>
    </row>
    <row r="275" spans="1:7">
      <c r="A275" s="329" t="s">
        <v>1487</v>
      </c>
      <c r="B275" s="330" t="s">
        <v>875</v>
      </c>
      <c r="C275" s="330" t="s">
        <v>165</v>
      </c>
      <c r="D275" s="330" t="s">
        <v>1468</v>
      </c>
      <c r="E275" s="371">
        <v>340901788.33999997</v>
      </c>
      <c r="F275" s="400">
        <v>338246241.61000001</v>
      </c>
      <c r="G275" s="400">
        <f t="shared" si="4"/>
        <v>99.221022939500841</v>
      </c>
    </row>
    <row r="276" spans="1:7">
      <c r="A276" s="329" t="s">
        <v>173</v>
      </c>
      <c r="B276" s="330" t="s">
        <v>875</v>
      </c>
      <c r="C276" s="330" t="s">
        <v>165</v>
      </c>
      <c r="D276" s="330" t="s">
        <v>1364</v>
      </c>
      <c r="E276" s="371">
        <v>340901788.33999997</v>
      </c>
      <c r="F276" s="400">
        <v>338246241.61000001</v>
      </c>
      <c r="G276" s="400">
        <f t="shared" si="4"/>
        <v>99.221022939500841</v>
      </c>
    </row>
    <row r="277" spans="1:7">
      <c r="A277" s="329" t="s">
        <v>187</v>
      </c>
      <c r="B277" s="330" t="s">
        <v>875</v>
      </c>
      <c r="C277" s="330" t="s">
        <v>165</v>
      </c>
      <c r="D277" s="330" t="s">
        <v>484</v>
      </c>
      <c r="E277" s="371">
        <v>340165794.48000002</v>
      </c>
      <c r="F277" s="400">
        <v>337514156.24000001</v>
      </c>
      <c r="G277" s="400">
        <f t="shared" si="4"/>
        <v>99.220486514802744</v>
      </c>
    </row>
    <row r="278" spans="1:7">
      <c r="A278" s="329" t="s">
        <v>1240</v>
      </c>
      <c r="B278" s="330" t="s">
        <v>875</v>
      </c>
      <c r="C278" s="330" t="s">
        <v>165</v>
      </c>
      <c r="D278" s="330" t="s">
        <v>1241</v>
      </c>
      <c r="E278" s="371">
        <v>735993.86</v>
      </c>
      <c r="F278" s="400">
        <v>732085.37</v>
      </c>
      <c r="G278" s="400">
        <f t="shared" si="4"/>
        <v>99.468950732822691</v>
      </c>
    </row>
    <row r="279" spans="1:7" ht="25.5">
      <c r="A279" s="329" t="s">
        <v>1755</v>
      </c>
      <c r="B279" s="330" t="s">
        <v>875</v>
      </c>
      <c r="C279" s="330" t="s">
        <v>1756</v>
      </c>
      <c r="D279" s="330" t="s">
        <v>1468</v>
      </c>
      <c r="E279" s="371">
        <v>23163561.66</v>
      </c>
      <c r="F279" s="400">
        <v>22996659.219999999</v>
      </c>
      <c r="G279" s="400">
        <f t="shared" si="4"/>
        <v>99.2794612398135</v>
      </c>
    </row>
    <row r="280" spans="1:7" ht="25.5">
      <c r="A280" s="329" t="s">
        <v>1502</v>
      </c>
      <c r="B280" s="330" t="s">
        <v>875</v>
      </c>
      <c r="C280" s="330" t="s">
        <v>1503</v>
      </c>
      <c r="D280" s="330" t="s">
        <v>1468</v>
      </c>
      <c r="E280" s="371">
        <v>23163561.66</v>
      </c>
      <c r="F280" s="400">
        <v>22996659.219999999</v>
      </c>
      <c r="G280" s="400">
        <f t="shared" si="4"/>
        <v>99.2794612398135</v>
      </c>
    </row>
    <row r="281" spans="1:7">
      <c r="A281" s="329" t="s">
        <v>173</v>
      </c>
      <c r="B281" s="330" t="s">
        <v>875</v>
      </c>
      <c r="C281" s="330" t="s">
        <v>1503</v>
      </c>
      <c r="D281" s="330" t="s">
        <v>1364</v>
      </c>
      <c r="E281" s="371">
        <v>23163561.66</v>
      </c>
      <c r="F281" s="400">
        <v>22996659.219999999</v>
      </c>
      <c r="G281" s="400">
        <f t="shared" si="4"/>
        <v>99.2794612398135</v>
      </c>
    </row>
    <row r="282" spans="1:7">
      <c r="A282" s="329" t="s">
        <v>187</v>
      </c>
      <c r="B282" s="330" t="s">
        <v>875</v>
      </c>
      <c r="C282" s="330" t="s">
        <v>1503</v>
      </c>
      <c r="D282" s="330" t="s">
        <v>484</v>
      </c>
      <c r="E282" s="371">
        <v>21472355.52</v>
      </c>
      <c r="F282" s="400">
        <v>21305453.079999998</v>
      </c>
      <c r="G282" s="400">
        <f t="shared" si="4"/>
        <v>99.222710150059953</v>
      </c>
    </row>
    <row r="283" spans="1:7">
      <c r="A283" s="329" t="s">
        <v>1240</v>
      </c>
      <c r="B283" s="330" t="s">
        <v>875</v>
      </c>
      <c r="C283" s="330" t="s">
        <v>1503</v>
      </c>
      <c r="D283" s="330" t="s">
        <v>1241</v>
      </c>
      <c r="E283" s="371">
        <v>1691206.14</v>
      </c>
      <c r="F283" s="398">
        <v>1691206.14</v>
      </c>
      <c r="G283" s="400">
        <f t="shared" si="4"/>
        <v>100</v>
      </c>
    </row>
    <row r="284" spans="1:7">
      <c r="A284" s="329" t="s">
        <v>1757</v>
      </c>
      <c r="B284" s="330" t="s">
        <v>875</v>
      </c>
      <c r="C284" s="330" t="s">
        <v>1758</v>
      </c>
      <c r="D284" s="330" t="s">
        <v>1468</v>
      </c>
      <c r="E284" s="371">
        <v>137850</v>
      </c>
      <c r="F284" s="398">
        <v>137850</v>
      </c>
      <c r="G284" s="400">
        <f t="shared" si="4"/>
        <v>100</v>
      </c>
    </row>
    <row r="285" spans="1:7">
      <c r="A285" s="329" t="s">
        <v>1507</v>
      </c>
      <c r="B285" s="330" t="s">
        <v>875</v>
      </c>
      <c r="C285" s="330" t="s">
        <v>1508</v>
      </c>
      <c r="D285" s="330" t="s">
        <v>1468</v>
      </c>
      <c r="E285" s="371">
        <v>137850</v>
      </c>
      <c r="F285" s="398">
        <v>137850</v>
      </c>
      <c r="G285" s="400">
        <f t="shared" si="4"/>
        <v>100</v>
      </c>
    </row>
    <row r="286" spans="1:7">
      <c r="A286" s="329" t="s">
        <v>173</v>
      </c>
      <c r="B286" s="330" t="s">
        <v>875</v>
      </c>
      <c r="C286" s="330" t="s">
        <v>1508</v>
      </c>
      <c r="D286" s="330" t="s">
        <v>1364</v>
      </c>
      <c r="E286" s="371">
        <v>137850</v>
      </c>
      <c r="F286" s="398">
        <v>137850</v>
      </c>
      <c r="G286" s="400">
        <f t="shared" si="4"/>
        <v>100</v>
      </c>
    </row>
    <row r="287" spans="1:7">
      <c r="A287" s="329" t="s">
        <v>187</v>
      </c>
      <c r="B287" s="330" t="s">
        <v>875</v>
      </c>
      <c r="C287" s="330" t="s">
        <v>1508</v>
      </c>
      <c r="D287" s="330" t="s">
        <v>484</v>
      </c>
      <c r="E287" s="371">
        <v>137850</v>
      </c>
      <c r="F287" s="398">
        <v>137850</v>
      </c>
      <c r="G287" s="400">
        <f t="shared" si="4"/>
        <v>100</v>
      </c>
    </row>
    <row r="288" spans="1:7" ht="114.75">
      <c r="A288" s="329" t="s">
        <v>511</v>
      </c>
      <c r="B288" s="330" t="s">
        <v>914</v>
      </c>
      <c r="C288" s="330" t="s">
        <v>1468</v>
      </c>
      <c r="D288" s="330" t="s">
        <v>1468</v>
      </c>
      <c r="E288" s="371">
        <v>29600000</v>
      </c>
      <c r="F288" s="400">
        <v>29372835.73</v>
      </c>
      <c r="G288" s="400">
        <f t="shared" si="4"/>
        <v>99.232553141891884</v>
      </c>
    </row>
    <row r="289" spans="1:7" ht="25.5">
      <c r="A289" s="329" t="s">
        <v>1755</v>
      </c>
      <c r="B289" s="330" t="s">
        <v>914</v>
      </c>
      <c r="C289" s="330" t="s">
        <v>1756</v>
      </c>
      <c r="D289" s="330" t="s">
        <v>1468</v>
      </c>
      <c r="E289" s="371">
        <v>28807000</v>
      </c>
      <c r="F289" s="400">
        <v>28796995.73</v>
      </c>
      <c r="G289" s="400">
        <f t="shared" si="4"/>
        <v>99.965271392369914</v>
      </c>
    </row>
    <row r="290" spans="1:7" ht="25.5">
      <c r="A290" s="329" t="s">
        <v>1502</v>
      </c>
      <c r="B290" s="330" t="s">
        <v>914</v>
      </c>
      <c r="C290" s="330" t="s">
        <v>1503</v>
      </c>
      <c r="D290" s="330" t="s">
        <v>1468</v>
      </c>
      <c r="E290" s="371">
        <v>28807000</v>
      </c>
      <c r="F290" s="400">
        <v>28796995.73</v>
      </c>
      <c r="G290" s="400">
        <f t="shared" si="4"/>
        <v>99.965271392369914</v>
      </c>
    </row>
    <row r="291" spans="1:7">
      <c r="A291" s="329" t="s">
        <v>174</v>
      </c>
      <c r="B291" s="330" t="s">
        <v>914</v>
      </c>
      <c r="C291" s="330" t="s">
        <v>1503</v>
      </c>
      <c r="D291" s="330" t="s">
        <v>1365</v>
      </c>
      <c r="E291" s="371">
        <v>28807000</v>
      </c>
      <c r="F291" s="400"/>
      <c r="G291" s="400">
        <f t="shared" si="4"/>
        <v>0</v>
      </c>
    </row>
    <row r="292" spans="1:7">
      <c r="A292" s="329" t="s">
        <v>127</v>
      </c>
      <c r="B292" s="330" t="s">
        <v>914</v>
      </c>
      <c r="C292" s="330" t="s">
        <v>1503</v>
      </c>
      <c r="D292" s="330" t="s">
        <v>466</v>
      </c>
      <c r="E292" s="371">
        <v>28807000</v>
      </c>
      <c r="F292" s="400">
        <v>28796995.73</v>
      </c>
      <c r="G292" s="400">
        <f t="shared" si="4"/>
        <v>99.965271392369914</v>
      </c>
    </row>
    <row r="293" spans="1:7">
      <c r="A293" s="329" t="s">
        <v>1759</v>
      </c>
      <c r="B293" s="330" t="s">
        <v>914</v>
      </c>
      <c r="C293" s="330" t="s">
        <v>1760</v>
      </c>
      <c r="D293" s="330" t="s">
        <v>1468</v>
      </c>
      <c r="E293" s="371">
        <v>793000</v>
      </c>
      <c r="F293" s="400">
        <v>575840</v>
      </c>
      <c r="G293" s="400">
        <f t="shared" si="4"/>
        <v>72.615384615384613</v>
      </c>
    </row>
    <row r="294" spans="1:7" ht="25.5">
      <c r="A294" s="329" t="s">
        <v>1506</v>
      </c>
      <c r="B294" s="330" t="s">
        <v>914</v>
      </c>
      <c r="C294" s="330" t="s">
        <v>666</v>
      </c>
      <c r="D294" s="330" t="s">
        <v>1468</v>
      </c>
      <c r="E294" s="371">
        <v>793000</v>
      </c>
      <c r="F294" s="400">
        <v>575840</v>
      </c>
      <c r="G294" s="400">
        <f t="shared" si="4"/>
        <v>72.615384615384613</v>
      </c>
    </row>
    <row r="295" spans="1:7">
      <c r="A295" s="329" t="s">
        <v>174</v>
      </c>
      <c r="B295" s="330" t="s">
        <v>914</v>
      </c>
      <c r="C295" s="330" t="s">
        <v>666</v>
      </c>
      <c r="D295" s="330" t="s">
        <v>1365</v>
      </c>
      <c r="E295" s="371">
        <v>793000</v>
      </c>
      <c r="F295" s="400">
        <v>575840</v>
      </c>
      <c r="G295" s="400">
        <f t="shared" si="4"/>
        <v>72.615384615384613</v>
      </c>
    </row>
    <row r="296" spans="1:7">
      <c r="A296" s="329" t="s">
        <v>127</v>
      </c>
      <c r="B296" s="330" t="s">
        <v>914</v>
      </c>
      <c r="C296" s="330" t="s">
        <v>666</v>
      </c>
      <c r="D296" s="330" t="s">
        <v>466</v>
      </c>
      <c r="E296" s="371">
        <v>793000</v>
      </c>
      <c r="F296" s="400">
        <v>575840</v>
      </c>
      <c r="G296" s="400">
        <f t="shared" si="4"/>
        <v>72.615384615384613</v>
      </c>
    </row>
    <row r="297" spans="1:7" ht="153">
      <c r="A297" s="329" t="s">
        <v>498</v>
      </c>
      <c r="B297" s="330" t="s">
        <v>867</v>
      </c>
      <c r="C297" s="330" t="s">
        <v>1468</v>
      </c>
      <c r="D297" s="330" t="s">
        <v>1468</v>
      </c>
      <c r="E297" s="371">
        <v>146753100</v>
      </c>
      <c r="F297" s="400">
        <v>145545268.13999999</v>
      </c>
      <c r="G297" s="400">
        <f t="shared" si="4"/>
        <v>99.176963307759763</v>
      </c>
    </row>
    <row r="298" spans="1:7" ht="63.75">
      <c r="A298" s="329" t="s">
        <v>1754</v>
      </c>
      <c r="B298" s="330" t="s">
        <v>867</v>
      </c>
      <c r="C298" s="330" t="s">
        <v>322</v>
      </c>
      <c r="D298" s="330" t="s">
        <v>1468</v>
      </c>
      <c r="E298" s="371">
        <v>132570247.95</v>
      </c>
      <c r="F298" s="400">
        <v>131707960.88</v>
      </c>
      <c r="G298" s="400">
        <f t="shared" si="4"/>
        <v>99.349562150381416</v>
      </c>
    </row>
    <row r="299" spans="1:7">
      <c r="A299" s="329" t="s">
        <v>1487</v>
      </c>
      <c r="B299" s="330" t="s">
        <v>867</v>
      </c>
      <c r="C299" s="330" t="s">
        <v>165</v>
      </c>
      <c r="D299" s="330" t="s">
        <v>1468</v>
      </c>
      <c r="E299" s="371">
        <v>132570247.95</v>
      </c>
      <c r="F299" s="400">
        <v>131707960.88</v>
      </c>
      <c r="G299" s="400">
        <f t="shared" si="4"/>
        <v>99.349562150381416</v>
      </c>
    </row>
    <row r="300" spans="1:7">
      <c r="A300" s="329" t="s">
        <v>173</v>
      </c>
      <c r="B300" s="330" t="s">
        <v>867</v>
      </c>
      <c r="C300" s="330" t="s">
        <v>165</v>
      </c>
      <c r="D300" s="330" t="s">
        <v>1364</v>
      </c>
      <c r="E300" s="371">
        <v>132570247.95</v>
      </c>
      <c r="F300" s="400">
        <v>131707960.88</v>
      </c>
      <c r="G300" s="400">
        <f t="shared" si="4"/>
        <v>99.349562150381416</v>
      </c>
    </row>
    <row r="301" spans="1:7">
      <c r="A301" s="329" t="s">
        <v>186</v>
      </c>
      <c r="B301" s="330" t="s">
        <v>867</v>
      </c>
      <c r="C301" s="330" t="s">
        <v>165</v>
      </c>
      <c r="D301" s="330" t="s">
        <v>497</v>
      </c>
      <c r="E301" s="371">
        <v>132570247.95</v>
      </c>
      <c r="F301" s="400">
        <v>131707960.88</v>
      </c>
      <c r="G301" s="400">
        <f t="shared" si="4"/>
        <v>99.349562150381416</v>
      </c>
    </row>
    <row r="302" spans="1:7" ht="25.5">
      <c r="A302" s="329" t="s">
        <v>1755</v>
      </c>
      <c r="B302" s="330" t="s">
        <v>867</v>
      </c>
      <c r="C302" s="330" t="s">
        <v>1756</v>
      </c>
      <c r="D302" s="330" t="s">
        <v>1468</v>
      </c>
      <c r="E302" s="371">
        <v>14159852.050000001</v>
      </c>
      <c r="F302" s="400">
        <v>13814307.26</v>
      </c>
      <c r="G302" s="400">
        <f t="shared" si="4"/>
        <v>97.559686437542965</v>
      </c>
    </row>
    <row r="303" spans="1:7" ht="25.5">
      <c r="A303" s="329" t="s">
        <v>1502</v>
      </c>
      <c r="B303" s="330" t="s">
        <v>867</v>
      </c>
      <c r="C303" s="330" t="s">
        <v>1503</v>
      </c>
      <c r="D303" s="330" t="s">
        <v>1468</v>
      </c>
      <c r="E303" s="371">
        <v>14159852.050000001</v>
      </c>
      <c r="F303" s="400">
        <v>13814307.26</v>
      </c>
      <c r="G303" s="400">
        <f t="shared" si="4"/>
        <v>97.559686437542965</v>
      </c>
    </row>
    <row r="304" spans="1:7">
      <c r="A304" s="329" t="s">
        <v>173</v>
      </c>
      <c r="B304" s="330" t="s">
        <v>867</v>
      </c>
      <c r="C304" s="330" t="s">
        <v>1503</v>
      </c>
      <c r="D304" s="330" t="s">
        <v>1364</v>
      </c>
      <c r="E304" s="371">
        <v>14159852.050000001</v>
      </c>
      <c r="F304" s="400">
        <v>13814307.26</v>
      </c>
      <c r="G304" s="400">
        <f t="shared" si="4"/>
        <v>97.559686437542965</v>
      </c>
    </row>
    <row r="305" spans="1:7">
      <c r="A305" s="329" t="s">
        <v>186</v>
      </c>
      <c r="B305" s="330" t="s">
        <v>867</v>
      </c>
      <c r="C305" s="330" t="s">
        <v>1503</v>
      </c>
      <c r="D305" s="330" t="s">
        <v>497</v>
      </c>
      <c r="E305" s="371">
        <v>14159852.050000001</v>
      </c>
      <c r="F305" s="400">
        <v>13814307.26</v>
      </c>
      <c r="G305" s="400">
        <f t="shared" si="4"/>
        <v>97.559686437542965</v>
      </c>
    </row>
    <row r="306" spans="1:7">
      <c r="A306" s="329" t="s">
        <v>1757</v>
      </c>
      <c r="B306" s="330" t="s">
        <v>867</v>
      </c>
      <c r="C306" s="330" t="s">
        <v>1758</v>
      </c>
      <c r="D306" s="330" t="s">
        <v>1468</v>
      </c>
      <c r="E306" s="371">
        <v>23000</v>
      </c>
      <c r="F306" s="398">
        <v>23000</v>
      </c>
      <c r="G306" s="400">
        <f t="shared" si="4"/>
        <v>100</v>
      </c>
    </row>
    <row r="307" spans="1:7">
      <c r="A307" s="329" t="s">
        <v>1507</v>
      </c>
      <c r="B307" s="330" t="s">
        <v>867</v>
      </c>
      <c r="C307" s="330" t="s">
        <v>1508</v>
      </c>
      <c r="D307" s="330" t="s">
        <v>1468</v>
      </c>
      <c r="E307" s="371">
        <v>23000</v>
      </c>
      <c r="F307" s="398">
        <v>23000</v>
      </c>
      <c r="G307" s="400">
        <f t="shared" si="4"/>
        <v>100</v>
      </c>
    </row>
    <row r="308" spans="1:7">
      <c r="A308" s="329" t="s">
        <v>173</v>
      </c>
      <c r="B308" s="330" t="s">
        <v>867</v>
      </c>
      <c r="C308" s="330" t="s">
        <v>1508</v>
      </c>
      <c r="D308" s="330" t="s">
        <v>1364</v>
      </c>
      <c r="E308" s="371">
        <v>23000</v>
      </c>
      <c r="F308" s="398">
        <v>23000</v>
      </c>
      <c r="G308" s="400">
        <f t="shared" si="4"/>
        <v>100</v>
      </c>
    </row>
    <row r="309" spans="1:7">
      <c r="A309" s="329" t="s">
        <v>186</v>
      </c>
      <c r="B309" s="330" t="s">
        <v>867</v>
      </c>
      <c r="C309" s="330" t="s">
        <v>1508</v>
      </c>
      <c r="D309" s="330" t="s">
        <v>497</v>
      </c>
      <c r="E309" s="371">
        <v>23000</v>
      </c>
      <c r="F309" s="398">
        <v>23000</v>
      </c>
      <c r="G309" s="400">
        <f t="shared" si="4"/>
        <v>100</v>
      </c>
    </row>
    <row r="310" spans="1:7" ht="76.5">
      <c r="A310" s="329" t="s">
        <v>1485</v>
      </c>
      <c r="B310" s="330" t="s">
        <v>1486</v>
      </c>
      <c r="C310" s="330" t="s">
        <v>1468</v>
      </c>
      <c r="D310" s="330" t="s">
        <v>1468</v>
      </c>
      <c r="E310" s="371">
        <v>8806200</v>
      </c>
      <c r="F310" s="400">
        <v>8653400</v>
      </c>
      <c r="G310" s="400">
        <f t="shared" si="4"/>
        <v>98.264858849446981</v>
      </c>
    </row>
    <row r="311" spans="1:7" ht="25.5">
      <c r="A311" s="329" t="s">
        <v>1755</v>
      </c>
      <c r="B311" s="330" t="s">
        <v>1486</v>
      </c>
      <c r="C311" s="330" t="s">
        <v>1756</v>
      </c>
      <c r="D311" s="330" t="s">
        <v>1468</v>
      </c>
      <c r="E311" s="371">
        <v>5301900</v>
      </c>
      <c r="F311" s="398">
        <v>5301900</v>
      </c>
      <c r="G311" s="400">
        <f t="shared" si="4"/>
        <v>100</v>
      </c>
    </row>
    <row r="312" spans="1:7" ht="25.5">
      <c r="A312" s="329" t="s">
        <v>1502</v>
      </c>
      <c r="B312" s="330" t="s">
        <v>1486</v>
      </c>
      <c r="C312" s="330" t="s">
        <v>1503</v>
      </c>
      <c r="D312" s="330" t="s">
        <v>1468</v>
      </c>
      <c r="E312" s="371">
        <v>5301900</v>
      </c>
      <c r="F312" s="398">
        <v>5301900</v>
      </c>
      <c r="G312" s="400">
        <f t="shared" si="4"/>
        <v>100</v>
      </c>
    </row>
    <row r="313" spans="1:7">
      <c r="A313" s="329" t="s">
        <v>173</v>
      </c>
      <c r="B313" s="330" t="s">
        <v>1486</v>
      </c>
      <c r="C313" s="330" t="s">
        <v>1503</v>
      </c>
      <c r="D313" s="330" t="s">
        <v>1364</v>
      </c>
      <c r="E313" s="371">
        <v>5301900</v>
      </c>
      <c r="F313" s="398">
        <v>5301900</v>
      </c>
      <c r="G313" s="400">
        <f t="shared" si="4"/>
        <v>100</v>
      </c>
    </row>
    <row r="314" spans="1:7">
      <c r="A314" s="329" t="s">
        <v>1238</v>
      </c>
      <c r="B314" s="330" t="s">
        <v>1486</v>
      </c>
      <c r="C314" s="330" t="s">
        <v>1503</v>
      </c>
      <c r="D314" s="330" t="s">
        <v>453</v>
      </c>
      <c r="E314" s="371">
        <v>5301900</v>
      </c>
      <c r="F314" s="398">
        <v>5301900</v>
      </c>
      <c r="G314" s="400">
        <f t="shared" si="4"/>
        <v>100</v>
      </c>
    </row>
    <row r="315" spans="1:7" ht="25.5">
      <c r="A315" s="329" t="s">
        <v>1763</v>
      </c>
      <c r="B315" s="330" t="s">
        <v>1486</v>
      </c>
      <c r="C315" s="330" t="s">
        <v>1764</v>
      </c>
      <c r="D315" s="330" t="s">
        <v>1468</v>
      </c>
      <c r="E315" s="371">
        <v>3504300</v>
      </c>
      <c r="F315" s="400">
        <v>3351500</v>
      </c>
      <c r="G315" s="400">
        <f t="shared" si="4"/>
        <v>95.639642724652575</v>
      </c>
    </row>
    <row r="316" spans="1:7">
      <c r="A316" s="329" t="s">
        <v>1504</v>
      </c>
      <c r="B316" s="330" t="s">
        <v>1486</v>
      </c>
      <c r="C316" s="330" t="s">
        <v>1505</v>
      </c>
      <c r="D316" s="330" t="s">
        <v>1468</v>
      </c>
      <c r="E316" s="371">
        <v>3504300</v>
      </c>
      <c r="F316" s="400">
        <v>3351500</v>
      </c>
      <c r="G316" s="400">
        <f t="shared" si="4"/>
        <v>95.639642724652575</v>
      </c>
    </row>
    <row r="317" spans="1:7">
      <c r="A317" s="329" t="s">
        <v>173</v>
      </c>
      <c r="B317" s="330" t="s">
        <v>1486</v>
      </c>
      <c r="C317" s="330" t="s">
        <v>1505</v>
      </c>
      <c r="D317" s="330" t="s">
        <v>1364</v>
      </c>
      <c r="E317" s="371">
        <v>3504300</v>
      </c>
      <c r="F317" s="400">
        <v>3351500</v>
      </c>
      <c r="G317" s="400">
        <f t="shared" si="4"/>
        <v>95.639642724652575</v>
      </c>
    </row>
    <row r="318" spans="1:7">
      <c r="A318" s="329" t="s">
        <v>1238</v>
      </c>
      <c r="B318" s="330" t="s">
        <v>1486</v>
      </c>
      <c r="C318" s="330" t="s">
        <v>1505</v>
      </c>
      <c r="D318" s="330" t="s">
        <v>453</v>
      </c>
      <c r="E318" s="371">
        <v>3504300</v>
      </c>
      <c r="F318" s="400">
        <v>3351500</v>
      </c>
      <c r="G318" s="400">
        <f t="shared" si="4"/>
        <v>95.639642724652575</v>
      </c>
    </row>
    <row r="319" spans="1:7" ht="63.75">
      <c r="A319" s="329" t="s">
        <v>978</v>
      </c>
      <c r="B319" s="330" t="s">
        <v>977</v>
      </c>
      <c r="C319" s="330" t="s">
        <v>1468</v>
      </c>
      <c r="D319" s="330" t="s">
        <v>1468</v>
      </c>
      <c r="E319" s="371">
        <v>3713815</v>
      </c>
      <c r="F319" s="398">
        <v>3713815</v>
      </c>
      <c r="G319" s="400">
        <f t="shared" si="4"/>
        <v>100</v>
      </c>
    </row>
    <row r="320" spans="1:7" ht="25.5">
      <c r="A320" s="329" t="s">
        <v>1755</v>
      </c>
      <c r="B320" s="330" t="s">
        <v>977</v>
      </c>
      <c r="C320" s="330" t="s">
        <v>1756</v>
      </c>
      <c r="D320" s="330" t="s">
        <v>1468</v>
      </c>
      <c r="E320" s="371">
        <v>3713815</v>
      </c>
      <c r="F320" s="398">
        <v>3713815</v>
      </c>
      <c r="G320" s="400">
        <f t="shared" si="4"/>
        <v>100</v>
      </c>
    </row>
    <row r="321" spans="1:7" ht="25.5">
      <c r="A321" s="329" t="s">
        <v>1502</v>
      </c>
      <c r="B321" s="330" t="s">
        <v>977</v>
      </c>
      <c r="C321" s="330" t="s">
        <v>1503</v>
      </c>
      <c r="D321" s="330" t="s">
        <v>1468</v>
      </c>
      <c r="E321" s="371">
        <v>3713815</v>
      </c>
      <c r="F321" s="398">
        <v>3713815</v>
      </c>
      <c r="G321" s="400">
        <f t="shared" si="4"/>
        <v>100</v>
      </c>
    </row>
    <row r="322" spans="1:7">
      <c r="A322" s="329" t="s">
        <v>173</v>
      </c>
      <c r="B322" s="330" t="s">
        <v>977</v>
      </c>
      <c r="C322" s="330" t="s">
        <v>1503</v>
      </c>
      <c r="D322" s="330" t="s">
        <v>1364</v>
      </c>
      <c r="E322" s="371">
        <v>3713815</v>
      </c>
      <c r="F322" s="398">
        <v>3713815</v>
      </c>
      <c r="G322" s="400">
        <f t="shared" si="4"/>
        <v>100</v>
      </c>
    </row>
    <row r="323" spans="1:7">
      <c r="A323" s="329" t="s">
        <v>187</v>
      </c>
      <c r="B323" s="330" t="s">
        <v>977</v>
      </c>
      <c r="C323" s="330" t="s">
        <v>1503</v>
      </c>
      <c r="D323" s="330" t="s">
        <v>484</v>
      </c>
      <c r="E323" s="371">
        <v>3713815</v>
      </c>
      <c r="F323" s="398">
        <v>3713815</v>
      </c>
      <c r="G323" s="400">
        <f t="shared" si="4"/>
        <v>100</v>
      </c>
    </row>
    <row r="324" spans="1:7" ht="63.75">
      <c r="A324" s="329" t="s">
        <v>500</v>
      </c>
      <c r="B324" s="330" t="s">
        <v>889</v>
      </c>
      <c r="C324" s="330" t="s">
        <v>1468</v>
      </c>
      <c r="D324" s="330" t="s">
        <v>1468</v>
      </c>
      <c r="E324" s="371">
        <v>1868284</v>
      </c>
      <c r="F324" s="400">
        <v>1716350.47</v>
      </c>
      <c r="G324" s="400">
        <f t="shared" si="4"/>
        <v>91.867749763954521</v>
      </c>
    </row>
    <row r="325" spans="1:7" ht="63.75">
      <c r="A325" s="329" t="s">
        <v>1754</v>
      </c>
      <c r="B325" s="330" t="s">
        <v>889</v>
      </c>
      <c r="C325" s="330" t="s">
        <v>322</v>
      </c>
      <c r="D325" s="330" t="s">
        <v>1468</v>
      </c>
      <c r="E325" s="371">
        <v>172677.63</v>
      </c>
      <c r="F325" s="400">
        <v>21731.5</v>
      </c>
      <c r="G325" s="400">
        <f t="shared" si="4"/>
        <v>12.585011735451779</v>
      </c>
    </row>
    <row r="326" spans="1:7">
      <c r="A326" s="329" t="s">
        <v>1487</v>
      </c>
      <c r="B326" s="330" t="s">
        <v>889</v>
      </c>
      <c r="C326" s="330" t="s">
        <v>165</v>
      </c>
      <c r="D326" s="330" t="s">
        <v>1468</v>
      </c>
      <c r="E326" s="371">
        <v>172677.63</v>
      </c>
      <c r="F326" s="400">
        <v>21731.5</v>
      </c>
      <c r="G326" s="400">
        <f t="shared" si="4"/>
        <v>12.585011735451779</v>
      </c>
    </row>
    <row r="327" spans="1:7">
      <c r="A327" s="329" t="s">
        <v>173</v>
      </c>
      <c r="B327" s="330" t="s">
        <v>889</v>
      </c>
      <c r="C327" s="330" t="s">
        <v>165</v>
      </c>
      <c r="D327" s="330" t="s">
        <v>1364</v>
      </c>
      <c r="E327" s="371">
        <v>172677.63</v>
      </c>
      <c r="F327" s="400">
        <v>21731.5</v>
      </c>
      <c r="G327" s="400">
        <f t="shared" si="4"/>
        <v>12.585011735451779</v>
      </c>
    </row>
    <row r="328" spans="1:7">
      <c r="A328" s="329" t="s">
        <v>1240</v>
      </c>
      <c r="B328" s="330" t="s">
        <v>889</v>
      </c>
      <c r="C328" s="330" t="s">
        <v>165</v>
      </c>
      <c r="D328" s="330" t="s">
        <v>1241</v>
      </c>
      <c r="E328" s="371">
        <v>172677.63</v>
      </c>
      <c r="F328" s="400">
        <v>21731.5</v>
      </c>
      <c r="G328" s="400">
        <f t="shared" si="4"/>
        <v>12.585011735451779</v>
      </c>
    </row>
    <row r="329" spans="1:7" ht="25.5">
      <c r="A329" s="329" t="s">
        <v>1755</v>
      </c>
      <c r="B329" s="330" t="s">
        <v>889</v>
      </c>
      <c r="C329" s="330" t="s">
        <v>1756</v>
      </c>
      <c r="D329" s="330" t="s">
        <v>1468</v>
      </c>
      <c r="E329" s="371">
        <v>1033606.37</v>
      </c>
      <c r="F329" s="400">
        <v>1032618.97</v>
      </c>
      <c r="G329" s="400">
        <f t="shared" ref="G329:G392" si="5">F329/E329*100</f>
        <v>99.904470402983293</v>
      </c>
    </row>
    <row r="330" spans="1:7" ht="25.5">
      <c r="A330" s="329" t="s">
        <v>1502</v>
      </c>
      <c r="B330" s="330" t="s">
        <v>889</v>
      </c>
      <c r="C330" s="330" t="s">
        <v>1503</v>
      </c>
      <c r="D330" s="330" t="s">
        <v>1468</v>
      </c>
      <c r="E330" s="371">
        <v>1033606.37</v>
      </c>
      <c r="F330" s="400">
        <v>1032618.97</v>
      </c>
      <c r="G330" s="400">
        <f t="shared" si="5"/>
        <v>99.904470402983293</v>
      </c>
    </row>
    <row r="331" spans="1:7">
      <c r="A331" s="329" t="s">
        <v>173</v>
      </c>
      <c r="B331" s="330" t="s">
        <v>889</v>
      </c>
      <c r="C331" s="330" t="s">
        <v>1503</v>
      </c>
      <c r="D331" s="330" t="s">
        <v>1364</v>
      </c>
      <c r="E331" s="371">
        <v>1033606.37</v>
      </c>
      <c r="F331" s="400">
        <v>1032618.97</v>
      </c>
      <c r="G331" s="400">
        <f t="shared" si="5"/>
        <v>99.904470402983293</v>
      </c>
    </row>
    <row r="332" spans="1:7">
      <c r="A332" s="329" t="s">
        <v>187</v>
      </c>
      <c r="B332" s="330" t="s">
        <v>889</v>
      </c>
      <c r="C332" s="330" t="s">
        <v>1503</v>
      </c>
      <c r="D332" s="330" t="s">
        <v>484</v>
      </c>
      <c r="E332" s="371">
        <v>397944</v>
      </c>
      <c r="F332" s="400">
        <v>396957</v>
      </c>
      <c r="G332" s="400">
        <f t="shared" si="5"/>
        <v>99.751975152282739</v>
      </c>
    </row>
    <row r="333" spans="1:7">
      <c r="A333" s="329" t="s">
        <v>1240</v>
      </c>
      <c r="B333" s="330" t="s">
        <v>889</v>
      </c>
      <c r="C333" s="330" t="s">
        <v>1503</v>
      </c>
      <c r="D333" s="330" t="s">
        <v>1241</v>
      </c>
      <c r="E333" s="371">
        <v>635662.37</v>
      </c>
      <c r="F333" s="400">
        <v>635661.97</v>
      </c>
      <c r="G333" s="400">
        <f t="shared" si="5"/>
        <v>99.999937073512783</v>
      </c>
    </row>
    <row r="334" spans="1:7">
      <c r="A334" s="329" t="s">
        <v>1759</v>
      </c>
      <c r="B334" s="330" t="s">
        <v>889</v>
      </c>
      <c r="C334" s="330" t="s">
        <v>1760</v>
      </c>
      <c r="D334" s="330" t="s">
        <v>1468</v>
      </c>
      <c r="E334" s="371">
        <v>125000</v>
      </c>
      <c r="F334" s="398">
        <v>125000</v>
      </c>
      <c r="G334" s="400">
        <f t="shared" si="5"/>
        <v>100</v>
      </c>
    </row>
    <row r="335" spans="1:7">
      <c r="A335" s="329" t="s">
        <v>625</v>
      </c>
      <c r="B335" s="330" t="s">
        <v>889</v>
      </c>
      <c r="C335" s="330" t="s">
        <v>626</v>
      </c>
      <c r="D335" s="330" t="s">
        <v>1468</v>
      </c>
      <c r="E335" s="371">
        <v>125000</v>
      </c>
      <c r="F335" s="398">
        <v>125000</v>
      </c>
      <c r="G335" s="400">
        <f t="shared" si="5"/>
        <v>100</v>
      </c>
    </row>
    <row r="336" spans="1:7">
      <c r="A336" s="329" t="s">
        <v>173</v>
      </c>
      <c r="B336" s="330" t="s">
        <v>889</v>
      </c>
      <c r="C336" s="330" t="s">
        <v>626</v>
      </c>
      <c r="D336" s="330" t="s">
        <v>1364</v>
      </c>
      <c r="E336" s="371">
        <v>125000</v>
      </c>
      <c r="F336" s="398">
        <v>125000</v>
      </c>
      <c r="G336" s="400">
        <f t="shared" si="5"/>
        <v>100</v>
      </c>
    </row>
    <row r="337" spans="1:7">
      <c r="A337" s="329" t="s">
        <v>187</v>
      </c>
      <c r="B337" s="330" t="s">
        <v>889</v>
      </c>
      <c r="C337" s="330" t="s">
        <v>626</v>
      </c>
      <c r="D337" s="330" t="s">
        <v>484</v>
      </c>
      <c r="E337" s="371">
        <v>125000</v>
      </c>
      <c r="F337" s="398">
        <v>125000</v>
      </c>
      <c r="G337" s="400">
        <f t="shared" si="5"/>
        <v>100</v>
      </c>
    </row>
    <row r="338" spans="1:7" ht="25.5">
      <c r="A338" s="329" t="s">
        <v>1763</v>
      </c>
      <c r="B338" s="330" t="s">
        <v>889</v>
      </c>
      <c r="C338" s="330" t="s">
        <v>1764</v>
      </c>
      <c r="D338" s="330" t="s">
        <v>1468</v>
      </c>
      <c r="E338" s="371">
        <v>537000</v>
      </c>
      <c r="F338" s="398">
        <v>537000</v>
      </c>
      <c r="G338" s="400">
        <f t="shared" si="5"/>
        <v>100</v>
      </c>
    </row>
    <row r="339" spans="1:7">
      <c r="A339" s="329" t="s">
        <v>1504</v>
      </c>
      <c r="B339" s="330" t="s">
        <v>889</v>
      </c>
      <c r="C339" s="330" t="s">
        <v>1505</v>
      </c>
      <c r="D339" s="330" t="s">
        <v>1468</v>
      </c>
      <c r="E339" s="371">
        <v>537000</v>
      </c>
      <c r="F339" s="398">
        <v>537000</v>
      </c>
      <c r="G339" s="400">
        <f t="shared" si="5"/>
        <v>100</v>
      </c>
    </row>
    <row r="340" spans="1:7">
      <c r="A340" s="329" t="s">
        <v>173</v>
      </c>
      <c r="B340" s="330" t="s">
        <v>889</v>
      </c>
      <c r="C340" s="330" t="s">
        <v>1505</v>
      </c>
      <c r="D340" s="330" t="s">
        <v>1364</v>
      </c>
      <c r="E340" s="371">
        <v>537000</v>
      </c>
      <c r="F340" s="398">
        <v>537000</v>
      </c>
      <c r="G340" s="400">
        <f t="shared" si="5"/>
        <v>100</v>
      </c>
    </row>
    <row r="341" spans="1:7">
      <c r="A341" s="329" t="s">
        <v>1240</v>
      </c>
      <c r="B341" s="330" t="s">
        <v>889</v>
      </c>
      <c r="C341" s="330" t="s">
        <v>1505</v>
      </c>
      <c r="D341" s="330" t="s">
        <v>1241</v>
      </c>
      <c r="E341" s="371">
        <v>537000</v>
      </c>
      <c r="F341" s="398">
        <v>537000</v>
      </c>
      <c r="G341" s="400">
        <f t="shared" si="5"/>
        <v>100</v>
      </c>
    </row>
    <row r="342" spans="1:7" ht="63.75">
      <c r="A342" s="329" t="s">
        <v>482</v>
      </c>
      <c r="B342" s="330" t="s">
        <v>904</v>
      </c>
      <c r="C342" s="330" t="s">
        <v>1468</v>
      </c>
      <c r="D342" s="330" t="s">
        <v>1468</v>
      </c>
      <c r="E342" s="371">
        <v>3565012</v>
      </c>
      <c r="F342" s="400">
        <v>2954750.31</v>
      </c>
      <c r="G342" s="400">
        <f t="shared" si="5"/>
        <v>82.881917648524052</v>
      </c>
    </row>
    <row r="343" spans="1:7" ht="25.5">
      <c r="A343" s="329" t="s">
        <v>1755</v>
      </c>
      <c r="B343" s="330" t="s">
        <v>904</v>
      </c>
      <c r="C343" s="330" t="s">
        <v>1756</v>
      </c>
      <c r="D343" s="330" t="s">
        <v>1468</v>
      </c>
      <c r="E343" s="371">
        <v>2272283</v>
      </c>
      <c r="F343" s="400">
        <v>2272282.56</v>
      </c>
      <c r="G343" s="400">
        <f t="shared" si="5"/>
        <v>99.999980636214772</v>
      </c>
    </row>
    <row r="344" spans="1:7" ht="25.5">
      <c r="A344" s="329" t="s">
        <v>1502</v>
      </c>
      <c r="B344" s="330" t="s">
        <v>904</v>
      </c>
      <c r="C344" s="330" t="s">
        <v>1503</v>
      </c>
      <c r="D344" s="330" t="s">
        <v>1468</v>
      </c>
      <c r="E344" s="371">
        <v>2272283</v>
      </c>
      <c r="F344" s="400">
        <v>2272282.56</v>
      </c>
      <c r="G344" s="400">
        <f t="shared" si="5"/>
        <v>99.999980636214772</v>
      </c>
    </row>
    <row r="345" spans="1:7">
      <c r="A345" s="329" t="s">
        <v>173</v>
      </c>
      <c r="B345" s="330" t="s">
        <v>904</v>
      </c>
      <c r="C345" s="330" t="s">
        <v>1503</v>
      </c>
      <c r="D345" s="330" t="s">
        <v>1364</v>
      </c>
      <c r="E345" s="371">
        <v>2272283</v>
      </c>
      <c r="F345" s="400">
        <v>2272282.56</v>
      </c>
      <c r="G345" s="400">
        <f t="shared" si="5"/>
        <v>99.999980636214772</v>
      </c>
    </row>
    <row r="346" spans="1:7">
      <c r="A346" s="329" t="s">
        <v>1238</v>
      </c>
      <c r="B346" s="330" t="s">
        <v>904</v>
      </c>
      <c r="C346" s="330" t="s">
        <v>1503</v>
      </c>
      <c r="D346" s="330" t="s">
        <v>453</v>
      </c>
      <c r="E346" s="371">
        <v>2272283</v>
      </c>
      <c r="F346" s="400">
        <v>2272282.56</v>
      </c>
      <c r="G346" s="400">
        <f t="shared" si="5"/>
        <v>99.999980636214772</v>
      </c>
    </row>
    <row r="347" spans="1:7" ht="25.5">
      <c r="A347" s="329" t="s">
        <v>1763</v>
      </c>
      <c r="B347" s="330" t="s">
        <v>904</v>
      </c>
      <c r="C347" s="330" t="s">
        <v>1764</v>
      </c>
      <c r="D347" s="330" t="s">
        <v>1468</v>
      </c>
      <c r="E347" s="371">
        <v>1292729</v>
      </c>
      <c r="F347" s="400">
        <v>682467.75</v>
      </c>
      <c r="G347" s="400">
        <f t="shared" si="5"/>
        <v>52.792793385156521</v>
      </c>
    </row>
    <row r="348" spans="1:7">
      <c r="A348" s="329" t="s">
        <v>1504</v>
      </c>
      <c r="B348" s="330" t="s">
        <v>904</v>
      </c>
      <c r="C348" s="330" t="s">
        <v>1505</v>
      </c>
      <c r="D348" s="330" t="s">
        <v>1468</v>
      </c>
      <c r="E348" s="371">
        <v>1292729</v>
      </c>
      <c r="F348" s="400">
        <v>682467.75</v>
      </c>
      <c r="G348" s="400">
        <f t="shared" si="5"/>
        <v>52.792793385156521</v>
      </c>
    </row>
    <row r="349" spans="1:7">
      <c r="A349" s="329" t="s">
        <v>173</v>
      </c>
      <c r="B349" s="330" t="s">
        <v>904</v>
      </c>
      <c r="C349" s="330" t="s">
        <v>1505</v>
      </c>
      <c r="D349" s="330" t="s">
        <v>1364</v>
      </c>
      <c r="E349" s="371">
        <v>1292729</v>
      </c>
      <c r="F349" s="400">
        <v>682467.75</v>
      </c>
      <c r="G349" s="400">
        <f t="shared" si="5"/>
        <v>52.792793385156521</v>
      </c>
    </row>
    <row r="350" spans="1:7">
      <c r="A350" s="329" t="s">
        <v>1238</v>
      </c>
      <c r="B350" s="330" t="s">
        <v>904</v>
      </c>
      <c r="C350" s="330" t="s">
        <v>1505</v>
      </c>
      <c r="D350" s="330" t="s">
        <v>453</v>
      </c>
      <c r="E350" s="371">
        <v>1292729</v>
      </c>
      <c r="F350" s="400">
        <v>682467.75</v>
      </c>
      <c r="G350" s="400">
        <f t="shared" si="5"/>
        <v>52.792793385156521</v>
      </c>
    </row>
    <row r="351" spans="1:7" ht="63.75">
      <c r="A351" s="329" t="s">
        <v>627</v>
      </c>
      <c r="B351" s="330" t="s">
        <v>892</v>
      </c>
      <c r="C351" s="330" t="s">
        <v>1468</v>
      </c>
      <c r="D351" s="330" t="s">
        <v>1468</v>
      </c>
      <c r="E351" s="371">
        <v>187200</v>
      </c>
      <c r="F351" s="398">
        <v>187200</v>
      </c>
      <c r="G351" s="400">
        <f t="shared" si="5"/>
        <v>100</v>
      </c>
    </row>
    <row r="352" spans="1:7">
      <c r="A352" s="329" t="s">
        <v>1759</v>
      </c>
      <c r="B352" s="330" t="s">
        <v>892</v>
      </c>
      <c r="C352" s="330" t="s">
        <v>1760</v>
      </c>
      <c r="D352" s="330" t="s">
        <v>1468</v>
      </c>
      <c r="E352" s="371">
        <v>187200</v>
      </c>
      <c r="F352" s="398">
        <v>187200</v>
      </c>
      <c r="G352" s="400">
        <f t="shared" si="5"/>
        <v>100</v>
      </c>
    </row>
    <row r="353" spans="1:7" ht="25.5">
      <c r="A353" s="329" t="s">
        <v>426</v>
      </c>
      <c r="B353" s="330" t="s">
        <v>892</v>
      </c>
      <c r="C353" s="330" t="s">
        <v>427</v>
      </c>
      <c r="D353" s="330" t="s">
        <v>1468</v>
      </c>
      <c r="E353" s="371">
        <v>187200</v>
      </c>
      <c r="F353" s="398">
        <v>187200</v>
      </c>
      <c r="G353" s="400">
        <f t="shared" si="5"/>
        <v>100</v>
      </c>
    </row>
    <row r="354" spans="1:7">
      <c r="A354" s="329" t="s">
        <v>173</v>
      </c>
      <c r="B354" s="330" t="s">
        <v>892</v>
      </c>
      <c r="C354" s="330" t="s">
        <v>427</v>
      </c>
      <c r="D354" s="330" t="s">
        <v>1364</v>
      </c>
      <c r="E354" s="371">
        <v>187200</v>
      </c>
      <c r="F354" s="398">
        <v>187200</v>
      </c>
      <c r="G354" s="400">
        <f t="shared" si="5"/>
        <v>100</v>
      </c>
    </row>
    <row r="355" spans="1:7">
      <c r="A355" s="329" t="s">
        <v>187</v>
      </c>
      <c r="B355" s="330" t="s">
        <v>892</v>
      </c>
      <c r="C355" s="330" t="s">
        <v>427</v>
      </c>
      <c r="D355" s="330" t="s">
        <v>484</v>
      </c>
      <c r="E355" s="371">
        <v>187200</v>
      </c>
      <c r="F355" s="398">
        <v>187200</v>
      </c>
      <c r="G355" s="400">
        <f t="shared" si="5"/>
        <v>100</v>
      </c>
    </row>
    <row r="356" spans="1:7" ht="63.75">
      <c r="A356" s="329" t="s">
        <v>693</v>
      </c>
      <c r="B356" s="330" t="s">
        <v>891</v>
      </c>
      <c r="C356" s="330" t="s">
        <v>1468</v>
      </c>
      <c r="D356" s="330" t="s">
        <v>1468</v>
      </c>
      <c r="E356" s="371">
        <v>40000</v>
      </c>
      <c r="F356" s="398">
        <v>40000</v>
      </c>
      <c r="G356" s="400">
        <f t="shared" si="5"/>
        <v>100</v>
      </c>
    </row>
    <row r="357" spans="1:7" ht="25.5">
      <c r="A357" s="329" t="s">
        <v>1755</v>
      </c>
      <c r="B357" s="330" t="s">
        <v>891</v>
      </c>
      <c r="C357" s="330" t="s">
        <v>1756</v>
      </c>
      <c r="D357" s="330" t="s">
        <v>1468</v>
      </c>
      <c r="E357" s="371">
        <v>40000</v>
      </c>
      <c r="F357" s="398">
        <v>40000</v>
      </c>
      <c r="G357" s="400">
        <f t="shared" si="5"/>
        <v>100</v>
      </c>
    </row>
    <row r="358" spans="1:7" ht="25.5">
      <c r="A358" s="329" t="s">
        <v>1502</v>
      </c>
      <c r="B358" s="330" t="s">
        <v>891</v>
      </c>
      <c r="C358" s="330" t="s">
        <v>1503</v>
      </c>
      <c r="D358" s="330" t="s">
        <v>1468</v>
      </c>
      <c r="E358" s="371">
        <v>40000</v>
      </c>
      <c r="F358" s="398">
        <v>40000</v>
      </c>
      <c r="G358" s="400">
        <f t="shared" si="5"/>
        <v>100</v>
      </c>
    </row>
    <row r="359" spans="1:7">
      <c r="A359" s="329" t="s">
        <v>173</v>
      </c>
      <c r="B359" s="330" t="s">
        <v>891</v>
      </c>
      <c r="C359" s="330" t="s">
        <v>1503</v>
      </c>
      <c r="D359" s="330" t="s">
        <v>1364</v>
      </c>
      <c r="E359" s="371">
        <v>40000</v>
      </c>
      <c r="F359" s="398">
        <v>40000</v>
      </c>
      <c r="G359" s="400">
        <f t="shared" si="5"/>
        <v>100</v>
      </c>
    </row>
    <row r="360" spans="1:7">
      <c r="A360" s="329" t="s">
        <v>187</v>
      </c>
      <c r="B360" s="330" t="s">
        <v>891</v>
      </c>
      <c r="C360" s="330" t="s">
        <v>1503</v>
      </c>
      <c r="D360" s="330" t="s">
        <v>484</v>
      </c>
      <c r="E360" s="371">
        <v>40000</v>
      </c>
      <c r="F360" s="398">
        <v>40000</v>
      </c>
      <c r="G360" s="400">
        <f t="shared" si="5"/>
        <v>100</v>
      </c>
    </row>
    <row r="361" spans="1:7" ht="63.75">
      <c r="A361" s="329" t="s">
        <v>2023</v>
      </c>
      <c r="B361" s="330" t="s">
        <v>2024</v>
      </c>
      <c r="C361" s="330" t="s">
        <v>1468</v>
      </c>
      <c r="D361" s="330" t="s">
        <v>1468</v>
      </c>
      <c r="E361" s="371">
        <v>194128</v>
      </c>
      <c r="F361" s="400">
        <v>180472</v>
      </c>
      <c r="G361" s="400">
        <f t="shared" si="5"/>
        <v>92.965466084233086</v>
      </c>
    </row>
    <row r="362" spans="1:7" ht="25.5">
      <c r="A362" s="329" t="s">
        <v>1755</v>
      </c>
      <c r="B362" s="330" t="s">
        <v>2024</v>
      </c>
      <c r="C362" s="330" t="s">
        <v>1756</v>
      </c>
      <c r="D362" s="330" t="s">
        <v>1468</v>
      </c>
      <c r="E362" s="371">
        <v>194128</v>
      </c>
      <c r="F362" s="400">
        <v>180472</v>
      </c>
      <c r="G362" s="400">
        <f t="shared" si="5"/>
        <v>92.965466084233086</v>
      </c>
    </row>
    <row r="363" spans="1:7" ht="25.5">
      <c r="A363" s="329" t="s">
        <v>1502</v>
      </c>
      <c r="B363" s="330" t="s">
        <v>2024</v>
      </c>
      <c r="C363" s="330" t="s">
        <v>1503</v>
      </c>
      <c r="D363" s="330" t="s">
        <v>1468</v>
      </c>
      <c r="E363" s="371">
        <v>194128</v>
      </c>
      <c r="F363" s="400">
        <v>180472</v>
      </c>
      <c r="G363" s="400">
        <f t="shared" si="5"/>
        <v>92.965466084233086</v>
      </c>
    </row>
    <row r="364" spans="1:7">
      <c r="A364" s="329" t="s">
        <v>173</v>
      </c>
      <c r="B364" s="330" t="s">
        <v>2024</v>
      </c>
      <c r="C364" s="330" t="s">
        <v>1503</v>
      </c>
      <c r="D364" s="330" t="s">
        <v>1364</v>
      </c>
      <c r="E364" s="371">
        <v>194128</v>
      </c>
      <c r="F364" s="400">
        <v>180472</v>
      </c>
      <c r="G364" s="400">
        <f t="shared" si="5"/>
        <v>92.965466084233086</v>
      </c>
    </row>
    <row r="365" spans="1:7">
      <c r="A365" s="329" t="s">
        <v>187</v>
      </c>
      <c r="B365" s="330" t="s">
        <v>2024</v>
      </c>
      <c r="C365" s="330" t="s">
        <v>1503</v>
      </c>
      <c r="D365" s="330" t="s">
        <v>484</v>
      </c>
      <c r="E365" s="371">
        <v>23176</v>
      </c>
      <c r="F365" s="400">
        <v>9520</v>
      </c>
      <c r="G365" s="400">
        <f t="shared" si="5"/>
        <v>41.076976182257511</v>
      </c>
    </row>
    <row r="366" spans="1:7">
      <c r="A366" s="329" t="s">
        <v>1240</v>
      </c>
      <c r="B366" s="330" t="s">
        <v>2024</v>
      </c>
      <c r="C366" s="330" t="s">
        <v>1503</v>
      </c>
      <c r="D366" s="330" t="s">
        <v>1241</v>
      </c>
      <c r="E366" s="371">
        <v>170952</v>
      </c>
      <c r="F366" s="400">
        <v>170952</v>
      </c>
      <c r="G366" s="400">
        <f t="shared" si="5"/>
        <v>100</v>
      </c>
    </row>
    <row r="367" spans="1:7" ht="76.5">
      <c r="A367" s="329" t="s">
        <v>901</v>
      </c>
      <c r="B367" s="330" t="s">
        <v>902</v>
      </c>
      <c r="C367" s="330" t="s">
        <v>1468</v>
      </c>
      <c r="D367" s="330" t="s">
        <v>1468</v>
      </c>
      <c r="E367" s="371">
        <v>318</v>
      </c>
      <c r="F367" s="398">
        <v>318</v>
      </c>
      <c r="G367" s="400">
        <f t="shared" si="5"/>
        <v>100</v>
      </c>
    </row>
    <row r="368" spans="1:7" ht="25.5">
      <c r="A368" s="329" t="s">
        <v>1763</v>
      </c>
      <c r="B368" s="330" t="s">
        <v>902</v>
      </c>
      <c r="C368" s="330" t="s">
        <v>1764</v>
      </c>
      <c r="D368" s="330" t="s">
        <v>1468</v>
      </c>
      <c r="E368" s="371">
        <v>318</v>
      </c>
      <c r="F368" s="398">
        <v>318</v>
      </c>
      <c r="G368" s="400">
        <f t="shared" si="5"/>
        <v>100</v>
      </c>
    </row>
    <row r="369" spans="1:7">
      <c r="A369" s="329" t="s">
        <v>1504</v>
      </c>
      <c r="B369" s="330" t="s">
        <v>902</v>
      </c>
      <c r="C369" s="330" t="s">
        <v>1505</v>
      </c>
      <c r="D369" s="330" t="s">
        <v>1468</v>
      </c>
      <c r="E369" s="371">
        <v>318</v>
      </c>
      <c r="F369" s="398">
        <v>318</v>
      </c>
      <c r="G369" s="400">
        <f t="shared" si="5"/>
        <v>100</v>
      </c>
    </row>
    <row r="370" spans="1:7">
      <c r="A370" s="329" t="s">
        <v>173</v>
      </c>
      <c r="B370" s="330" t="s">
        <v>902</v>
      </c>
      <c r="C370" s="330" t="s">
        <v>1505</v>
      </c>
      <c r="D370" s="330" t="s">
        <v>1364</v>
      </c>
      <c r="E370" s="371">
        <v>318</v>
      </c>
      <c r="F370" s="398">
        <v>318</v>
      </c>
      <c r="G370" s="400">
        <f t="shared" si="5"/>
        <v>100</v>
      </c>
    </row>
    <row r="371" spans="1:7">
      <c r="A371" s="329" t="s">
        <v>1238</v>
      </c>
      <c r="B371" s="330" t="s">
        <v>902</v>
      </c>
      <c r="C371" s="330" t="s">
        <v>1505</v>
      </c>
      <c r="D371" s="330" t="s">
        <v>453</v>
      </c>
      <c r="E371" s="371">
        <v>318</v>
      </c>
      <c r="F371" s="398">
        <v>318</v>
      </c>
      <c r="G371" s="400">
        <f t="shared" si="5"/>
        <v>100</v>
      </c>
    </row>
    <row r="372" spans="1:7" ht="102">
      <c r="A372" s="329" t="s">
        <v>2037</v>
      </c>
      <c r="B372" s="330" t="s">
        <v>2048</v>
      </c>
      <c r="C372" s="330" t="s">
        <v>1468</v>
      </c>
      <c r="D372" s="330" t="s">
        <v>1468</v>
      </c>
      <c r="E372" s="371">
        <v>252030</v>
      </c>
      <c r="F372" s="398">
        <v>252030</v>
      </c>
      <c r="G372" s="400">
        <f t="shared" si="5"/>
        <v>100</v>
      </c>
    </row>
    <row r="373" spans="1:7" ht="25.5">
      <c r="A373" s="329" t="s">
        <v>1763</v>
      </c>
      <c r="B373" s="330" t="s">
        <v>2048</v>
      </c>
      <c r="C373" s="330" t="s">
        <v>1764</v>
      </c>
      <c r="D373" s="330" t="s">
        <v>1468</v>
      </c>
      <c r="E373" s="371">
        <v>252030</v>
      </c>
      <c r="F373" s="398">
        <v>252030</v>
      </c>
      <c r="G373" s="400">
        <f t="shared" si="5"/>
        <v>100</v>
      </c>
    </row>
    <row r="374" spans="1:7">
      <c r="A374" s="329" t="s">
        <v>1504</v>
      </c>
      <c r="B374" s="330" t="s">
        <v>2048</v>
      </c>
      <c r="C374" s="330" t="s">
        <v>1505</v>
      </c>
      <c r="D374" s="330" t="s">
        <v>1468</v>
      </c>
      <c r="E374" s="371">
        <v>252030</v>
      </c>
      <c r="F374" s="398">
        <v>252030</v>
      </c>
      <c r="G374" s="400">
        <f t="shared" si="5"/>
        <v>100</v>
      </c>
    </row>
    <row r="375" spans="1:7">
      <c r="A375" s="329" t="s">
        <v>173</v>
      </c>
      <c r="B375" s="330" t="s">
        <v>2048</v>
      </c>
      <c r="C375" s="330" t="s">
        <v>1505</v>
      </c>
      <c r="D375" s="330" t="s">
        <v>1364</v>
      </c>
      <c r="E375" s="371">
        <v>252030</v>
      </c>
      <c r="F375" s="398">
        <v>252030</v>
      </c>
      <c r="G375" s="400">
        <f t="shared" si="5"/>
        <v>100</v>
      </c>
    </row>
    <row r="376" spans="1:7">
      <c r="A376" s="329" t="s">
        <v>1238</v>
      </c>
      <c r="B376" s="330" t="s">
        <v>2048</v>
      </c>
      <c r="C376" s="330" t="s">
        <v>1505</v>
      </c>
      <c r="D376" s="330" t="s">
        <v>453</v>
      </c>
      <c r="E376" s="371">
        <v>252030</v>
      </c>
      <c r="F376" s="398">
        <v>252030</v>
      </c>
      <c r="G376" s="400">
        <f t="shared" si="5"/>
        <v>100</v>
      </c>
    </row>
    <row r="377" spans="1:7" ht="89.25">
      <c r="A377" s="329" t="s">
        <v>1937</v>
      </c>
      <c r="B377" s="330" t="s">
        <v>1938</v>
      </c>
      <c r="C377" s="330" t="s">
        <v>1468</v>
      </c>
      <c r="D377" s="330" t="s">
        <v>1468</v>
      </c>
      <c r="E377" s="371">
        <v>318000</v>
      </c>
      <c r="F377" s="398">
        <v>318000</v>
      </c>
      <c r="G377" s="400">
        <f t="shared" si="5"/>
        <v>100</v>
      </c>
    </row>
    <row r="378" spans="1:7" ht="25.5">
      <c r="A378" s="329" t="s">
        <v>1755</v>
      </c>
      <c r="B378" s="330" t="s">
        <v>1938</v>
      </c>
      <c r="C378" s="330" t="s">
        <v>1756</v>
      </c>
      <c r="D378" s="330" t="s">
        <v>1468</v>
      </c>
      <c r="E378" s="371">
        <v>318000</v>
      </c>
      <c r="F378" s="398">
        <v>318000</v>
      </c>
      <c r="G378" s="400">
        <f t="shared" si="5"/>
        <v>100</v>
      </c>
    </row>
    <row r="379" spans="1:7" ht="25.5">
      <c r="A379" s="329" t="s">
        <v>1502</v>
      </c>
      <c r="B379" s="330" t="s">
        <v>1938</v>
      </c>
      <c r="C379" s="330" t="s">
        <v>1503</v>
      </c>
      <c r="D379" s="330" t="s">
        <v>1468</v>
      </c>
      <c r="E379" s="371">
        <v>318000</v>
      </c>
      <c r="F379" s="398">
        <v>318000</v>
      </c>
      <c r="G379" s="400">
        <f t="shared" si="5"/>
        <v>100</v>
      </c>
    </row>
    <row r="380" spans="1:7">
      <c r="A380" s="329" t="s">
        <v>173</v>
      </c>
      <c r="B380" s="330" t="s">
        <v>1938</v>
      </c>
      <c r="C380" s="330" t="s">
        <v>1503</v>
      </c>
      <c r="D380" s="330" t="s">
        <v>1364</v>
      </c>
      <c r="E380" s="371">
        <v>318000</v>
      </c>
      <c r="F380" s="398">
        <v>318000</v>
      </c>
      <c r="G380" s="400">
        <f t="shared" si="5"/>
        <v>100</v>
      </c>
    </row>
    <row r="381" spans="1:7">
      <c r="A381" s="329" t="s">
        <v>187</v>
      </c>
      <c r="B381" s="330" t="s">
        <v>1938</v>
      </c>
      <c r="C381" s="330" t="s">
        <v>1503</v>
      </c>
      <c r="D381" s="330" t="s">
        <v>484</v>
      </c>
      <c r="E381" s="371">
        <v>318000</v>
      </c>
      <c r="F381" s="398">
        <v>318000</v>
      </c>
      <c r="G381" s="400">
        <f t="shared" si="5"/>
        <v>100</v>
      </c>
    </row>
    <row r="382" spans="1:7" ht="63.75">
      <c r="A382" s="329" t="s">
        <v>2003</v>
      </c>
      <c r="B382" s="330" t="s">
        <v>2008</v>
      </c>
      <c r="C382" s="330" t="s">
        <v>1468</v>
      </c>
      <c r="D382" s="330" t="s">
        <v>1468</v>
      </c>
      <c r="E382" s="371">
        <v>1326900</v>
      </c>
      <c r="F382" s="398">
        <v>1326900</v>
      </c>
      <c r="G382" s="400">
        <f t="shared" si="5"/>
        <v>100</v>
      </c>
    </row>
    <row r="383" spans="1:7" ht="25.5">
      <c r="A383" s="329" t="s">
        <v>1755</v>
      </c>
      <c r="B383" s="330" t="s">
        <v>2008</v>
      </c>
      <c r="C383" s="330" t="s">
        <v>1756</v>
      </c>
      <c r="D383" s="330" t="s">
        <v>1468</v>
      </c>
      <c r="E383" s="371">
        <v>1326900</v>
      </c>
      <c r="F383" s="398">
        <v>1326900</v>
      </c>
      <c r="G383" s="400">
        <f t="shared" si="5"/>
        <v>100</v>
      </c>
    </row>
    <row r="384" spans="1:7" ht="25.5">
      <c r="A384" s="329" t="s">
        <v>1502</v>
      </c>
      <c r="B384" s="330" t="s">
        <v>2008</v>
      </c>
      <c r="C384" s="330" t="s">
        <v>1503</v>
      </c>
      <c r="D384" s="330" t="s">
        <v>1468</v>
      </c>
      <c r="E384" s="371">
        <v>1326900</v>
      </c>
      <c r="F384" s="398">
        <v>1326900</v>
      </c>
      <c r="G384" s="400">
        <f t="shared" si="5"/>
        <v>100</v>
      </c>
    </row>
    <row r="385" spans="1:7">
      <c r="A385" s="329" t="s">
        <v>173</v>
      </c>
      <c r="B385" s="330" t="s">
        <v>2008</v>
      </c>
      <c r="C385" s="330" t="s">
        <v>1503</v>
      </c>
      <c r="D385" s="330" t="s">
        <v>1364</v>
      </c>
      <c r="E385" s="371">
        <v>1326900</v>
      </c>
      <c r="F385" s="398">
        <v>1326900</v>
      </c>
      <c r="G385" s="400">
        <f t="shared" si="5"/>
        <v>100</v>
      </c>
    </row>
    <row r="386" spans="1:7">
      <c r="A386" s="329" t="s">
        <v>186</v>
      </c>
      <c r="B386" s="330" t="s">
        <v>2008</v>
      </c>
      <c r="C386" s="330" t="s">
        <v>1503</v>
      </c>
      <c r="D386" s="330" t="s">
        <v>497</v>
      </c>
      <c r="E386" s="371">
        <v>1326900</v>
      </c>
      <c r="F386" s="398">
        <v>1326900</v>
      </c>
      <c r="G386" s="400">
        <f t="shared" si="5"/>
        <v>100</v>
      </c>
    </row>
    <row r="387" spans="1:7" ht="38.25">
      <c r="A387" s="329" t="s">
        <v>538</v>
      </c>
      <c r="B387" s="330" t="s">
        <v>1356</v>
      </c>
      <c r="C387" s="330" t="s">
        <v>1468</v>
      </c>
      <c r="D387" s="330" t="s">
        <v>1468</v>
      </c>
      <c r="E387" s="371">
        <v>10632611.6</v>
      </c>
      <c r="F387" s="400">
        <v>6686630.5999999996</v>
      </c>
      <c r="G387" s="400">
        <f t="shared" si="5"/>
        <v>62.887941848642335</v>
      </c>
    </row>
    <row r="388" spans="1:7" ht="102">
      <c r="A388" s="329" t="s">
        <v>510</v>
      </c>
      <c r="B388" s="330" t="s">
        <v>1346</v>
      </c>
      <c r="C388" s="330" t="s">
        <v>1468</v>
      </c>
      <c r="D388" s="330" t="s">
        <v>1468</v>
      </c>
      <c r="E388" s="371">
        <v>4940480</v>
      </c>
      <c r="F388" s="400">
        <v>4610795.05</v>
      </c>
      <c r="G388" s="400">
        <f t="shared" si="5"/>
        <v>93.326863988924146</v>
      </c>
    </row>
    <row r="389" spans="1:7" ht="63.75">
      <c r="A389" s="329" t="s">
        <v>1754</v>
      </c>
      <c r="B389" s="330" t="s">
        <v>1346</v>
      </c>
      <c r="C389" s="330" t="s">
        <v>322</v>
      </c>
      <c r="D389" s="330" t="s">
        <v>1468</v>
      </c>
      <c r="E389" s="371">
        <v>3865661</v>
      </c>
      <c r="F389" s="400">
        <v>3595246.77</v>
      </c>
      <c r="G389" s="400">
        <f t="shared" si="5"/>
        <v>93.004709155820962</v>
      </c>
    </row>
    <row r="390" spans="1:7" ht="25.5">
      <c r="A390" s="329" t="s">
        <v>1509</v>
      </c>
      <c r="B390" s="330" t="s">
        <v>1346</v>
      </c>
      <c r="C390" s="330" t="s">
        <v>37</v>
      </c>
      <c r="D390" s="330" t="s">
        <v>1468</v>
      </c>
      <c r="E390" s="371">
        <v>3865661</v>
      </c>
      <c r="F390" s="400">
        <v>3595246.77</v>
      </c>
      <c r="G390" s="400">
        <f t="shared" si="5"/>
        <v>93.004709155820962</v>
      </c>
    </row>
    <row r="391" spans="1:7">
      <c r="A391" s="329" t="s">
        <v>173</v>
      </c>
      <c r="B391" s="330" t="s">
        <v>1346</v>
      </c>
      <c r="C391" s="330" t="s">
        <v>37</v>
      </c>
      <c r="D391" s="330" t="s">
        <v>1364</v>
      </c>
      <c r="E391" s="371">
        <v>3865661</v>
      </c>
      <c r="F391" s="400">
        <v>3595246.77</v>
      </c>
      <c r="G391" s="400">
        <f t="shared" si="5"/>
        <v>93.004709155820962</v>
      </c>
    </row>
    <row r="392" spans="1:7">
      <c r="A392" s="329" t="s">
        <v>4</v>
      </c>
      <c r="B392" s="330" t="s">
        <v>1346</v>
      </c>
      <c r="C392" s="330" t="s">
        <v>37</v>
      </c>
      <c r="D392" s="330" t="s">
        <v>509</v>
      </c>
      <c r="E392" s="371">
        <v>3865661</v>
      </c>
      <c r="F392" s="400">
        <v>3595246.77</v>
      </c>
      <c r="G392" s="400">
        <f t="shared" si="5"/>
        <v>93.004709155820962</v>
      </c>
    </row>
    <row r="393" spans="1:7" ht="25.5">
      <c r="A393" s="329" t="s">
        <v>1755</v>
      </c>
      <c r="B393" s="330" t="s">
        <v>1346</v>
      </c>
      <c r="C393" s="330" t="s">
        <v>1756</v>
      </c>
      <c r="D393" s="330" t="s">
        <v>1468</v>
      </c>
      <c r="E393" s="371">
        <v>1074819</v>
      </c>
      <c r="F393" s="400">
        <v>1015548.28</v>
      </c>
      <c r="G393" s="400">
        <f t="shared" ref="G393:G456" si="6">F393/E393*100</f>
        <v>94.485516165977714</v>
      </c>
    </row>
    <row r="394" spans="1:7" ht="25.5">
      <c r="A394" s="329" t="s">
        <v>1502</v>
      </c>
      <c r="B394" s="330" t="s">
        <v>1346</v>
      </c>
      <c r="C394" s="330" t="s">
        <v>1503</v>
      </c>
      <c r="D394" s="330" t="s">
        <v>1468</v>
      </c>
      <c r="E394" s="371">
        <v>1074819</v>
      </c>
      <c r="F394" s="400">
        <v>1015548.28</v>
      </c>
      <c r="G394" s="400">
        <f t="shared" si="6"/>
        <v>94.485516165977714</v>
      </c>
    </row>
    <row r="395" spans="1:7">
      <c r="A395" s="329" t="s">
        <v>173</v>
      </c>
      <c r="B395" s="330" t="s">
        <v>1346</v>
      </c>
      <c r="C395" s="330" t="s">
        <v>1503</v>
      </c>
      <c r="D395" s="330" t="s">
        <v>1364</v>
      </c>
      <c r="E395" s="371">
        <v>1074819</v>
      </c>
      <c r="F395" s="400">
        <v>1015548.28</v>
      </c>
      <c r="G395" s="400">
        <f t="shared" si="6"/>
        <v>94.485516165977714</v>
      </c>
    </row>
    <row r="396" spans="1:7">
      <c r="A396" s="329" t="s">
        <v>4</v>
      </c>
      <c r="B396" s="330" t="s">
        <v>1346</v>
      </c>
      <c r="C396" s="330" t="s">
        <v>1503</v>
      </c>
      <c r="D396" s="330" t="s">
        <v>509</v>
      </c>
      <c r="E396" s="371">
        <v>1074819</v>
      </c>
      <c r="F396" s="400">
        <v>1015548.28</v>
      </c>
      <c r="G396" s="400">
        <f t="shared" si="6"/>
        <v>94.485516165977714</v>
      </c>
    </row>
    <row r="397" spans="1:7" ht="114.75">
      <c r="A397" s="329" t="s">
        <v>1858</v>
      </c>
      <c r="B397" s="330" t="s">
        <v>1859</v>
      </c>
      <c r="C397" s="330" t="s">
        <v>1468</v>
      </c>
      <c r="D397" s="330" t="s">
        <v>1468</v>
      </c>
      <c r="E397" s="371">
        <v>5692131.5999999996</v>
      </c>
      <c r="F397" s="400">
        <v>2075835.55</v>
      </c>
      <c r="G397" s="400">
        <f t="shared" si="6"/>
        <v>36.468509442051555</v>
      </c>
    </row>
    <row r="398" spans="1:7" ht="25.5">
      <c r="A398" s="329" t="s">
        <v>1761</v>
      </c>
      <c r="B398" s="330" t="s">
        <v>1859</v>
      </c>
      <c r="C398" s="330" t="s">
        <v>1762</v>
      </c>
      <c r="D398" s="330" t="s">
        <v>1468</v>
      </c>
      <c r="E398" s="371">
        <v>5692131.5999999996</v>
      </c>
      <c r="F398" s="400">
        <v>2075835.55</v>
      </c>
      <c r="G398" s="400">
        <f t="shared" si="6"/>
        <v>36.468509442051555</v>
      </c>
    </row>
    <row r="399" spans="1:7">
      <c r="A399" s="329" t="s">
        <v>1513</v>
      </c>
      <c r="B399" s="330" t="s">
        <v>1859</v>
      </c>
      <c r="C399" s="330" t="s">
        <v>101</v>
      </c>
      <c r="D399" s="330" t="s">
        <v>1468</v>
      </c>
      <c r="E399" s="371">
        <v>5692131.5999999996</v>
      </c>
      <c r="F399" s="400">
        <v>2075835.55</v>
      </c>
      <c r="G399" s="400">
        <f t="shared" si="6"/>
        <v>36.468509442051555</v>
      </c>
    </row>
    <row r="400" spans="1:7">
      <c r="A400" s="329" t="s">
        <v>174</v>
      </c>
      <c r="B400" s="330" t="s">
        <v>1859</v>
      </c>
      <c r="C400" s="330" t="s">
        <v>101</v>
      </c>
      <c r="D400" s="330" t="s">
        <v>1365</v>
      </c>
      <c r="E400" s="371">
        <v>5692131.5999999996</v>
      </c>
      <c r="F400" s="400">
        <v>2075835.55</v>
      </c>
      <c r="G400" s="400">
        <f t="shared" si="6"/>
        <v>36.468509442051555</v>
      </c>
    </row>
    <row r="401" spans="1:7">
      <c r="A401" s="329" t="s">
        <v>26</v>
      </c>
      <c r="B401" s="330" t="s">
        <v>1859</v>
      </c>
      <c r="C401" s="330" t="s">
        <v>101</v>
      </c>
      <c r="D401" s="330" t="s">
        <v>512</v>
      </c>
      <c r="E401" s="371">
        <v>5692131.5999999996</v>
      </c>
      <c r="F401" s="400">
        <v>2075835.55</v>
      </c>
      <c r="G401" s="400">
        <f t="shared" si="6"/>
        <v>36.468509442051555</v>
      </c>
    </row>
    <row r="402" spans="1:7" ht="38.25">
      <c r="A402" s="329" t="s">
        <v>725</v>
      </c>
      <c r="B402" s="330" t="s">
        <v>1107</v>
      </c>
      <c r="C402" s="330" t="s">
        <v>1468</v>
      </c>
      <c r="D402" s="330" t="s">
        <v>1468</v>
      </c>
      <c r="E402" s="371">
        <v>74319891.5</v>
      </c>
      <c r="F402" s="400">
        <v>71517342.069999993</v>
      </c>
      <c r="G402" s="400">
        <f t="shared" si="6"/>
        <v>96.229072226242408</v>
      </c>
    </row>
    <row r="403" spans="1:7" ht="76.5">
      <c r="A403" s="329" t="s">
        <v>719</v>
      </c>
      <c r="B403" s="330" t="s">
        <v>1349</v>
      </c>
      <c r="C403" s="330" t="s">
        <v>1468</v>
      </c>
      <c r="D403" s="330" t="s">
        <v>1468</v>
      </c>
      <c r="E403" s="371">
        <v>42304582.189999998</v>
      </c>
      <c r="F403" s="400">
        <v>41782208.560000002</v>
      </c>
      <c r="G403" s="400">
        <f t="shared" si="6"/>
        <v>98.765207920849122</v>
      </c>
    </row>
    <row r="404" spans="1:7" ht="63.75">
      <c r="A404" s="329" t="s">
        <v>1754</v>
      </c>
      <c r="B404" s="330" t="s">
        <v>1349</v>
      </c>
      <c r="C404" s="330" t="s">
        <v>322</v>
      </c>
      <c r="D404" s="330" t="s">
        <v>1468</v>
      </c>
      <c r="E404" s="371">
        <v>38359248.990000002</v>
      </c>
      <c r="F404" s="400">
        <v>38148895.329999998</v>
      </c>
      <c r="G404" s="400">
        <f t="shared" si="6"/>
        <v>99.451622058464068</v>
      </c>
    </row>
    <row r="405" spans="1:7">
      <c r="A405" s="329" t="s">
        <v>1487</v>
      </c>
      <c r="B405" s="330" t="s">
        <v>1349</v>
      </c>
      <c r="C405" s="330" t="s">
        <v>165</v>
      </c>
      <c r="D405" s="330" t="s">
        <v>1468</v>
      </c>
      <c r="E405" s="371">
        <v>38359248.990000002</v>
      </c>
      <c r="F405" s="400">
        <v>38148895.329999998</v>
      </c>
      <c r="G405" s="400">
        <f t="shared" si="6"/>
        <v>99.451622058464068</v>
      </c>
    </row>
    <row r="406" spans="1:7">
      <c r="A406" s="329" t="s">
        <v>173</v>
      </c>
      <c r="B406" s="330" t="s">
        <v>1349</v>
      </c>
      <c r="C406" s="330" t="s">
        <v>165</v>
      </c>
      <c r="D406" s="330" t="s">
        <v>1364</v>
      </c>
      <c r="E406" s="371">
        <v>38359248.990000002</v>
      </c>
      <c r="F406" s="400">
        <v>38148895.329999998</v>
      </c>
      <c r="G406" s="400">
        <f t="shared" si="6"/>
        <v>99.451622058464068</v>
      </c>
    </row>
    <row r="407" spans="1:7">
      <c r="A407" s="329" t="s">
        <v>4</v>
      </c>
      <c r="B407" s="330" t="s">
        <v>1349</v>
      </c>
      <c r="C407" s="330" t="s">
        <v>165</v>
      </c>
      <c r="D407" s="330" t="s">
        <v>509</v>
      </c>
      <c r="E407" s="371">
        <v>38359248.990000002</v>
      </c>
      <c r="F407" s="400">
        <v>38148895.329999998</v>
      </c>
      <c r="G407" s="400">
        <f t="shared" si="6"/>
        <v>99.451622058464068</v>
      </c>
    </row>
    <row r="408" spans="1:7" ht="25.5">
      <c r="A408" s="329" t="s">
        <v>1755</v>
      </c>
      <c r="B408" s="330" t="s">
        <v>1349</v>
      </c>
      <c r="C408" s="330" t="s">
        <v>1756</v>
      </c>
      <c r="D408" s="330" t="s">
        <v>1468</v>
      </c>
      <c r="E408" s="371">
        <v>3941112.01</v>
      </c>
      <c r="F408" s="400">
        <v>3629592.04</v>
      </c>
      <c r="G408" s="400">
        <f t="shared" si="6"/>
        <v>92.095632673987367</v>
      </c>
    </row>
    <row r="409" spans="1:7" ht="25.5">
      <c r="A409" s="329" t="s">
        <v>1502</v>
      </c>
      <c r="B409" s="330" t="s">
        <v>1349</v>
      </c>
      <c r="C409" s="330" t="s">
        <v>1503</v>
      </c>
      <c r="D409" s="330" t="s">
        <v>1468</v>
      </c>
      <c r="E409" s="371">
        <v>3941112.01</v>
      </c>
      <c r="F409" s="400">
        <v>3629592.04</v>
      </c>
      <c r="G409" s="400">
        <f t="shared" si="6"/>
        <v>92.095632673987367</v>
      </c>
    </row>
    <row r="410" spans="1:7">
      <c r="A410" s="329" t="s">
        <v>173</v>
      </c>
      <c r="B410" s="330" t="s">
        <v>1349</v>
      </c>
      <c r="C410" s="330" t="s">
        <v>1503</v>
      </c>
      <c r="D410" s="330" t="s">
        <v>1364</v>
      </c>
      <c r="E410" s="371">
        <v>3941112.01</v>
      </c>
      <c r="F410" s="400">
        <v>3629592.04</v>
      </c>
      <c r="G410" s="400">
        <f t="shared" si="6"/>
        <v>92.095632673987367</v>
      </c>
    </row>
    <row r="411" spans="1:7">
      <c r="A411" s="329" t="s">
        <v>4</v>
      </c>
      <c r="B411" s="330" t="s">
        <v>1349</v>
      </c>
      <c r="C411" s="330" t="s">
        <v>1503</v>
      </c>
      <c r="D411" s="330" t="s">
        <v>509</v>
      </c>
      <c r="E411" s="371">
        <v>3941112.01</v>
      </c>
      <c r="F411" s="400">
        <v>3629592.04</v>
      </c>
      <c r="G411" s="400">
        <f t="shared" si="6"/>
        <v>92.095632673987367</v>
      </c>
    </row>
    <row r="412" spans="1:7">
      <c r="A412" s="329" t="s">
        <v>1757</v>
      </c>
      <c r="B412" s="330" t="s">
        <v>1349</v>
      </c>
      <c r="C412" s="330" t="s">
        <v>1758</v>
      </c>
      <c r="D412" s="330" t="s">
        <v>1468</v>
      </c>
      <c r="E412" s="371">
        <v>4221.1899999999996</v>
      </c>
      <c r="F412" s="400">
        <v>3721.19</v>
      </c>
      <c r="G412" s="400">
        <f t="shared" si="6"/>
        <v>88.154998945794915</v>
      </c>
    </row>
    <row r="413" spans="1:7">
      <c r="A413" s="329" t="s">
        <v>1507</v>
      </c>
      <c r="B413" s="330" t="s">
        <v>1349</v>
      </c>
      <c r="C413" s="330" t="s">
        <v>1508</v>
      </c>
      <c r="D413" s="330" t="s">
        <v>1468</v>
      </c>
      <c r="E413" s="371">
        <v>4221.1899999999996</v>
      </c>
      <c r="F413" s="400">
        <v>3721.19</v>
      </c>
      <c r="G413" s="400">
        <f t="shared" si="6"/>
        <v>88.154998945794915</v>
      </c>
    </row>
    <row r="414" spans="1:7">
      <c r="A414" s="329" t="s">
        <v>173</v>
      </c>
      <c r="B414" s="330" t="s">
        <v>1349</v>
      </c>
      <c r="C414" s="330" t="s">
        <v>1508</v>
      </c>
      <c r="D414" s="330" t="s">
        <v>1364</v>
      </c>
      <c r="E414" s="371">
        <v>4221.1899999999996</v>
      </c>
      <c r="F414" s="400">
        <v>3721.19</v>
      </c>
      <c r="G414" s="400">
        <f t="shared" si="6"/>
        <v>88.154998945794915</v>
      </c>
    </row>
    <row r="415" spans="1:7">
      <c r="A415" s="329" t="s">
        <v>4</v>
      </c>
      <c r="B415" s="330" t="s">
        <v>1349</v>
      </c>
      <c r="C415" s="330" t="s">
        <v>1508</v>
      </c>
      <c r="D415" s="330" t="s">
        <v>509</v>
      </c>
      <c r="E415" s="371">
        <v>4221.1899999999996</v>
      </c>
      <c r="F415" s="400">
        <v>3721.19</v>
      </c>
      <c r="G415" s="400">
        <f t="shared" si="6"/>
        <v>88.154998945794915</v>
      </c>
    </row>
    <row r="416" spans="1:7" ht="89.25">
      <c r="A416" s="329" t="s">
        <v>720</v>
      </c>
      <c r="B416" s="330" t="s">
        <v>1355</v>
      </c>
      <c r="C416" s="330" t="s">
        <v>1468</v>
      </c>
      <c r="D416" s="330" t="s">
        <v>1468</v>
      </c>
      <c r="E416" s="371">
        <v>782598.03</v>
      </c>
      <c r="F416" s="400">
        <v>764684.51</v>
      </c>
      <c r="G416" s="400">
        <f t="shared" si="6"/>
        <v>97.711019027226527</v>
      </c>
    </row>
    <row r="417" spans="1:7" ht="63.75">
      <c r="A417" s="329" t="s">
        <v>1754</v>
      </c>
      <c r="B417" s="330" t="s">
        <v>1355</v>
      </c>
      <c r="C417" s="330" t="s">
        <v>322</v>
      </c>
      <c r="D417" s="330" t="s">
        <v>1468</v>
      </c>
      <c r="E417" s="371">
        <v>782598.03</v>
      </c>
      <c r="F417" s="400">
        <v>764684.51</v>
      </c>
      <c r="G417" s="400">
        <f t="shared" si="6"/>
        <v>97.711019027226527</v>
      </c>
    </row>
    <row r="418" spans="1:7">
      <c r="A418" s="329" t="s">
        <v>1487</v>
      </c>
      <c r="B418" s="330" t="s">
        <v>1355</v>
      </c>
      <c r="C418" s="330" t="s">
        <v>165</v>
      </c>
      <c r="D418" s="330" t="s">
        <v>1468</v>
      </c>
      <c r="E418" s="371">
        <v>782598.03</v>
      </c>
      <c r="F418" s="400">
        <v>764684.51</v>
      </c>
      <c r="G418" s="400">
        <f t="shared" si="6"/>
        <v>97.711019027226527</v>
      </c>
    </row>
    <row r="419" spans="1:7">
      <c r="A419" s="329" t="s">
        <v>173</v>
      </c>
      <c r="B419" s="330" t="s">
        <v>1355</v>
      </c>
      <c r="C419" s="330" t="s">
        <v>165</v>
      </c>
      <c r="D419" s="330" t="s">
        <v>1364</v>
      </c>
      <c r="E419" s="371">
        <v>782598.03</v>
      </c>
      <c r="F419" s="400">
        <v>764684.51</v>
      </c>
      <c r="G419" s="400">
        <f t="shared" si="6"/>
        <v>97.711019027226527</v>
      </c>
    </row>
    <row r="420" spans="1:7">
      <c r="A420" s="329" t="s">
        <v>4</v>
      </c>
      <c r="B420" s="330" t="s">
        <v>1355</v>
      </c>
      <c r="C420" s="330" t="s">
        <v>165</v>
      </c>
      <c r="D420" s="330" t="s">
        <v>509</v>
      </c>
      <c r="E420" s="371">
        <v>782598.03</v>
      </c>
      <c r="F420" s="400">
        <v>764684.51</v>
      </c>
      <c r="G420" s="400">
        <f t="shared" si="6"/>
        <v>97.711019027226527</v>
      </c>
    </row>
    <row r="421" spans="1:7" ht="102">
      <c r="A421" s="329" t="s">
        <v>732</v>
      </c>
      <c r="B421" s="330" t="s">
        <v>1350</v>
      </c>
      <c r="C421" s="330" t="s">
        <v>1468</v>
      </c>
      <c r="D421" s="330" t="s">
        <v>1468</v>
      </c>
      <c r="E421" s="371">
        <v>20166303</v>
      </c>
      <c r="F421" s="398">
        <v>20166303</v>
      </c>
      <c r="G421" s="400">
        <f t="shared" si="6"/>
        <v>100</v>
      </c>
    </row>
    <row r="422" spans="1:7" ht="63.75">
      <c r="A422" s="329" t="s">
        <v>1754</v>
      </c>
      <c r="B422" s="330" t="s">
        <v>1350</v>
      </c>
      <c r="C422" s="330" t="s">
        <v>322</v>
      </c>
      <c r="D422" s="330" t="s">
        <v>1468</v>
      </c>
      <c r="E422" s="371">
        <v>20166303</v>
      </c>
      <c r="F422" s="398">
        <v>20166303</v>
      </c>
      <c r="G422" s="400">
        <f t="shared" si="6"/>
        <v>100</v>
      </c>
    </row>
    <row r="423" spans="1:7">
      <c r="A423" s="329" t="s">
        <v>1487</v>
      </c>
      <c r="B423" s="330" t="s">
        <v>1350</v>
      </c>
      <c r="C423" s="330" t="s">
        <v>165</v>
      </c>
      <c r="D423" s="330" t="s">
        <v>1468</v>
      </c>
      <c r="E423" s="371">
        <v>20166303</v>
      </c>
      <c r="F423" s="398">
        <v>20166303</v>
      </c>
      <c r="G423" s="400">
        <f t="shared" si="6"/>
        <v>100</v>
      </c>
    </row>
    <row r="424" spans="1:7">
      <c r="A424" s="329" t="s">
        <v>173</v>
      </c>
      <c r="B424" s="330" t="s">
        <v>1350</v>
      </c>
      <c r="C424" s="330" t="s">
        <v>165</v>
      </c>
      <c r="D424" s="330" t="s">
        <v>1364</v>
      </c>
      <c r="E424" s="371">
        <v>20166303</v>
      </c>
      <c r="F424" s="398">
        <v>20166303</v>
      </c>
      <c r="G424" s="400">
        <f t="shared" si="6"/>
        <v>100</v>
      </c>
    </row>
    <row r="425" spans="1:7">
      <c r="A425" s="329" t="s">
        <v>4</v>
      </c>
      <c r="B425" s="330" t="s">
        <v>1350</v>
      </c>
      <c r="C425" s="330" t="s">
        <v>165</v>
      </c>
      <c r="D425" s="330" t="s">
        <v>509</v>
      </c>
      <c r="E425" s="371">
        <v>20166303</v>
      </c>
      <c r="F425" s="398">
        <v>20166303</v>
      </c>
      <c r="G425" s="400">
        <f t="shared" si="6"/>
        <v>100</v>
      </c>
    </row>
    <row r="426" spans="1:7" ht="89.25">
      <c r="A426" s="329" t="s">
        <v>721</v>
      </c>
      <c r="B426" s="330" t="s">
        <v>1351</v>
      </c>
      <c r="C426" s="330" t="s">
        <v>1468</v>
      </c>
      <c r="D426" s="330" t="s">
        <v>1468</v>
      </c>
      <c r="E426" s="371">
        <v>376984.08</v>
      </c>
      <c r="F426" s="398">
        <v>376984.08</v>
      </c>
      <c r="G426" s="400">
        <f t="shared" si="6"/>
        <v>100</v>
      </c>
    </row>
    <row r="427" spans="1:7" ht="63.75">
      <c r="A427" s="329" t="s">
        <v>1754</v>
      </c>
      <c r="B427" s="330" t="s">
        <v>1351</v>
      </c>
      <c r="C427" s="330" t="s">
        <v>322</v>
      </c>
      <c r="D427" s="330" t="s">
        <v>1468</v>
      </c>
      <c r="E427" s="371">
        <v>376984.08</v>
      </c>
      <c r="F427" s="398">
        <v>376984.08</v>
      </c>
      <c r="G427" s="400">
        <f t="shared" si="6"/>
        <v>100</v>
      </c>
    </row>
    <row r="428" spans="1:7">
      <c r="A428" s="329" t="s">
        <v>1487</v>
      </c>
      <c r="B428" s="330" t="s">
        <v>1351</v>
      </c>
      <c r="C428" s="330" t="s">
        <v>165</v>
      </c>
      <c r="D428" s="330" t="s">
        <v>1468</v>
      </c>
      <c r="E428" s="371">
        <v>376984.08</v>
      </c>
      <c r="F428" s="398">
        <v>376984.08</v>
      </c>
      <c r="G428" s="400">
        <f t="shared" si="6"/>
        <v>100</v>
      </c>
    </row>
    <row r="429" spans="1:7">
      <c r="A429" s="329" t="s">
        <v>173</v>
      </c>
      <c r="B429" s="330" t="s">
        <v>1351</v>
      </c>
      <c r="C429" s="330" t="s">
        <v>165</v>
      </c>
      <c r="D429" s="330" t="s">
        <v>1364</v>
      </c>
      <c r="E429" s="371">
        <v>376984.08</v>
      </c>
      <c r="F429" s="398">
        <v>376984.08</v>
      </c>
      <c r="G429" s="400">
        <f t="shared" si="6"/>
        <v>100</v>
      </c>
    </row>
    <row r="430" spans="1:7">
      <c r="A430" s="329" t="s">
        <v>4</v>
      </c>
      <c r="B430" s="330" t="s">
        <v>1351</v>
      </c>
      <c r="C430" s="330" t="s">
        <v>165</v>
      </c>
      <c r="D430" s="330" t="s">
        <v>509</v>
      </c>
      <c r="E430" s="371">
        <v>376984.08</v>
      </c>
      <c r="F430" s="398">
        <v>376984.08</v>
      </c>
      <c r="G430" s="400">
        <f t="shared" si="6"/>
        <v>100</v>
      </c>
    </row>
    <row r="431" spans="1:7" ht="76.5">
      <c r="A431" s="329" t="s">
        <v>722</v>
      </c>
      <c r="B431" s="330" t="s">
        <v>1352</v>
      </c>
      <c r="C431" s="330" t="s">
        <v>1468</v>
      </c>
      <c r="D431" s="330" t="s">
        <v>1468</v>
      </c>
      <c r="E431" s="371">
        <v>395778.91</v>
      </c>
      <c r="F431" s="400">
        <v>212914.24</v>
      </c>
      <c r="G431" s="400">
        <f t="shared" si="6"/>
        <v>53.79625710728245</v>
      </c>
    </row>
    <row r="432" spans="1:7" ht="25.5">
      <c r="A432" s="329" t="s">
        <v>1755</v>
      </c>
      <c r="B432" s="330" t="s">
        <v>1352</v>
      </c>
      <c r="C432" s="330" t="s">
        <v>1756</v>
      </c>
      <c r="D432" s="330" t="s">
        <v>1468</v>
      </c>
      <c r="E432" s="371">
        <v>395778.91</v>
      </c>
      <c r="F432" s="400">
        <v>212914.24</v>
      </c>
      <c r="G432" s="400">
        <f t="shared" si="6"/>
        <v>53.79625710728245</v>
      </c>
    </row>
    <row r="433" spans="1:7" ht="25.5">
      <c r="A433" s="329" t="s">
        <v>1502</v>
      </c>
      <c r="B433" s="330" t="s">
        <v>1352</v>
      </c>
      <c r="C433" s="330" t="s">
        <v>1503</v>
      </c>
      <c r="D433" s="330" t="s">
        <v>1468</v>
      </c>
      <c r="E433" s="371">
        <v>395778.91</v>
      </c>
      <c r="F433" s="400">
        <v>212914.24</v>
      </c>
      <c r="G433" s="400">
        <f t="shared" si="6"/>
        <v>53.79625710728245</v>
      </c>
    </row>
    <row r="434" spans="1:7">
      <c r="A434" s="329" t="s">
        <v>173</v>
      </c>
      <c r="B434" s="330" t="s">
        <v>1352</v>
      </c>
      <c r="C434" s="330" t="s">
        <v>1503</v>
      </c>
      <c r="D434" s="330" t="s">
        <v>1364</v>
      </c>
      <c r="E434" s="371">
        <v>395778.91</v>
      </c>
      <c r="F434" s="400">
        <v>212914.24</v>
      </c>
      <c r="G434" s="400">
        <f t="shared" si="6"/>
        <v>53.79625710728245</v>
      </c>
    </row>
    <row r="435" spans="1:7">
      <c r="A435" s="329" t="s">
        <v>4</v>
      </c>
      <c r="B435" s="330" t="s">
        <v>1352</v>
      </c>
      <c r="C435" s="330" t="s">
        <v>1503</v>
      </c>
      <c r="D435" s="330" t="s">
        <v>509</v>
      </c>
      <c r="E435" s="371">
        <v>395778.91</v>
      </c>
      <c r="F435" s="400">
        <v>212914.24</v>
      </c>
      <c r="G435" s="400">
        <f t="shared" si="6"/>
        <v>53.79625710728245</v>
      </c>
    </row>
    <row r="436" spans="1:7" ht="76.5">
      <c r="A436" s="329" t="s">
        <v>1943</v>
      </c>
      <c r="B436" s="330" t="s">
        <v>1944</v>
      </c>
      <c r="C436" s="330" t="s">
        <v>1468</v>
      </c>
      <c r="D436" s="330" t="s">
        <v>1468</v>
      </c>
      <c r="E436" s="371">
        <v>2159050</v>
      </c>
      <c r="F436" s="400">
        <v>270792.8</v>
      </c>
      <c r="G436" s="400">
        <f t="shared" si="6"/>
        <v>12.542219957851833</v>
      </c>
    </row>
    <row r="437" spans="1:7" ht="25.5">
      <c r="A437" s="329" t="s">
        <v>1755</v>
      </c>
      <c r="B437" s="330" t="s">
        <v>1944</v>
      </c>
      <c r="C437" s="330" t="s">
        <v>1756</v>
      </c>
      <c r="D437" s="330" t="s">
        <v>1468</v>
      </c>
      <c r="E437" s="371">
        <v>2159050</v>
      </c>
      <c r="F437" s="400">
        <v>270792.8</v>
      </c>
      <c r="G437" s="400">
        <f t="shared" si="6"/>
        <v>12.542219957851833</v>
      </c>
    </row>
    <row r="438" spans="1:7" ht="25.5">
      <c r="A438" s="329" t="s">
        <v>1502</v>
      </c>
      <c r="B438" s="330" t="s">
        <v>1944</v>
      </c>
      <c r="C438" s="330" t="s">
        <v>1503</v>
      </c>
      <c r="D438" s="330" t="s">
        <v>1468</v>
      </c>
      <c r="E438" s="371">
        <v>2159050</v>
      </c>
      <c r="F438" s="400">
        <v>270792.8</v>
      </c>
      <c r="G438" s="400">
        <f t="shared" si="6"/>
        <v>12.542219957851833</v>
      </c>
    </row>
    <row r="439" spans="1:7">
      <c r="A439" s="329" t="s">
        <v>173</v>
      </c>
      <c r="B439" s="330" t="s">
        <v>1944</v>
      </c>
      <c r="C439" s="330" t="s">
        <v>1503</v>
      </c>
      <c r="D439" s="330" t="s">
        <v>1364</v>
      </c>
      <c r="E439" s="371">
        <v>2159050</v>
      </c>
      <c r="F439" s="400">
        <v>270792.8</v>
      </c>
      <c r="G439" s="400">
        <f t="shared" si="6"/>
        <v>12.542219957851833</v>
      </c>
    </row>
    <row r="440" spans="1:7">
      <c r="A440" s="329" t="s">
        <v>4</v>
      </c>
      <c r="B440" s="330" t="s">
        <v>1944</v>
      </c>
      <c r="C440" s="330" t="s">
        <v>1503</v>
      </c>
      <c r="D440" s="330" t="s">
        <v>509</v>
      </c>
      <c r="E440" s="371">
        <v>2159050</v>
      </c>
      <c r="F440" s="400">
        <v>270792.8</v>
      </c>
      <c r="G440" s="400">
        <f t="shared" si="6"/>
        <v>12.542219957851833</v>
      </c>
    </row>
    <row r="441" spans="1:7" ht="63.75">
      <c r="A441" s="329" t="s">
        <v>1102</v>
      </c>
      <c r="B441" s="330" t="s">
        <v>1376</v>
      </c>
      <c r="C441" s="330" t="s">
        <v>1468</v>
      </c>
      <c r="D441" s="330" t="s">
        <v>1468</v>
      </c>
      <c r="E441" s="371">
        <v>1316199.47</v>
      </c>
      <c r="F441" s="400">
        <v>1260313.5900000001</v>
      </c>
      <c r="G441" s="400">
        <f t="shared" si="6"/>
        <v>95.753996162906844</v>
      </c>
    </row>
    <row r="442" spans="1:7" ht="25.5">
      <c r="A442" s="329" t="s">
        <v>1755</v>
      </c>
      <c r="B442" s="330" t="s">
        <v>1376</v>
      </c>
      <c r="C442" s="330" t="s">
        <v>1756</v>
      </c>
      <c r="D442" s="330" t="s">
        <v>1468</v>
      </c>
      <c r="E442" s="371">
        <v>1316199.47</v>
      </c>
      <c r="F442" s="400">
        <v>1260313.5900000001</v>
      </c>
      <c r="G442" s="400">
        <f t="shared" si="6"/>
        <v>95.753996162906844</v>
      </c>
    </row>
    <row r="443" spans="1:7" ht="25.5">
      <c r="A443" s="329" t="s">
        <v>1502</v>
      </c>
      <c r="B443" s="330" t="s">
        <v>1376</v>
      </c>
      <c r="C443" s="330" t="s">
        <v>1503</v>
      </c>
      <c r="D443" s="330" t="s">
        <v>1468</v>
      </c>
      <c r="E443" s="371">
        <v>1316199.47</v>
      </c>
      <c r="F443" s="400">
        <v>1260313.5900000001</v>
      </c>
      <c r="G443" s="400">
        <f t="shared" si="6"/>
        <v>95.753996162906844</v>
      </c>
    </row>
    <row r="444" spans="1:7">
      <c r="A444" s="329" t="s">
        <v>173</v>
      </c>
      <c r="B444" s="330" t="s">
        <v>1376</v>
      </c>
      <c r="C444" s="330" t="s">
        <v>1503</v>
      </c>
      <c r="D444" s="330" t="s">
        <v>1364</v>
      </c>
      <c r="E444" s="371">
        <v>1316199.47</v>
      </c>
      <c r="F444" s="400">
        <v>1260313.5900000001</v>
      </c>
      <c r="G444" s="400">
        <f t="shared" si="6"/>
        <v>95.753996162906844</v>
      </c>
    </row>
    <row r="445" spans="1:7">
      <c r="A445" s="329" t="s">
        <v>4</v>
      </c>
      <c r="B445" s="330" t="s">
        <v>1376</v>
      </c>
      <c r="C445" s="330" t="s">
        <v>1503</v>
      </c>
      <c r="D445" s="330" t="s">
        <v>509</v>
      </c>
      <c r="E445" s="371">
        <v>1316199.47</v>
      </c>
      <c r="F445" s="400">
        <v>1260313.5900000001</v>
      </c>
      <c r="G445" s="400">
        <f t="shared" si="6"/>
        <v>95.753996162906844</v>
      </c>
    </row>
    <row r="446" spans="1:7" ht="76.5">
      <c r="A446" s="329" t="s">
        <v>723</v>
      </c>
      <c r="B446" s="330" t="s">
        <v>1353</v>
      </c>
      <c r="C446" s="330" t="s">
        <v>1468</v>
      </c>
      <c r="D446" s="330" t="s">
        <v>1468</v>
      </c>
      <c r="E446" s="371">
        <v>5788723.8200000003</v>
      </c>
      <c r="F446" s="400">
        <v>5655673.7999999998</v>
      </c>
      <c r="G446" s="400">
        <f t="shared" si="6"/>
        <v>97.701565593087835</v>
      </c>
    </row>
    <row r="447" spans="1:7" ht="63.75">
      <c r="A447" s="329" t="s">
        <v>1754</v>
      </c>
      <c r="B447" s="330" t="s">
        <v>1353</v>
      </c>
      <c r="C447" s="330" t="s">
        <v>322</v>
      </c>
      <c r="D447" s="330" t="s">
        <v>1468</v>
      </c>
      <c r="E447" s="371">
        <v>5351126</v>
      </c>
      <c r="F447" s="400">
        <v>5283270.34</v>
      </c>
      <c r="G447" s="400">
        <f t="shared" si="6"/>
        <v>98.731936792368558</v>
      </c>
    </row>
    <row r="448" spans="1:7" ht="25.5">
      <c r="A448" s="329" t="s">
        <v>1509</v>
      </c>
      <c r="B448" s="330" t="s">
        <v>1353</v>
      </c>
      <c r="C448" s="330" t="s">
        <v>37</v>
      </c>
      <c r="D448" s="330" t="s">
        <v>1468</v>
      </c>
      <c r="E448" s="371">
        <v>5351126</v>
      </c>
      <c r="F448" s="400">
        <v>5283270.34</v>
      </c>
      <c r="G448" s="400">
        <f t="shared" si="6"/>
        <v>98.731936792368558</v>
      </c>
    </row>
    <row r="449" spans="1:7">
      <c r="A449" s="329" t="s">
        <v>173</v>
      </c>
      <c r="B449" s="330" t="s">
        <v>1353</v>
      </c>
      <c r="C449" s="330" t="s">
        <v>37</v>
      </c>
      <c r="D449" s="330" t="s">
        <v>1364</v>
      </c>
      <c r="E449" s="371">
        <v>5351126</v>
      </c>
      <c r="F449" s="400">
        <v>5283270.34</v>
      </c>
      <c r="G449" s="400">
        <f t="shared" si="6"/>
        <v>98.731936792368558</v>
      </c>
    </row>
    <row r="450" spans="1:7">
      <c r="A450" s="329" t="s">
        <v>4</v>
      </c>
      <c r="B450" s="330" t="s">
        <v>1353</v>
      </c>
      <c r="C450" s="330" t="s">
        <v>37</v>
      </c>
      <c r="D450" s="330" t="s">
        <v>509</v>
      </c>
      <c r="E450" s="371">
        <v>5351126</v>
      </c>
      <c r="F450" s="400">
        <v>5283270.34</v>
      </c>
      <c r="G450" s="400">
        <f t="shared" si="6"/>
        <v>98.731936792368558</v>
      </c>
    </row>
    <row r="451" spans="1:7" ht="25.5">
      <c r="A451" s="329" t="s">
        <v>1755</v>
      </c>
      <c r="B451" s="330" t="s">
        <v>1353</v>
      </c>
      <c r="C451" s="330" t="s">
        <v>1756</v>
      </c>
      <c r="D451" s="330" t="s">
        <v>1468</v>
      </c>
      <c r="E451" s="371">
        <v>434972.82</v>
      </c>
      <c r="F451" s="400">
        <v>369778.46</v>
      </c>
      <c r="G451" s="400">
        <f t="shared" si="6"/>
        <v>85.011854303908009</v>
      </c>
    </row>
    <row r="452" spans="1:7" ht="25.5">
      <c r="A452" s="329" t="s">
        <v>1502</v>
      </c>
      <c r="B452" s="330" t="s">
        <v>1353</v>
      </c>
      <c r="C452" s="330" t="s">
        <v>1503</v>
      </c>
      <c r="D452" s="330" t="s">
        <v>1468</v>
      </c>
      <c r="E452" s="371">
        <v>434972.82</v>
      </c>
      <c r="F452" s="400">
        <v>369778.46</v>
      </c>
      <c r="G452" s="400">
        <f t="shared" si="6"/>
        <v>85.011854303908009</v>
      </c>
    </row>
    <row r="453" spans="1:7">
      <c r="A453" s="329" t="s">
        <v>173</v>
      </c>
      <c r="B453" s="330" t="s">
        <v>1353</v>
      </c>
      <c r="C453" s="330" t="s">
        <v>1503</v>
      </c>
      <c r="D453" s="330" t="s">
        <v>1364</v>
      </c>
      <c r="E453" s="371">
        <v>434972.82</v>
      </c>
      <c r="F453" s="400">
        <v>369778.46</v>
      </c>
      <c r="G453" s="400">
        <f t="shared" si="6"/>
        <v>85.011854303908009</v>
      </c>
    </row>
    <row r="454" spans="1:7">
      <c r="A454" s="329" t="s">
        <v>4</v>
      </c>
      <c r="B454" s="330" t="s">
        <v>1353</v>
      </c>
      <c r="C454" s="330" t="s">
        <v>1503</v>
      </c>
      <c r="D454" s="330" t="s">
        <v>509</v>
      </c>
      <c r="E454" s="371">
        <v>434972.82</v>
      </c>
      <c r="F454" s="400">
        <v>369778.46</v>
      </c>
      <c r="G454" s="400">
        <f t="shared" si="6"/>
        <v>85.011854303908009</v>
      </c>
    </row>
    <row r="455" spans="1:7">
      <c r="A455" s="329" t="s">
        <v>1757</v>
      </c>
      <c r="B455" s="330" t="s">
        <v>1353</v>
      </c>
      <c r="C455" s="330" t="s">
        <v>1758</v>
      </c>
      <c r="D455" s="330" t="s">
        <v>1468</v>
      </c>
      <c r="E455" s="371">
        <v>2625</v>
      </c>
      <c r="F455" s="398">
        <v>2625</v>
      </c>
      <c r="G455" s="400">
        <f t="shared" si="6"/>
        <v>100</v>
      </c>
    </row>
    <row r="456" spans="1:7">
      <c r="A456" s="329" t="s">
        <v>1507</v>
      </c>
      <c r="B456" s="330" t="s">
        <v>1353</v>
      </c>
      <c r="C456" s="330" t="s">
        <v>1508</v>
      </c>
      <c r="D456" s="330" t="s">
        <v>1468</v>
      </c>
      <c r="E456" s="371">
        <v>2625</v>
      </c>
      <c r="F456" s="398">
        <v>2625</v>
      </c>
      <c r="G456" s="400">
        <f t="shared" si="6"/>
        <v>100</v>
      </c>
    </row>
    <row r="457" spans="1:7">
      <c r="A457" s="329" t="s">
        <v>173</v>
      </c>
      <c r="B457" s="330" t="s">
        <v>1353</v>
      </c>
      <c r="C457" s="330" t="s">
        <v>1508</v>
      </c>
      <c r="D457" s="330" t="s">
        <v>1364</v>
      </c>
      <c r="E457" s="371">
        <v>2625</v>
      </c>
      <c r="F457" s="398">
        <v>2625</v>
      </c>
      <c r="G457" s="400">
        <f t="shared" ref="G457:G520" si="7">F457/E457*100</f>
        <v>100</v>
      </c>
    </row>
    <row r="458" spans="1:7">
      <c r="A458" s="329" t="s">
        <v>4</v>
      </c>
      <c r="B458" s="330" t="s">
        <v>1353</v>
      </c>
      <c r="C458" s="330" t="s">
        <v>1508</v>
      </c>
      <c r="D458" s="330" t="s">
        <v>509</v>
      </c>
      <c r="E458" s="371">
        <v>2625</v>
      </c>
      <c r="F458" s="398">
        <v>2625</v>
      </c>
      <c r="G458" s="400">
        <f t="shared" si="7"/>
        <v>100</v>
      </c>
    </row>
    <row r="459" spans="1:7" ht="102">
      <c r="A459" s="329" t="s">
        <v>724</v>
      </c>
      <c r="B459" s="330" t="s">
        <v>1354</v>
      </c>
      <c r="C459" s="330" t="s">
        <v>1468</v>
      </c>
      <c r="D459" s="330" t="s">
        <v>1468</v>
      </c>
      <c r="E459" s="371">
        <v>146406</v>
      </c>
      <c r="F459" s="400">
        <v>146321.49</v>
      </c>
      <c r="G459" s="400">
        <f t="shared" si="7"/>
        <v>99.942276955862468</v>
      </c>
    </row>
    <row r="460" spans="1:7" ht="63.75">
      <c r="A460" s="329" t="s">
        <v>1754</v>
      </c>
      <c r="B460" s="330" t="s">
        <v>1354</v>
      </c>
      <c r="C460" s="330" t="s">
        <v>322</v>
      </c>
      <c r="D460" s="330" t="s">
        <v>1468</v>
      </c>
      <c r="E460" s="371">
        <v>146406</v>
      </c>
      <c r="F460" s="400">
        <v>146321.49</v>
      </c>
      <c r="G460" s="400">
        <f t="shared" si="7"/>
        <v>99.942276955862468</v>
      </c>
    </row>
    <row r="461" spans="1:7" ht="25.5">
      <c r="A461" s="329" t="s">
        <v>1509</v>
      </c>
      <c r="B461" s="330" t="s">
        <v>1354</v>
      </c>
      <c r="C461" s="330" t="s">
        <v>37</v>
      </c>
      <c r="D461" s="330" t="s">
        <v>1468</v>
      </c>
      <c r="E461" s="371">
        <v>146406</v>
      </c>
      <c r="F461" s="400">
        <v>146321.49</v>
      </c>
      <c r="G461" s="400">
        <f t="shared" si="7"/>
        <v>99.942276955862468</v>
      </c>
    </row>
    <row r="462" spans="1:7">
      <c r="A462" s="329" t="s">
        <v>173</v>
      </c>
      <c r="B462" s="330" t="s">
        <v>1354</v>
      </c>
      <c r="C462" s="330" t="s">
        <v>37</v>
      </c>
      <c r="D462" s="330" t="s">
        <v>1364</v>
      </c>
      <c r="E462" s="371">
        <v>146406</v>
      </c>
      <c r="F462" s="400">
        <v>146321.49</v>
      </c>
      <c r="G462" s="400">
        <f t="shared" si="7"/>
        <v>99.942276955862468</v>
      </c>
    </row>
    <row r="463" spans="1:7">
      <c r="A463" s="329" t="s">
        <v>4</v>
      </c>
      <c r="B463" s="330" t="s">
        <v>1354</v>
      </c>
      <c r="C463" s="330" t="s">
        <v>37</v>
      </c>
      <c r="D463" s="330" t="s">
        <v>509</v>
      </c>
      <c r="E463" s="371">
        <v>146406</v>
      </c>
      <c r="F463" s="400">
        <v>146321.49</v>
      </c>
      <c r="G463" s="400">
        <f t="shared" si="7"/>
        <v>99.942276955862468</v>
      </c>
    </row>
    <row r="464" spans="1:7" ht="76.5">
      <c r="A464" s="329" t="s">
        <v>2049</v>
      </c>
      <c r="B464" s="330" t="s">
        <v>2050</v>
      </c>
      <c r="C464" s="330" t="s">
        <v>1468</v>
      </c>
      <c r="D464" s="330" t="s">
        <v>1468</v>
      </c>
      <c r="E464" s="371">
        <v>50816</v>
      </c>
      <c r="F464" s="398">
        <v>50816</v>
      </c>
      <c r="G464" s="400">
        <f t="shared" si="7"/>
        <v>100</v>
      </c>
    </row>
    <row r="465" spans="1:7" ht="25.5">
      <c r="A465" s="329" t="s">
        <v>1755</v>
      </c>
      <c r="B465" s="330" t="s">
        <v>2050</v>
      </c>
      <c r="C465" s="330" t="s">
        <v>1756</v>
      </c>
      <c r="D465" s="330" t="s">
        <v>1468</v>
      </c>
      <c r="E465" s="371">
        <v>50816</v>
      </c>
      <c r="F465" s="398">
        <v>50816</v>
      </c>
      <c r="G465" s="400">
        <f t="shared" si="7"/>
        <v>100</v>
      </c>
    </row>
    <row r="466" spans="1:7" ht="25.5">
      <c r="A466" s="329" t="s">
        <v>1502</v>
      </c>
      <c r="B466" s="330" t="s">
        <v>2050</v>
      </c>
      <c r="C466" s="330" t="s">
        <v>1503</v>
      </c>
      <c r="D466" s="330" t="s">
        <v>1468</v>
      </c>
      <c r="E466" s="371">
        <v>50816</v>
      </c>
      <c r="F466" s="398">
        <v>50816</v>
      </c>
      <c r="G466" s="400">
        <f t="shared" si="7"/>
        <v>100</v>
      </c>
    </row>
    <row r="467" spans="1:7">
      <c r="A467" s="329" t="s">
        <v>173</v>
      </c>
      <c r="B467" s="330" t="s">
        <v>2050</v>
      </c>
      <c r="C467" s="330" t="s">
        <v>1503</v>
      </c>
      <c r="D467" s="330" t="s">
        <v>1364</v>
      </c>
      <c r="E467" s="371">
        <v>50816</v>
      </c>
      <c r="F467" s="398">
        <v>50816</v>
      </c>
      <c r="G467" s="400">
        <f t="shared" si="7"/>
        <v>100</v>
      </c>
    </row>
    <row r="468" spans="1:7">
      <c r="A468" s="329" t="s">
        <v>4</v>
      </c>
      <c r="B468" s="330" t="s">
        <v>2050</v>
      </c>
      <c r="C468" s="330" t="s">
        <v>1503</v>
      </c>
      <c r="D468" s="330" t="s">
        <v>509</v>
      </c>
      <c r="E468" s="371">
        <v>50816</v>
      </c>
      <c r="F468" s="398">
        <v>50816</v>
      </c>
      <c r="G468" s="400">
        <f t="shared" si="7"/>
        <v>100</v>
      </c>
    </row>
    <row r="469" spans="1:7" ht="76.5">
      <c r="A469" s="329" t="s">
        <v>717</v>
      </c>
      <c r="B469" s="330" t="s">
        <v>1347</v>
      </c>
      <c r="C469" s="330" t="s">
        <v>1468</v>
      </c>
      <c r="D469" s="330" t="s">
        <v>1468</v>
      </c>
      <c r="E469" s="371">
        <v>62450</v>
      </c>
      <c r="F469" s="400">
        <v>60330</v>
      </c>
      <c r="G469" s="400">
        <f t="shared" si="7"/>
        <v>96.605284227381901</v>
      </c>
    </row>
    <row r="470" spans="1:7" ht="25.5">
      <c r="A470" s="329" t="s">
        <v>1755</v>
      </c>
      <c r="B470" s="330" t="s">
        <v>1347</v>
      </c>
      <c r="C470" s="330" t="s">
        <v>1756</v>
      </c>
      <c r="D470" s="330" t="s">
        <v>1468</v>
      </c>
      <c r="E470" s="371">
        <v>62450</v>
      </c>
      <c r="F470" s="400">
        <v>60330</v>
      </c>
      <c r="G470" s="400">
        <f t="shared" si="7"/>
        <v>96.605284227381901</v>
      </c>
    </row>
    <row r="471" spans="1:7" ht="25.5">
      <c r="A471" s="329" t="s">
        <v>1502</v>
      </c>
      <c r="B471" s="330" t="s">
        <v>1347</v>
      </c>
      <c r="C471" s="330" t="s">
        <v>1503</v>
      </c>
      <c r="D471" s="330" t="s">
        <v>1468</v>
      </c>
      <c r="E471" s="371">
        <v>62450</v>
      </c>
      <c r="F471" s="400">
        <v>60330</v>
      </c>
      <c r="G471" s="400">
        <f t="shared" si="7"/>
        <v>96.605284227381901</v>
      </c>
    </row>
    <row r="472" spans="1:7">
      <c r="A472" s="329" t="s">
        <v>173</v>
      </c>
      <c r="B472" s="330" t="s">
        <v>1347</v>
      </c>
      <c r="C472" s="330" t="s">
        <v>1503</v>
      </c>
      <c r="D472" s="330" t="s">
        <v>1364</v>
      </c>
      <c r="E472" s="371">
        <v>62450</v>
      </c>
      <c r="F472" s="400">
        <v>60330</v>
      </c>
      <c r="G472" s="400">
        <f t="shared" si="7"/>
        <v>96.605284227381901</v>
      </c>
    </row>
    <row r="473" spans="1:7">
      <c r="A473" s="329" t="s">
        <v>1238</v>
      </c>
      <c r="B473" s="330" t="s">
        <v>1347</v>
      </c>
      <c r="C473" s="330" t="s">
        <v>1503</v>
      </c>
      <c r="D473" s="330" t="s">
        <v>453</v>
      </c>
      <c r="E473" s="371">
        <v>62450</v>
      </c>
      <c r="F473" s="400">
        <v>60330</v>
      </c>
      <c r="G473" s="400">
        <f t="shared" si="7"/>
        <v>96.605284227381901</v>
      </c>
    </row>
    <row r="474" spans="1:7" ht="76.5">
      <c r="A474" s="329" t="s">
        <v>2025</v>
      </c>
      <c r="B474" s="330" t="s">
        <v>2026</v>
      </c>
      <c r="C474" s="330" t="s">
        <v>1468</v>
      </c>
      <c r="D474" s="330" t="s">
        <v>1468</v>
      </c>
      <c r="E474" s="371">
        <v>570000</v>
      </c>
      <c r="F474" s="398">
        <v>570000</v>
      </c>
      <c r="G474" s="400">
        <f t="shared" si="7"/>
        <v>100</v>
      </c>
    </row>
    <row r="475" spans="1:7">
      <c r="A475" s="329" t="s">
        <v>1759</v>
      </c>
      <c r="B475" s="330" t="s">
        <v>2026</v>
      </c>
      <c r="C475" s="330" t="s">
        <v>1760</v>
      </c>
      <c r="D475" s="330" t="s">
        <v>1468</v>
      </c>
      <c r="E475" s="371">
        <v>570000</v>
      </c>
      <c r="F475" s="398">
        <v>570000</v>
      </c>
      <c r="G475" s="400">
        <f t="shared" si="7"/>
        <v>100</v>
      </c>
    </row>
    <row r="476" spans="1:7" ht="25.5">
      <c r="A476" s="329" t="s">
        <v>426</v>
      </c>
      <c r="B476" s="330" t="s">
        <v>2026</v>
      </c>
      <c r="C476" s="330" t="s">
        <v>427</v>
      </c>
      <c r="D476" s="330" t="s">
        <v>1468</v>
      </c>
      <c r="E476" s="371">
        <v>570000</v>
      </c>
      <c r="F476" s="398">
        <v>570000</v>
      </c>
      <c r="G476" s="400">
        <f t="shared" si="7"/>
        <v>100</v>
      </c>
    </row>
    <row r="477" spans="1:7">
      <c r="A477" s="329" t="s">
        <v>173</v>
      </c>
      <c r="B477" s="330" t="s">
        <v>2026</v>
      </c>
      <c r="C477" s="330" t="s">
        <v>427</v>
      </c>
      <c r="D477" s="330" t="s">
        <v>1364</v>
      </c>
      <c r="E477" s="371">
        <v>570000</v>
      </c>
      <c r="F477" s="398">
        <v>570000</v>
      </c>
      <c r="G477" s="400">
        <f t="shared" si="7"/>
        <v>100</v>
      </c>
    </row>
    <row r="478" spans="1:7">
      <c r="A478" s="329" t="s">
        <v>4</v>
      </c>
      <c r="B478" s="330" t="s">
        <v>2026</v>
      </c>
      <c r="C478" s="330" t="s">
        <v>427</v>
      </c>
      <c r="D478" s="330" t="s">
        <v>509</v>
      </c>
      <c r="E478" s="371">
        <v>570000</v>
      </c>
      <c r="F478" s="398">
        <v>570000</v>
      </c>
      <c r="G478" s="400">
        <f t="shared" si="7"/>
        <v>100</v>
      </c>
    </row>
    <row r="479" spans="1:7" ht="76.5">
      <c r="A479" s="329" t="s">
        <v>718</v>
      </c>
      <c r="B479" s="330" t="s">
        <v>1348</v>
      </c>
      <c r="C479" s="330" t="s">
        <v>1468</v>
      </c>
      <c r="D479" s="330" t="s">
        <v>1468</v>
      </c>
      <c r="E479" s="371">
        <v>200000</v>
      </c>
      <c r="F479" s="398">
        <v>200000</v>
      </c>
      <c r="G479" s="400">
        <f t="shared" si="7"/>
        <v>100</v>
      </c>
    </row>
    <row r="480" spans="1:7" ht="25.5">
      <c r="A480" s="329" t="s">
        <v>1755</v>
      </c>
      <c r="B480" s="330" t="s">
        <v>1348</v>
      </c>
      <c r="C480" s="330" t="s">
        <v>1756</v>
      </c>
      <c r="D480" s="330" t="s">
        <v>1468</v>
      </c>
      <c r="E480" s="371">
        <v>200000</v>
      </c>
      <c r="F480" s="398">
        <v>200000</v>
      </c>
      <c r="G480" s="400">
        <f t="shared" si="7"/>
        <v>100</v>
      </c>
    </row>
    <row r="481" spans="1:7" ht="25.5">
      <c r="A481" s="329" t="s">
        <v>1502</v>
      </c>
      <c r="B481" s="330" t="s">
        <v>1348</v>
      </c>
      <c r="C481" s="330" t="s">
        <v>1503</v>
      </c>
      <c r="D481" s="330" t="s">
        <v>1468</v>
      </c>
      <c r="E481" s="371">
        <v>200000</v>
      </c>
      <c r="F481" s="398">
        <v>200000</v>
      </c>
      <c r="G481" s="400">
        <f t="shared" si="7"/>
        <v>100</v>
      </c>
    </row>
    <row r="482" spans="1:7">
      <c r="A482" s="329" t="s">
        <v>173</v>
      </c>
      <c r="B482" s="330" t="s">
        <v>1348</v>
      </c>
      <c r="C482" s="330" t="s">
        <v>1503</v>
      </c>
      <c r="D482" s="330" t="s">
        <v>1364</v>
      </c>
      <c r="E482" s="371">
        <v>200000</v>
      </c>
      <c r="F482" s="398">
        <v>200000</v>
      </c>
      <c r="G482" s="400">
        <f t="shared" si="7"/>
        <v>100</v>
      </c>
    </row>
    <row r="483" spans="1:7">
      <c r="A483" s="329" t="s">
        <v>1238</v>
      </c>
      <c r="B483" s="330" t="s">
        <v>1348</v>
      </c>
      <c r="C483" s="330" t="s">
        <v>1503</v>
      </c>
      <c r="D483" s="330" t="s">
        <v>453</v>
      </c>
      <c r="E483" s="371">
        <v>200000</v>
      </c>
      <c r="F483" s="398">
        <v>200000</v>
      </c>
      <c r="G483" s="400">
        <f t="shared" si="7"/>
        <v>100</v>
      </c>
    </row>
    <row r="484" spans="1:7" ht="25.5">
      <c r="A484" s="329" t="s">
        <v>696</v>
      </c>
      <c r="B484" s="330" t="s">
        <v>1108</v>
      </c>
      <c r="C484" s="330" t="s">
        <v>1468</v>
      </c>
      <c r="D484" s="330" t="s">
        <v>1468</v>
      </c>
      <c r="E484" s="371">
        <v>93919780.090000004</v>
      </c>
      <c r="F484" s="400">
        <v>93909652.819999993</v>
      </c>
      <c r="G484" s="400">
        <f t="shared" si="7"/>
        <v>99.989217106353635</v>
      </c>
    </row>
    <row r="485" spans="1:7" ht="38.25">
      <c r="A485" s="329" t="s">
        <v>697</v>
      </c>
      <c r="B485" s="330" t="s">
        <v>1109</v>
      </c>
      <c r="C485" s="330" t="s">
        <v>1468</v>
      </c>
      <c r="D485" s="330" t="s">
        <v>1468</v>
      </c>
      <c r="E485" s="371">
        <v>1510430.09</v>
      </c>
      <c r="F485" s="400">
        <v>1510430.09</v>
      </c>
      <c r="G485" s="400">
        <f t="shared" si="7"/>
        <v>100</v>
      </c>
    </row>
    <row r="486" spans="1:7" ht="102">
      <c r="A486" s="329" t="s">
        <v>597</v>
      </c>
      <c r="B486" s="330" t="s">
        <v>815</v>
      </c>
      <c r="C486" s="330" t="s">
        <v>1468</v>
      </c>
      <c r="D486" s="330" t="s">
        <v>1468</v>
      </c>
      <c r="E486" s="371">
        <v>1510430.09</v>
      </c>
      <c r="F486" s="400">
        <v>1510430.09</v>
      </c>
      <c r="G486" s="400">
        <f t="shared" si="7"/>
        <v>100</v>
      </c>
    </row>
    <row r="487" spans="1:7">
      <c r="A487" s="329" t="s">
        <v>1759</v>
      </c>
      <c r="B487" s="330" t="s">
        <v>815</v>
      </c>
      <c r="C487" s="330" t="s">
        <v>1760</v>
      </c>
      <c r="D487" s="330" t="s">
        <v>1468</v>
      </c>
      <c r="E487" s="371">
        <v>1510430.09</v>
      </c>
      <c r="F487" s="400">
        <v>1510430.09</v>
      </c>
      <c r="G487" s="400">
        <f t="shared" si="7"/>
        <v>100</v>
      </c>
    </row>
    <row r="488" spans="1:7" ht="25.5">
      <c r="A488" s="329" t="s">
        <v>1510</v>
      </c>
      <c r="B488" s="330" t="s">
        <v>815</v>
      </c>
      <c r="C488" s="330" t="s">
        <v>1511</v>
      </c>
      <c r="D488" s="330" t="s">
        <v>1468</v>
      </c>
      <c r="E488" s="371">
        <v>1510430.09</v>
      </c>
      <c r="F488" s="400">
        <v>1510430.09</v>
      </c>
      <c r="G488" s="400">
        <f t="shared" si="7"/>
        <v>100</v>
      </c>
    </row>
    <row r="489" spans="1:7">
      <c r="A489" s="329" t="s">
        <v>174</v>
      </c>
      <c r="B489" s="330" t="s">
        <v>815</v>
      </c>
      <c r="C489" s="330" t="s">
        <v>1511</v>
      </c>
      <c r="D489" s="330" t="s">
        <v>1365</v>
      </c>
      <c r="E489" s="371">
        <v>1510430.09</v>
      </c>
      <c r="F489" s="400">
        <v>1510430.09</v>
      </c>
      <c r="G489" s="400">
        <f t="shared" si="7"/>
        <v>100</v>
      </c>
    </row>
    <row r="490" spans="1:7">
      <c r="A490" s="329" t="s">
        <v>126</v>
      </c>
      <c r="B490" s="330" t="s">
        <v>815</v>
      </c>
      <c r="C490" s="330" t="s">
        <v>1511</v>
      </c>
      <c r="D490" s="330" t="s">
        <v>463</v>
      </c>
      <c r="E490" s="371">
        <v>1510430.09</v>
      </c>
      <c r="F490" s="400">
        <v>1510430.09</v>
      </c>
      <c r="G490" s="400">
        <f t="shared" si="7"/>
        <v>100</v>
      </c>
    </row>
    <row r="491" spans="1:7" ht="25.5">
      <c r="A491" s="329" t="s">
        <v>698</v>
      </c>
      <c r="B491" s="330" t="s">
        <v>1110</v>
      </c>
      <c r="C491" s="330" t="s">
        <v>1468</v>
      </c>
      <c r="D491" s="330" t="s">
        <v>1468</v>
      </c>
      <c r="E491" s="371">
        <v>192100</v>
      </c>
      <c r="F491" s="400">
        <v>181972.8</v>
      </c>
      <c r="G491" s="400">
        <f t="shared" si="7"/>
        <v>94.728162415408633</v>
      </c>
    </row>
    <row r="492" spans="1:7" ht="89.25">
      <c r="A492" s="329" t="s">
        <v>1210</v>
      </c>
      <c r="B492" s="330" t="s">
        <v>1211</v>
      </c>
      <c r="C492" s="330" t="s">
        <v>1468</v>
      </c>
      <c r="D492" s="330" t="s">
        <v>1468</v>
      </c>
      <c r="E492" s="371">
        <v>192100</v>
      </c>
      <c r="F492" s="400">
        <v>181972.8</v>
      </c>
      <c r="G492" s="400">
        <f t="shared" si="7"/>
        <v>94.728162415408633</v>
      </c>
    </row>
    <row r="493" spans="1:7" ht="25.5">
      <c r="A493" s="329" t="s">
        <v>1755</v>
      </c>
      <c r="B493" s="330" t="s">
        <v>1211</v>
      </c>
      <c r="C493" s="330" t="s">
        <v>1756</v>
      </c>
      <c r="D493" s="330" t="s">
        <v>1468</v>
      </c>
      <c r="E493" s="371">
        <v>192100</v>
      </c>
      <c r="F493" s="400">
        <v>181972.8</v>
      </c>
      <c r="G493" s="400">
        <f t="shared" si="7"/>
        <v>94.728162415408633</v>
      </c>
    </row>
    <row r="494" spans="1:7" ht="25.5">
      <c r="A494" s="329" t="s">
        <v>1502</v>
      </c>
      <c r="B494" s="330" t="s">
        <v>1211</v>
      </c>
      <c r="C494" s="330" t="s">
        <v>1503</v>
      </c>
      <c r="D494" s="330" t="s">
        <v>1468</v>
      </c>
      <c r="E494" s="371">
        <v>192100</v>
      </c>
      <c r="F494" s="400">
        <v>181972.8</v>
      </c>
      <c r="G494" s="400">
        <f t="shared" si="7"/>
        <v>94.728162415408633</v>
      </c>
    </row>
    <row r="495" spans="1:7">
      <c r="A495" s="329" t="s">
        <v>174</v>
      </c>
      <c r="B495" s="330" t="s">
        <v>1211</v>
      </c>
      <c r="C495" s="330" t="s">
        <v>1503</v>
      </c>
      <c r="D495" s="330" t="s">
        <v>1365</v>
      </c>
      <c r="E495" s="371">
        <v>192100</v>
      </c>
      <c r="F495" s="400">
        <v>181972.8</v>
      </c>
      <c r="G495" s="400">
        <f t="shared" si="7"/>
        <v>94.728162415408633</v>
      </c>
    </row>
    <row r="496" spans="1:7">
      <c r="A496" s="329" t="s">
        <v>127</v>
      </c>
      <c r="B496" s="330" t="s">
        <v>1211</v>
      </c>
      <c r="C496" s="330" t="s">
        <v>1503</v>
      </c>
      <c r="D496" s="330" t="s">
        <v>466</v>
      </c>
      <c r="E496" s="371">
        <v>192100</v>
      </c>
      <c r="F496" s="400">
        <v>181972.8</v>
      </c>
      <c r="G496" s="400">
        <f t="shared" si="7"/>
        <v>94.728162415408633</v>
      </c>
    </row>
    <row r="497" spans="1:7" ht="25.5">
      <c r="A497" s="329" t="s">
        <v>543</v>
      </c>
      <c r="B497" s="330" t="s">
        <v>1111</v>
      </c>
      <c r="C497" s="330" t="s">
        <v>1468</v>
      </c>
      <c r="D497" s="330" t="s">
        <v>1468</v>
      </c>
      <c r="E497" s="371">
        <v>69845170</v>
      </c>
      <c r="F497" s="398">
        <v>69845170</v>
      </c>
      <c r="G497" s="400">
        <f t="shared" si="7"/>
        <v>100</v>
      </c>
    </row>
    <row r="498" spans="1:7" ht="76.5">
      <c r="A498" s="329" t="s">
        <v>601</v>
      </c>
      <c r="B498" s="330" t="s">
        <v>827</v>
      </c>
      <c r="C498" s="330" t="s">
        <v>1468</v>
      </c>
      <c r="D498" s="330" t="s">
        <v>1468</v>
      </c>
      <c r="E498" s="371">
        <v>69845170</v>
      </c>
      <c r="F498" s="398">
        <v>69845170</v>
      </c>
      <c r="G498" s="400">
        <f t="shared" si="7"/>
        <v>100</v>
      </c>
    </row>
    <row r="499" spans="1:7" ht="25.5">
      <c r="A499" s="329" t="s">
        <v>1763</v>
      </c>
      <c r="B499" s="330" t="s">
        <v>827</v>
      </c>
      <c r="C499" s="330" t="s">
        <v>1764</v>
      </c>
      <c r="D499" s="330" t="s">
        <v>1468</v>
      </c>
      <c r="E499" s="371">
        <v>69845170</v>
      </c>
      <c r="F499" s="398">
        <v>69845170</v>
      </c>
      <c r="G499" s="400">
        <f t="shared" si="7"/>
        <v>100</v>
      </c>
    </row>
    <row r="500" spans="1:7">
      <c r="A500" s="329" t="s">
        <v>1504</v>
      </c>
      <c r="B500" s="330" t="s">
        <v>827</v>
      </c>
      <c r="C500" s="330" t="s">
        <v>1505</v>
      </c>
      <c r="D500" s="330" t="s">
        <v>1468</v>
      </c>
      <c r="E500" s="371">
        <v>69845170</v>
      </c>
      <c r="F500" s="398">
        <v>69845170</v>
      </c>
      <c r="G500" s="400">
        <f t="shared" si="7"/>
        <v>100</v>
      </c>
    </row>
    <row r="501" spans="1:7">
      <c r="A501" s="329" t="s">
        <v>174</v>
      </c>
      <c r="B501" s="330" t="s">
        <v>827</v>
      </c>
      <c r="C501" s="330" t="s">
        <v>1505</v>
      </c>
      <c r="D501" s="330" t="s">
        <v>1365</v>
      </c>
      <c r="E501" s="371">
        <v>69845170</v>
      </c>
      <c r="F501" s="398">
        <v>69845170</v>
      </c>
      <c r="G501" s="400">
        <f t="shared" si="7"/>
        <v>100</v>
      </c>
    </row>
    <row r="502" spans="1:7">
      <c r="A502" s="329" t="s">
        <v>1586</v>
      </c>
      <c r="B502" s="330" t="s">
        <v>827</v>
      </c>
      <c r="C502" s="330" t="s">
        <v>1505</v>
      </c>
      <c r="D502" s="330" t="s">
        <v>1587</v>
      </c>
      <c r="E502" s="371">
        <v>69845170</v>
      </c>
      <c r="F502" s="398">
        <v>69845170</v>
      </c>
      <c r="G502" s="400">
        <f t="shared" si="7"/>
        <v>100</v>
      </c>
    </row>
    <row r="503" spans="1:7" ht="76.5">
      <c r="A503" s="329" t="s">
        <v>699</v>
      </c>
      <c r="B503" s="330" t="s">
        <v>1112</v>
      </c>
      <c r="C503" s="330" t="s">
        <v>1468</v>
      </c>
      <c r="D503" s="330" t="s">
        <v>1468</v>
      </c>
      <c r="E503" s="371">
        <v>22372080</v>
      </c>
      <c r="F503" s="400">
        <v>22372079.93</v>
      </c>
      <c r="G503" s="400">
        <f t="shared" si="7"/>
        <v>99.999999687110005</v>
      </c>
    </row>
    <row r="504" spans="1:7" ht="127.5">
      <c r="A504" s="329" t="s">
        <v>674</v>
      </c>
      <c r="B504" s="330" t="s">
        <v>829</v>
      </c>
      <c r="C504" s="330" t="s">
        <v>1468</v>
      </c>
      <c r="D504" s="330" t="s">
        <v>1468</v>
      </c>
      <c r="E504" s="371">
        <v>22372080</v>
      </c>
      <c r="F504" s="400">
        <v>22372079.93</v>
      </c>
      <c r="G504" s="400">
        <f t="shared" si="7"/>
        <v>99.999999687110005</v>
      </c>
    </row>
    <row r="505" spans="1:7" ht="63.75">
      <c r="A505" s="329" t="s">
        <v>1754</v>
      </c>
      <c r="B505" s="330" t="s">
        <v>829</v>
      </c>
      <c r="C505" s="330" t="s">
        <v>322</v>
      </c>
      <c r="D505" s="330" t="s">
        <v>1468</v>
      </c>
      <c r="E505" s="371">
        <v>19912699.690000001</v>
      </c>
      <c r="F505" s="400">
        <v>19912699.620000001</v>
      </c>
      <c r="G505" s="400">
        <f t="shared" si="7"/>
        <v>99.999999648465547</v>
      </c>
    </row>
    <row r="506" spans="1:7" ht="25.5">
      <c r="A506" s="329" t="s">
        <v>1509</v>
      </c>
      <c r="B506" s="330" t="s">
        <v>829</v>
      </c>
      <c r="C506" s="330" t="s">
        <v>37</v>
      </c>
      <c r="D506" s="330" t="s">
        <v>1468</v>
      </c>
      <c r="E506" s="371">
        <v>19912699.690000001</v>
      </c>
      <c r="F506" s="400">
        <v>19912699.620000001</v>
      </c>
      <c r="G506" s="400">
        <f t="shared" si="7"/>
        <v>99.999999648465547</v>
      </c>
    </row>
    <row r="507" spans="1:7">
      <c r="A507" s="329" t="s">
        <v>174</v>
      </c>
      <c r="B507" s="330" t="s">
        <v>829</v>
      </c>
      <c r="C507" s="330" t="s">
        <v>37</v>
      </c>
      <c r="D507" s="330" t="s">
        <v>1365</v>
      </c>
      <c r="E507" s="371">
        <v>19912699.690000001</v>
      </c>
      <c r="F507" s="400">
        <v>19912699.620000001</v>
      </c>
      <c r="G507" s="400">
        <f t="shared" si="7"/>
        <v>99.999999648465547</v>
      </c>
    </row>
    <row r="508" spans="1:7">
      <c r="A508" s="329" t="s">
        <v>82</v>
      </c>
      <c r="B508" s="330" t="s">
        <v>829</v>
      </c>
      <c r="C508" s="330" t="s">
        <v>37</v>
      </c>
      <c r="D508" s="330" t="s">
        <v>483</v>
      </c>
      <c r="E508" s="371">
        <v>19912699.690000001</v>
      </c>
      <c r="F508" s="400">
        <v>19912699.620000001</v>
      </c>
      <c r="G508" s="400">
        <f t="shared" si="7"/>
        <v>99.999999648465547</v>
      </c>
    </row>
    <row r="509" spans="1:7" ht="25.5">
      <c r="A509" s="329" t="s">
        <v>1755</v>
      </c>
      <c r="B509" s="330" t="s">
        <v>829</v>
      </c>
      <c r="C509" s="330" t="s">
        <v>1756</v>
      </c>
      <c r="D509" s="330" t="s">
        <v>1468</v>
      </c>
      <c r="E509" s="371">
        <v>2454259.96</v>
      </c>
      <c r="F509" s="398">
        <v>2454259.96</v>
      </c>
      <c r="G509" s="400">
        <f t="shared" si="7"/>
        <v>100</v>
      </c>
    </row>
    <row r="510" spans="1:7" ht="25.5">
      <c r="A510" s="329" t="s">
        <v>1502</v>
      </c>
      <c r="B510" s="330" t="s">
        <v>829</v>
      </c>
      <c r="C510" s="330" t="s">
        <v>1503</v>
      </c>
      <c r="D510" s="330" t="s">
        <v>1468</v>
      </c>
      <c r="E510" s="371">
        <v>2454259.96</v>
      </c>
      <c r="F510" s="398">
        <v>2454259.96</v>
      </c>
      <c r="G510" s="400">
        <f t="shared" si="7"/>
        <v>100</v>
      </c>
    </row>
    <row r="511" spans="1:7">
      <c r="A511" s="329" t="s">
        <v>174</v>
      </c>
      <c r="B511" s="330" t="s">
        <v>829</v>
      </c>
      <c r="C511" s="330" t="s">
        <v>1503</v>
      </c>
      <c r="D511" s="330" t="s">
        <v>1365</v>
      </c>
      <c r="E511" s="371">
        <v>2454259.96</v>
      </c>
      <c r="F511" s="398">
        <v>2454259.96</v>
      </c>
      <c r="G511" s="400">
        <f t="shared" si="7"/>
        <v>100</v>
      </c>
    </row>
    <row r="512" spans="1:7">
      <c r="A512" s="329" t="s">
        <v>82</v>
      </c>
      <c r="B512" s="330" t="s">
        <v>829</v>
      </c>
      <c r="C512" s="330" t="s">
        <v>1503</v>
      </c>
      <c r="D512" s="330" t="s">
        <v>483</v>
      </c>
      <c r="E512" s="371">
        <v>2454259.96</v>
      </c>
      <c r="F512" s="398">
        <v>2454259.96</v>
      </c>
      <c r="G512" s="400">
        <f t="shared" si="7"/>
        <v>100</v>
      </c>
    </row>
    <row r="513" spans="1:7">
      <c r="A513" s="329" t="s">
        <v>1757</v>
      </c>
      <c r="B513" s="330" t="s">
        <v>829</v>
      </c>
      <c r="C513" s="330" t="s">
        <v>1758</v>
      </c>
      <c r="D513" s="330" t="s">
        <v>1468</v>
      </c>
      <c r="E513" s="371">
        <v>5120.3500000000004</v>
      </c>
      <c r="F513" s="398">
        <v>5120.3500000000004</v>
      </c>
      <c r="G513" s="400">
        <f t="shared" si="7"/>
        <v>100</v>
      </c>
    </row>
    <row r="514" spans="1:7">
      <c r="A514" s="329" t="s">
        <v>1516</v>
      </c>
      <c r="B514" s="330" t="s">
        <v>829</v>
      </c>
      <c r="C514" s="330" t="s">
        <v>242</v>
      </c>
      <c r="D514" s="330" t="s">
        <v>1468</v>
      </c>
      <c r="E514" s="371">
        <v>3150</v>
      </c>
      <c r="F514" s="398">
        <v>3150</v>
      </c>
      <c r="G514" s="400">
        <f t="shared" si="7"/>
        <v>100</v>
      </c>
    </row>
    <row r="515" spans="1:7">
      <c r="A515" s="329" t="s">
        <v>174</v>
      </c>
      <c r="B515" s="330" t="s">
        <v>829</v>
      </c>
      <c r="C515" s="330" t="s">
        <v>242</v>
      </c>
      <c r="D515" s="330" t="s">
        <v>1365</v>
      </c>
      <c r="E515" s="371">
        <v>3150</v>
      </c>
      <c r="F515" s="398">
        <v>3150</v>
      </c>
      <c r="G515" s="400">
        <f t="shared" si="7"/>
        <v>100</v>
      </c>
    </row>
    <row r="516" spans="1:7">
      <c r="A516" s="329" t="s">
        <v>82</v>
      </c>
      <c r="B516" s="330" t="s">
        <v>829</v>
      </c>
      <c r="C516" s="330" t="s">
        <v>242</v>
      </c>
      <c r="D516" s="330" t="s">
        <v>483</v>
      </c>
      <c r="E516" s="371">
        <v>3150</v>
      </c>
      <c r="F516" s="398">
        <v>3150</v>
      </c>
      <c r="G516" s="400">
        <f t="shared" si="7"/>
        <v>100</v>
      </c>
    </row>
    <row r="517" spans="1:7">
      <c r="A517" s="329" t="s">
        <v>1507</v>
      </c>
      <c r="B517" s="330" t="s">
        <v>829</v>
      </c>
      <c r="C517" s="330" t="s">
        <v>1508</v>
      </c>
      <c r="D517" s="330" t="s">
        <v>1468</v>
      </c>
      <c r="E517" s="371">
        <v>1970.35</v>
      </c>
      <c r="F517" s="398">
        <v>1970.35</v>
      </c>
      <c r="G517" s="400">
        <f t="shared" si="7"/>
        <v>100</v>
      </c>
    </row>
    <row r="518" spans="1:7">
      <c r="A518" s="329" t="s">
        <v>174</v>
      </c>
      <c r="B518" s="330" t="s">
        <v>829</v>
      </c>
      <c r="C518" s="330" t="s">
        <v>1508</v>
      </c>
      <c r="D518" s="330" t="s">
        <v>1365</v>
      </c>
      <c r="E518" s="371">
        <v>1970.35</v>
      </c>
      <c r="F518" s="398">
        <v>1970.35</v>
      </c>
      <c r="G518" s="400">
        <f t="shared" si="7"/>
        <v>100</v>
      </c>
    </row>
    <row r="519" spans="1:7">
      <c r="A519" s="329" t="s">
        <v>82</v>
      </c>
      <c r="B519" s="330" t="s">
        <v>829</v>
      </c>
      <c r="C519" s="330" t="s">
        <v>1508</v>
      </c>
      <c r="D519" s="330" t="s">
        <v>483</v>
      </c>
      <c r="E519" s="371">
        <v>1970.35</v>
      </c>
      <c r="F519" s="398">
        <v>1970.35</v>
      </c>
      <c r="G519" s="400">
        <f t="shared" si="7"/>
        <v>100</v>
      </c>
    </row>
    <row r="520" spans="1:7" ht="38.25">
      <c r="A520" s="329" t="s">
        <v>545</v>
      </c>
      <c r="B520" s="330" t="s">
        <v>1113</v>
      </c>
      <c r="C520" s="330" t="s">
        <v>1468</v>
      </c>
      <c r="D520" s="330" t="s">
        <v>1468</v>
      </c>
      <c r="E520" s="371">
        <v>263895496.08000001</v>
      </c>
      <c r="F520" s="400">
        <v>225675066.46000001</v>
      </c>
      <c r="G520" s="400">
        <f t="shared" si="7"/>
        <v>85.516831401922261</v>
      </c>
    </row>
    <row r="521" spans="1:7" ht="38.25">
      <c r="A521" s="329" t="s">
        <v>700</v>
      </c>
      <c r="B521" s="330" t="s">
        <v>1114</v>
      </c>
      <c r="C521" s="330" t="s">
        <v>1468</v>
      </c>
      <c r="D521" s="330" t="s">
        <v>1468</v>
      </c>
      <c r="E521" s="371">
        <v>190617659.19</v>
      </c>
      <c r="F521" s="400">
        <v>189790028.08000001</v>
      </c>
      <c r="G521" s="400">
        <f t="shared" ref="G521:G584" si="8">F521/E521*100</f>
        <v>99.565816140269021</v>
      </c>
    </row>
    <row r="522" spans="1:7" ht="102">
      <c r="A522" s="329" t="s">
        <v>1423</v>
      </c>
      <c r="B522" s="330" t="s">
        <v>807</v>
      </c>
      <c r="C522" s="330" t="s">
        <v>1468</v>
      </c>
      <c r="D522" s="330" t="s">
        <v>1468</v>
      </c>
      <c r="E522" s="371">
        <v>171304900</v>
      </c>
      <c r="F522" s="400">
        <v>171303900</v>
      </c>
      <c r="G522" s="400">
        <f t="shared" si="8"/>
        <v>99.999416245536466</v>
      </c>
    </row>
    <row r="523" spans="1:7" ht="63.75">
      <c r="A523" s="329" t="s">
        <v>1754</v>
      </c>
      <c r="B523" s="330" t="s">
        <v>807</v>
      </c>
      <c r="C523" s="330" t="s">
        <v>322</v>
      </c>
      <c r="D523" s="330" t="s">
        <v>1468</v>
      </c>
      <c r="E523" s="371">
        <v>1196639.6499999999</v>
      </c>
      <c r="F523" s="398">
        <v>1196639.6499999999</v>
      </c>
      <c r="G523" s="400">
        <f t="shared" si="8"/>
        <v>100</v>
      </c>
    </row>
    <row r="524" spans="1:7">
      <c r="A524" s="329" t="s">
        <v>1487</v>
      </c>
      <c r="B524" s="330" t="s">
        <v>807</v>
      </c>
      <c r="C524" s="330" t="s">
        <v>165</v>
      </c>
      <c r="D524" s="330" t="s">
        <v>1468</v>
      </c>
      <c r="E524" s="371">
        <v>1196639.6499999999</v>
      </c>
      <c r="F524" s="398">
        <v>1196639.6499999999</v>
      </c>
      <c r="G524" s="400">
        <f t="shared" si="8"/>
        <v>100</v>
      </c>
    </row>
    <row r="525" spans="1:7">
      <c r="A525" s="329" t="s">
        <v>283</v>
      </c>
      <c r="B525" s="330" t="s">
        <v>807</v>
      </c>
      <c r="C525" s="330" t="s">
        <v>165</v>
      </c>
      <c r="D525" s="330" t="s">
        <v>1363</v>
      </c>
      <c r="E525" s="371">
        <v>1196639.6499999999</v>
      </c>
      <c r="F525" s="398">
        <v>1196639.6499999999</v>
      </c>
      <c r="G525" s="400">
        <f t="shared" si="8"/>
        <v>100</v>
      </c>
    </row>
    <row r="526" spans="1:7">
      <c r="A526" s="329" t="s">
        <v>180</v>
      </c>
      <c r="B526" s="330" t="s">
        <v>807</v>
      </c>
      <c r="C526" s="330" t="s">
        <v>165</v>
      </c>
      <c r="D526" s="330" t="s">
        <v>452</v>
      </c>
      <c r="E526" s="371">
        <v>1196639.6499999999</v>
      </c>
      <c r="F526" s="398">
        <v>1196639.6499999999</v>
      </c>
      <c r="G526" s="400">
        <f t="shared" si="8"/>
        <v>100</v>
      </c>
    </row>
    <row r="527" spans="1:7" ht="25.5">
      <c r="A527" s="329" t="s">
        <v>1755</v>
      </c>
      <c r="B527" s="330" t="s">
        <v>807</v>
      </c>
      <c r="C527" s="330" t="s">
        <v>1756</v>
      </c>
      <c r="D527" s="330" t="s">
        <v>1468</v>
      </c>
      <c r="E527" s="371">
        <v>155085.35</v>
      </c>
      <c r="F527" s="398">
        <v>155085.35</v>
      </c>
      <c r="G527" s="400">
        <f t="shared" si="8"/>
        <v>100</v>
      </c>
    </row>
    <row r="528" spans="1:7" ht="25.5">
      <c r="A528" s="329" t="s">
        <v>1502</v>
      </c>
      <c r="B528" s="330" t="s">
        <v>807</v>
      </c>
      <c r="C528" s="330" t="s">
        <v>1503</v>
      </c>
      <c r="D528" s="330" t="s">
        <v>1468</v>
      </c>
      <c r="E528" s="371">
        <v>155085.35</v>
      </c>
      <c r="F528" s="398">
        <v>155085.35</v>
      </c>
      <c r="G528" s="400">
        <f t="shared" si="8"/>
        <v>100</v>
      </c>
    </row>
    <row r="529" spans="1:7">
      <c r="A529" s="329" t="s">
        <v>283</v>
      </c>
      <c r="B529" s="330" t="s">
        <v>807</v>
      </c>
      <c r="C529" s="330" t="s">
        <v>1503</v>
      </c>
      <c r="D529" s="330" t="s">
        <v>1363</v>
      </c>
      <c r="E529" s="371">
        <v>155085.35</v>
      </c>
      <c r="F529" s="398">
        <v>155085.35</v>
      </c>
      <c r="G529" s="400">
        <f t="shared" si="8"/>
        <v>100</v>
      </c>
    </row>
    <row r="530" spans="1:7">
      <c r="A530" s="329" t="s">
        <v>180</v>
      </c>
      <c r="B530" s="330" t="s">
        <v>807</v>
      </c>
      <c r="C530" s="330" t="s">
        <v>1503</v>
      </c>
      <c r="D530" s="330" t="s">
        <v>452</v>
      </c>
      <c r="E530" s="371">
        <v>155085.35</v>
      </c>
      <c r="F530" s="398">
        <v>155085.35</v>
      </c>
      <c r="G530" s="400">
        <f t="shared" si="8"/>
        <v>100</v>
      </c>
    </row>
    <row r="531" spans="1:7">
      <c r="A531" s="329" t="s">
        <v>1757</v>
      </c>
      <c r="B531" s="330" t="s">
        <v>807</v>
      </c>
      <c r="C531" s="330" t="s">
        <v>1758</v>
      </c>
      <c r="D531" s="330" t="s">
        <v>1468</v>
      </c>
      <c r="E531" s="371">
        <v>169953175</v>
      </c>
      <c r="F531" s="400">
        <f>F532+F535</f>
        <v>169952175</v>
      </c>
      <c r="G531" s="400">
        <f t="shared" si="8"/>
        <v>99.999411602637025</v>
      </c>
    </row>
    <row r="532" spans="1:7" ht="51">
      <c r="A532" s="329" t="s">
        <v>1512</v>
      </c>
      <c r="B532" s="330" t="s">
        <v>807</v>
      </c>
      <c r="C532" s="330" t="s">
        <v>442</v>
      </c>
      <c r="D532" s="330" t="s">
        <v>1468</v>
      </c>
      <c r="E532" s="371">
        <v>169924045</v>
      </c>
      <c r="F532" s="398">
        <v>169924045</v>
      </c>
      <c r="G532" s="400">
        <f t="shared" si="8"/>
        <v>100</v>
      </c>
    </row>
    <row r="533" spans="1:7">
      <c r="A533" s="329" t="s">
        <v>283</v>
      </c>
      <c r="B533" s="330" t="s">
        <v>807</v>
      </c>
      <c r="C533" s="330" t="s">
        <v>442</v>
      </c>
      <c r="D533" s="330" t="s">
        <v>1363</v>
      </c>
      <c r="E533" s="371">
        <v>169924045</v>
      </c>
      <c r="F533" s="398">
        <v>169924045</v>
      </c>
      <c r="G533" s="400">
        <f t="shared" si="8"/>
        <v>100</v>
      </c>
    </row>
    <row r="534" spans="1:7">
      <c r="A534" s="329" t="s">
        <v>180</v>
      </c>
      <c r="B534" s="330" t="s">
        <v>807</v>
      </c>
      <c r="C534" s="330" t="s">
        <v>442</v>
      </c>
      <c r="D534" s="330" t="s">
        <v>452</v>
      </c>
      <c r="E534" s="371">
        <v>169924045</v>
      </c>
      <c r="F534" s="398">
        <v>169924045</v>
      </c>
      <c r="G534" s="400">
        <f t="shared" si="8"/>
        <v>100</v>
      </c>
    </row>
    <row r="535" spans="1:7">
      <c r="A535" s="329" t="s">
        <v>1507</v>
      </c>
      <c r="B535" s="330" t="s">
        <v>807</v>
      </c>
      <c r="C535" s="330" t="s">
        <v>1508</v>
      </c>
      <c r="D535" s="330" t="s">
        <v>1468</v>
      </c>
      <c r="E535" s="371">
        <v>29130</v>
      </c>
      <c r="F535" s="400">
        <v>28130</v>
      </c>
      <c r="G535" s="400">
        <f t="shared" si="8"/>
        <v>96.567112941984206</v>
      </c>
    </row>
    <row r="536" spans="1:7">
      <c r="A536" s="329" t="s">
        <v>283</v>
      </c>
      <c r="B536" s="330" t="s">
        <v>807</v>
      </c>
      <c r="C536" s="330" t="s">
        <v>1508</v>
      </c>
      <c r="D536" s="330" t="s">
        <v>1363</v>
      </c>
      <c r="E536" s="371">
        <v>29130</v>
      </c>
      <c r="F536" s="400">
        <v>28130</v>
      </c>
      <c r="G536" s="400">
        <f t="shared" si="8"/>
        <v>96.567112941984206</v>
      </c>
    </row>
    <row r="537" spans="1:7">
      <c r="A537" s="329" t="s">
        <v>180</v>
      </c>
      <c r="B537" s="330" t="s">
        <v>807</v>
      </c>
      <c r="C537" s="330" t="s">
        <v>1508</v>
      </c>
      <c r="D537" s="330" t="s">
        <v>452</v>
      </c>
      <c r="E537" s="371">
        <v>29130</v>
      </c>
      <c r="F537" s="400">
        <v>28130</v>
      </c>
      <c r="G537" s="400">
        <f t="shared" si="8"/>
        <v>96.567112941984206</v>
      </c>
    </row>
    <row r="538" spans="1:7" ht="153">
      <c r="A538" s="329" t="s">
        <v>1424</v>
      </c>
      <c r="B538" s="330" t="s">
        <v>806</v>
      </c>
      <c r="C538" s="330" t="s">
        <v>1468</v>
      </c>
      <c r="D538" s="330" t="s">
        <v>1468</v>
      </c>
      <c r="E538" s="371">
        <v>15263600</v>
      </c>
      <c r="F538" s="398">
        <v>15263600</v>
      </c>
      <c r="G538" s="400">
        <f t="shared" si="8"/>
        <v>100</v>
      </c>
    </row>
    <row r="539" spans="1:7">
      <c r="A539" s="329" t="s">
        <v>1757</v>
      </c>
      <c r="B539" s="330" t="s">
        <v>806</v>
      </c>
      <c r="C539" s="330" t="s">
        <v>1758</v>
      </c>
      <c r="D539" s="330" t="s">
        <v>1468</v>
      </c>
      <c r="E539" s="371">
        <v>15263600</v>
      </c>
      <c r="F539" s="398">
        <v>15263600</v>
      </c>
      <c r="G539" s="400">
        <f t="shared" si="8"/>
        <v>100</v>
      </c>
    </row>
    <row r="540" spans="1:7" ht="51">
      <c r="A540" s="329" t="s">
        <v>1512</v>
      </c>
      <c r="B540" s="330" t="s">
        <v>806</v>
      </c>
      <c r="C540" s="330" t="s">
        <v>442</v>
      </c>
      <c r="D540" s="330" t="s">
        <v>1468</v>
      </c>
      <c r="E540" s="371">
        <v>15263600</v>
      </c>
      <c r="F540" s="398">
        <v>15263600</v>
      </c>
      <c r="G540" s="400">
        <f t="shared" si="8"/>
        <v>100</v>
      </c>
    </row>
    <row r="541" spans="1:7">
      <c r="A541" s="329" t="s">
        <v>283</v>
      </c>
      <c r="B541" s="330" t="s">
        <v>806</v>
      </c>
      <c r="C541" s="330" t="s">
        <v>442</v>
      </c>
      <c r="D541" s="330" t="s">
        <v>1363</v>
      </c>
      <c r="E541" s="371">
        <v>15263600</v>
      </c>
      <c r="F541" s="398">
        <v>15263600</v>
      </c>
      <c r="G541" s="400">
        <f t="shared" si="8"/>
        <v>100</v>
      </c>
    </row>
    <row r="542" spans="1:7">
      <c r="A542" s="329" t="s">
        <v>180</v>
      </c>
      <c r="B542" s="330" t="s">
        <v>806</v>
      </c>
      <c r="C542" s="330" t="s">
        <v>442</v>
      </c>
      <c r="D542" s="330" t="s">
        <v>452</v>
      </c>
      <c r="E542" s="371">
        <v>15263600</v>
      </c>
      <c r="F542" s="398">
        <v>15263600</v>
      </c>
      <c r="G542" s="400">
        <f t="shared" si="8"/>
        <v>100</v>
      </c>
    </row>
    <row r="543" spans="1:7" ht="165.75">
      <c r="A543" s="329" t="s">
        <v>2043</v>
      </c>
      <c r="B543" s="330" t="s">
        <v>2044</v>
      </c>
      <c r="C543" s="330" t="s">
        <v>1468</v>
      </c>
      <c r="D543" s="330" t="s">
        <v>1468</v>
      </c>
      <c r="E543" s="371">
        <v>255750.22</v>
      </c>
      <c r="F543" s="400">
        <v>255750.22</v>
      </c>
      <c r="G543" s="400">
        <f t="shared" si="8"/>
        <v>100</v>
      </c>
    </row>
    <row r="544" spans="1:7">
      <c r="A544" s="329" t="s">
        <v>1757</v>
      </c>
      <c r="B544" s="330" t="s">
        <v>2044</v>
      </c>
      <c r="C544" s="330" t="s">
        <v>1758</v>
      </c>
      <c r="D544" s="330" t="s">
        <v>1468</v>
      </c>
      <c r="E544" s="371">
        <v>255750.22</v>
      </c>
      <c r="F544" s="400">
        <v>255750.22</v>
      </c>
      <c r="G544" s="400">
        <f t="shared" si="8"/>
        <v>100</v>
      </c>
    </row>
    <row r="545" spans="1:7" ht="51">
      <c r="A545" s="329" t="s">
        <v>1512</v>
      </c>
      <c r="B545" s="330" t="s">
        <v>2044</v>
      </c>
      <c r="C545" s="330" t="s">
        <v>442</v>
      </c>
      <c r="D545" s="330" t="s">
        <v>1468</v>
      </c>
      <c r="E545" s="371">
        <v>255750.22</v>
      </c>
      <c r="F545" s="400">
        <v>255750.22</v>
      </c>
      <c r="G545" s="400">
        <f t="shared" si="8"/>
        <v>100</v>
      </c>
    </row>
    <row r="546" spans="1:7">
      <c r="A546" s="329" t="s">
        <v>283</v>
      </c>
      <c r="B546" s="330" t="s">
        <v>2044</v>
      </c>
      <c r="C546" s="330" t="s">
        <v>442</v>
      </c>
      <c r="D546" s="330" t="s">
        <v>1363</v>
      </c>
      <c r="E546" s="371">
        <v>255750.22</v>
      </c>
      <c r="F546" s="400">
        <v>255750.22</v>
      </c>
      <c r="G546" s="400">
        <f t="shared" si="8"/>
        <v>100</v>
      </c>
    </row>
    <row r="547" spans="1:7">
      <c r="A547" s="329" t="s">
        <v>180</v>
      </c>
      <c r="B547" s="330" t="s">
        <v>2044</v>
      </c>
      <c r="C547" s="330" t="s">
        <v>442</v>
      </c>
      <c r="D547" s="330" t="s">
        <v>452</v>
      </c>
      <c r="E547" s="371">
        <v>255750.22</v>
      </c>
      <c r="F547" s="400">
        <v>255750.22</v>
      </c>
      <c r="G547" s="400">
        <f t="shared" si="8"/>
        <v>100</v>
      </c>
    </row>
    <row r="548" spans="1:7" ht="114.75">
      <c r="A548" s="329" t="s">
        <v>1747</v>
      </c>
      <c r="B548" s="330" t="s">
        <v>1748</v>
      </c>
      <c r="C548" s="330" t="s">
        <v>1468</v>
      </c>
      <c r="D548" s="330" t="s">
        <v>1468</v>
      </c>
      <c r="E548" s="371">
        <v>2683553.37</v>
      </c>
      <c r="F548" s="400">
        <v>2131660.13</v>
      </c>
      <c r="G548" s="400">
        <f t="shared" si="8"/>
        <v>79.434236480267941</v>
      </c>
    </row>
    <row r="549" spans="1:7" ht="63.75">
      <c r="A549" s="329" t="s">
        <v>1754</v>
      </c>
      <c r="B549" s="330" t="s">
        <v>1748</v>
      </c>
      <c r="C549" s="330" t="s">
        <v>322</v>
      </c>
      <c r="D549" s="330" t="s">
        <v>1468</v>
      </c>
      <c r="E549" s="371">
        <v>1119771</v>
      </c>
      <c r="F549" s="400">
        <v>1021676.02</v>
      </c>
      <c r="G549" s="400">
        <f t="shared" si="8"/>
        <v>91.239728480198195</v>
      </c>
    </row>
    <row r="550" spans="1:7">
      <c r="A550" s="329" t="s">
        <v>1487</v>
      </c>
      <c r="B550" s="330" t="s">
        <v>1748</v>
      </c>
      <c r="C550" s="330" t="s">
        <v>165</v>
      </c>
      <c r="D550" s="330" t="s">
        <v>1468</v>
      </c>
      <c r="E550" s="371">
        <v>1119771</v>
      </c>
      <c r="F550" s="400">
        <v>1021676.02</v>
      </c>
      <c r="G550" s="400">
        <f t="shared" si="8"/>
        <v>91.239728480198195</v>
      </c>
    </row>
    <row r="551" spans="1:7">
      <c r="A551" s="329" t="s">
        <v>283</v>
      </c>
      <c r="B551" s="330" t="s">
        <v>1748</v>
      </c>
      <c r="C551" s="330" t="s">
        <v>165</v>
      </c>
      <c r="D551" s="330" t="s">
        <v>1363</v>
      </c>
      <c r="E551" s="371">
        <v>1119771</v>
      </c>
      <c r="F551" s="400">
        <v>1021676.02</v>
      </c>
      <c r="G551" s="400">
        <f t="shared" si="8"/>
        <v>91.239728480198195</v>
      </c>
    </row>
    <row r="552" spans="1:7">
      <c r="A552" s="329" t="s">
        <v>180</v>
      </c>
      <c r="B552" s="330" t="s">
        <v>1748</v>
      </c>
      <c r="C552" s="330" t="s">
        <v>165</v>
      </c>
      <c r="D552" s="330" t="s">
        <v>452</v>
      </c>
      <c r="E552" s="371">
        <v>1119771</v>
      </c>
      <c r="F552" s="400">
        <v>1021676.02</v>
      </c>
      <c r="G552" s="400">
        <f t="shared" si="8"/>
        <v>91.239728480198195</v>
      </c>
    </row>
    <row r="553" spans="1:7" ht="25.5">
      <c r="A553" s="329" t="s">
        <v>1755</v>
      </c>
      <c r="B553" s="330" t="s">
        <v>1748</v>
      </c>
      <c r="C553" s="330" t="s">
        <v>1756</v>
      </c>
      <c r="D553" s="330" t="s">
        <v>1468</v>
      </c>
      <c r="E553" s="371">
        <v>1430287.15</v>
      </c>
      <c r="F553" s="400">
        <v>976488.89</v>
      </c>
      <c r="G553" s="400">
        <f t="shared" si="8"/>
        <v>68.272227013995064</v>
      </c>
    </row>
    <row r="554" spans="1:7" ht="25.5">
      <c r="A554" s="329" t="s">
        <v>1502</v>
      </c>
      <c r="B554" s="330" t="s">
        <v>1748</v>
      </c>
      <c r="C554" s="330" t="s">
        <v>1503</v>
      </c>
      <c r="D554" s="330" t="s">
        <v>1468</v>
      </c>
      <c r="E554" s="371">
        <v>1430287.15</v>
      </c>
      <c r="F554" s="400">
        <v>976488.89</v>
      </c>
      <c r="G554" s="400">
        <f t="shared" si="8"/>
        <v>68.272227013995064</v>
      </c>
    </row>
    <row r="555" spans="1:7">
      <c r="A555" s="329" t="s">
        <v>283</v>
      </c>
      <c r="B555" s="330" t="s">
        <v>1748</v>
      </c>
      <c r="C555" s="330" t="s">
        <v>1503</v>
      </c>
      <c r="D555" s="330" t="s">
        <v>1363</v>
      </c>
      <c r="E555" s="371">
        <v>1430287.15</v>
      </c>
      <c r="F555" s="400">
        <v>976488.89</v>
      </c>
      <c r="G555" s="400">
        <f t="shared" si="8"/>
        <v>68.272227013995064</v>
      </c>
    </row>
    <row r="556" spans="1:7">
      <c r="A556" s="329" t="s">
        <v>180</v>
      </c>
      <c r="B556" s="330" t="s">
        <v>1748</v>
      </c>
      <c r="C556" s="330" t="s">
        <v>1503</v>
      </c>
      <c r="D556" s="330" t="s">
        <v>452</v>
      </c>
      <c r="E556" s="371">
        <v>1430287.15</v>
      </c>
      <c r="F556" s="400">
        <v>976488.89</v>
      </c>
      <c r="G556" s="400">
        <f t="shared" si="8"/>
        <v>68.272227013995064</v>
      </c>
    </row>
    <row r="557" spans="1:7">
      <c r="A557" s="329" t="s">
        <v>1757</v>
      </c>
      <c r="B557" s="330" t="s">
        <v>1748</v>
      </c>
      <c r="C557" s="330" t="s">
        <v>1758</v>
      </c>
      <c r="D557" s="330" t="s">
        <v>1468</v>
      </c>
      <c r="E557" s="371">
        <v>133495.22</v>
      </c>
      <c r="F557" s="398">
        <v>133495.22</v>
      </c>
      <c r="G557" s="400">
        <f t="shared" si="8"/>
        <v>100</v>
      </c>
    </row>
    <row r="558" spans="1:7">
      <c r="A558" s="329" t="s">
        <v>1507</v>
      </c>
      <c r="B558" s="330" t="s">
        <v>1748</v>
      </c>
      <c r="C558" s="330" t="s">
        <v>1508</v>
      </c>
      <c r="D558" s="330" t="s">
        <v>1468</v>
      </c>
      <c r="E558" s="371">
        <v>133495.22</v>
      </c>
      <c r="F558" s="398">
        <v>133495.22</v>
      </c>
      <c r="G558" s="400">
        <f t="shared" si="8"/>
        <v>100</v>
      </c>
    </row>
    <row r="559" spans="1:7">
      <c r="A559" s="329" t="s">
        <v>283</v>
      </c>
      <c r="B559" s="330" t="s">
        <v>1748</v>
      </c>
      <c r="C559" s="330" t="s">
        <v>1508</v>
      </c>
      <c r="D559" s="330" t="s">
        <v>1363</v>
      </c>
      <c r="E559" s="371">
        <v>133495.22</v>
      </c>
      <c r="F559" s="398">
        <v>133495.22</v>
      </c>
      <c r="G559" s="400">
        <f t="shared" si="8"/>
        <v>100</v>
      </c>
    </row>
    <row r="560" spans="1:7">
      <c r="A560" s="329" t="s">
        <v>180</v>
      </c>
      <c r="B560" s="330" t="s">
        <v>1748</v>
      </c>
      <c r="C560" s="330" t="s">
        <v>1508</v>
      </c>
      <c r="D560" s="330" t="s">
        <v>452</v>
      </c>
      <c r="E560" s="371">
        <v>133495.22</v>
      </c>
      <c r="F560" s="398">
        <v>133495.22</v>
      </c>
      <c r="G560" s="400">
        <f t="shared" si="8"/>
        <v>100</v>
      </c>
    </row>
    <row r="561" spans="1:7" ht="153">
      <c r="A561" s="329" t="s">
        <v>1866</v>
      </c>
      <c r="B561" s="330" t="s">
        <v>1867</v>
      </c>
      <c r="C561" s="330" t="s">
        <v>1468</v>
      </c>
      <c r="D561" s="330" t="s">
        <v>1468</v>
      </c>
      <c r="E561" s="371">
        <v>324611.21000000002</v>
      </c>
      <c r="F561" s="398">
        <v>324611.21000000002</v>
      </c>
      <c r="G561" s="400">
        <f t="shared" si="8"/>
        <v>100</v>
      </c>
    </row>
    <row r="562" spans="1:7" ht="63.75">
      <c r="A562" s="329" t="s">
        <v>1754</v>
      </c>
      <c r="B562" s="330" t="s">
        <v>1867</v>
      </c>
      <c r="C562" s="330" t="s">
        <v>322</v>
      </c>
      <c r="D562" s="330" t="s">
        <v>1468</v>
      </c>
      <c r="E562" s="371">
        <v>324611.21000000002</v>
      </c>
      <c r="F562" s="398">
        <v>324611.21000000002</v>
      </c>
      <c r="G562" s="400">
        <f t="shared" si="8"/>
        <v>100</v>
      </c>
    </row>
    <row r="563" spans="1:7">
      <c r="A563" s="329" t="s">
        <v>1487</v>
      </c>
      <c r="B563" s="330" t="s">
        <v>1867</v>
      </c>
      <c r="C563" s="330" t="s">
        <v>165</v>
      </c>
      <c r="D563" s="330" t="s">
        <v>1468</v>
      </c>
      <c r="E563" s="371">
        <v>324611.21000000002</v>
      </c>
      <c r="F563" s="398">
        <v>324611.21000000002</v>
      </c>
      <c r="G563" s="400">
        <f t="shared" si="8"/>
        <v>100</v>
      </c>
    </row>
    <row r="564" spans="1:7">
      <c r="A564" s="329" t="s">
        <v>283</v>
      </c>
      <c r="B564" s="330" t="s">
        <v>1867</v>
      </c>
      <c r="C564" s="330" t="s">
        <v>165</v>
      </c>
      <c r="D564" s="330" t="s">
        <v>1363</v>
      </c>
      <c r="E564" s="371">
        <v>324611.21000000002</v>
      </c>
      <c r="F564" s="398">
        <v>324611.21000000002</v>
      </c>
      <c r="G564" s="400">
        <f t="shared" si="8"/>
        <v>100</v>
      </c>
    </row>
    <row r="565" spans="1:7">
      <c r="A565" s="329" t="s">
        <v>180</v>
      </c>
      <c r="B565" s="330" t="s">
        <v>1867</v>
      </c>
      <c r="C565" s="330" t="s">
        <v>165</v>
      </c>
      <c r="D565" s="330" t="s">
        <v>452</v>
      </c>
      <c r="E565" s="371">
        <v>324611.21000000002</v>
      </c>
      <c r="F565" s="398">
        <v>324611.21000000002</v>
      </c>
      <c r="G565" s="400">
        <f t="shared" si="8"/>
        <v>100</v>
      </c>
    </row>
    <row r="566" spans="1:7" ht="114.75">
      <c r="A566" s="329" t="s">
        <v>1749</v>
      </c>
      <c r="B566" s="330" t="s">
        <v>1750</v>
      </c>
      <c r="C566" s="330" t="s">
        <v>1468</v>
      </c>
      <c r="D566" s="330" t="s">
        <v>1468</v>
      </c>
      <c r="E566" s="371">
        <v>36880.800000000003</v>
      </c>
      <c r="F566" s="398">
        <v>36880.800000000003</v>
      </c>
      <c r="G566" s="400">
        <f t="shared" si="8"/>
        <v>100</v>
      </c>
    </row>
    <row r="567" spans="1:7" ht="63.75">
      <c r="A567" s="329" t="s">
        <v>1754</v>
      </c>
      <c r="B567" s="330" t="s">
        <v>1750</v>
      </c>
      <c r="C567" s="330" t="s">
        <v>322</v>
      </c>
      <c r="D567" s="330" t="s">
        <v>1468</v>
      </c>
      <c r="E567" s="371">
        <v>36880.800000000003</v>
      </c>
      <c r="F567" s="398">
        <v>36880.800000000003</v>
      </c>
      <c r="G567" s="400">
        <f t="shared" si="8"/>
        <v>100</v>
      </c>
    </row>
    <row r="568" spans="1:7">
      <c r="A568" s="329" t="s">
        <v>1487</v>
      </c>
      <c r="B568" s="330" t="s">
        <v>1750</v>
      </c>
      <c r="C568" s="330" t="s">
        <v>165</v>
      </c>
      <c r="D568" s="330" t="s">
        <v>1468</v>
      </c>
      <c r="E568" s="371">
        <v>36880.800000000003</v>
      </c>
      <c r="F568" s="398">
        <v>36880.800000000003</v>
      </c>
      <c r="G568" s="400">
        <f t="shared" si="8"/>
        <v>100</v>
      </c>
    </row>
    <row r="569" spans="1:7">
      <c r="A569" s="329" t="s">
        <v>283</v>
      </c>
      <c r="B569" s="330" t="s">
        <v>1750</v>
      </c>
      <c r="C569" s="330" t="s">
        <v>165</v>
      </c>
      <c r="D569" s="330" t="s">
        <v>1363</v>
      </c>
      <c r="E569" s="371">
        <v>36880.800000000003</v>
      </c>
      <c r="F569" s="398">
        <v>36880.800000000003</v>
      </c>
      <c r="G569" s="400">
        <f t="shared" si="8"/>
        <v>100</v>
      </c>
    </row>
    <row r="570" spans="1:7">
      <c r="A570" s="329" t="s">
        <v>180</v>
      </c>
      <c r="B570" s="330" t="s">
        <v>1750</v>
      </c>
      <c r="C570" s="330" t="s">
        <v>165</v>
      </c>
      <c r="D570" s="330" t="s">
        <v>452</v>
      </c>
      <c r="E570" s="371">
        <v>36880.800000000003</v>
      </c>
      <c r="F570" s="398">
        <v>36880.800000000003</v>
      </c>
      <c r="G570" s="400">
        <f t="shared" si="8"/>
        <v>100</v>
      </c>
    </row>
    <row r="571" spans="1:7" ht="114.75">
      <c r="A571" s="329" t="s">
        <v>1751</v>
      </c>
      <c r="B571" s="330" t="s">
        <v>1752</v>
      </c>
      <c r="C571" s="330" t="s">
        <v>1468</v>
      </c>
      <c r="D571" s="330" t="s">
        <v>1468</v>
      </c>
      <c r="E571" s="371">
        <v>608682.81000000006</v>
      </c>
      <c r="F571" s="400">
        <v>458494.71999999997</v>
      </c>
      <c r="G571" s="400">
        <f t="shared" si="8"/>
        <v>75.325721782745916</v>
      </c>
    </row>
    <row r="572" spans="1:7" ht="25.5">
      <c r="A572" s="329" t="s">
        <v>1755</v>
      </c>
      <c r="B572" s="330" t="s">
        <v>1752</v>
      </c>
      <c r="C572" s="330" t="s">
        <v>1756</v>
      </c>
      <c r="D572" s="330" t="s">
        <v>1468</v>
      </c>
      <c r="E572" s="371">
        <v>608682.81000000006</v>
      </c>
      <c r="F572" s="400">
        <v>458494.71999999997</v>
      </c>
      <c r="G572" s="400">
        <f t="shared" si="8"/>
        <v>75.325721782745916</v>
      </c>
    </row>
    <row r="573" spans="1:7" ht="25.5">
      <c r="A573" s="329" t="s">
        <v>1502</v>
      </c>
      <c r="B573" s="330" t="s">
        <v>1752</v>
      </c>
      <c r="C573" s="330" t="s">
        <v>1503</v>
      </c>
      <c r="D573" s="330" t="s">
        <v>1468</v>
      </c>
      <c r="E573" s="371">
        <v>608682.81000000006</v>
      </c>
      <c r="F573" s="400">
        <v>458494.71999999997</v>
      </c>
      <c r="G573" s="400">
        <f t="shared" si="8"/>
        <v>75.325721782745916</v>
      </c>
    </row>
    <row r="574" spans="1:7">
      <c r="A574" s="329" t="s">
        <v>283</v>
      </c>
      <c r="B574" s="330" t="s">
        <v>1752</v>
      </c>
      <c r="C574" s="330" t="s">
        <v>1503</v>
      </c>
      <c r="D574" s="330" t="s">
        <v>1363</v>
      </c>
      <c r="E574" s="371">
        <v>608682.81000000006</v>
      </c>
      <c r="F574" s="400">
        <v>458494.71999999997</v>
      </c>
      <c r="G574" s="400">
        <f t="shared" si="8"/>
        <v>75.325721782745916</v>
      </c>
    </row>
    <row r="575" spans="1:7">
      <c r="A575" s="329" t="s">
        <v>180</v>
      </c>
      <c r="B575" s="330" t="s">
        <v>1752</v>
      </c>
      <c r="C575" s="330" t="s">
        <v>1503</v>
      </c>
      <c r="D575" s="330" t="s">
        <v>452</v>
      </c>
      <c r="E575" s="371">
        <v>608682.81000000006</v>
      </c>
      <c r="F575" s="400">
        <v>458494.71999999997</v>
      </c>
      <c r="G575" s="400">
        <f t="shared" si="8"/>
        <v>75.325721782745916</v>
      </c>
    </row>
    <row r="576" spans="1:7" ht="114.75">
      <c r="A576" s="329" t="s">
        <v>1945</v>
      </c>
      <c r="B576" s="330" t="s">
        <v>1946</v>
      </c>
      <c r="C576" s="330" t="s">
        <v>1468</v>
      </c>
      <c r="D576" s="330" t="s">
        <v>1468</v>
      </c>
      <c r="E576" s="371">
        <v>14750</v>
      </c>
      <c r="F576" s="398">
        <v>14750</v>
      </c>
      <c r="G576" s="400">
        <f t="shared" si="8"/>
        <v>100</v>
      </c>
    </row>
    <row r="577" spans="1:7" ht="25.5">
      <c r="A577" s="329" t="s">
        <v>1755</v>
      </c>
      <c r="B577" s="330" t="s">
        <v>1946</v>
      </c>
      <c r="C577" s="330" t="s">
        <v>1756</v>
      </c>
      <c r="D577" s="330" t="s">
        <v>1468</v>
      </c>
      <c r="E577" s="371">
        <v>14750</v>
      </c>
      <c r="F577" s="398">
        <v>14750</v>
      </c>
      <c r="G577" s="400">
        <f t="shared" si="8"/>
        <v>100</v>
      </c>
    </row>
    <row r="578" spans="1:7" ht="25.5">
      <c r="A578" s="329" t="s">
        <v>1502</v>
      </c>
      <c r="B578" s="330" t="s">
        <v>1946</v>
      </c>
      <c r="C578" s="330" t="s">
        <v>1503</v>
      </c>
      <c r="D578" s="330" t="s">
        <v>1468</v>
      </c>
      <c r="E578" s="371">
        <v>14750</v>
      </c>
      <c r="F578" s="398">
        <v>14750</v>
      </c>
      <c r="G578" s="400">
        <f t="shared" si="8"/>
        <v>100</v>
      </c>
    </row>
    <row r="579" spans="1:7">
      <c r="A579" s="329" t="s">
        <v>283</v>
      </c>
      <c r="B579" s="330" t="s">
        <v>1946</v>
      </c>
      <c r="C579" s="330" t="s">
        <v>1503</v>
      </c>
      <c r="D579" s="330" t="s">
        <v>1363</v>
      </c>
      <c r="E579" s="371">
        <v>14750</v>
      </c>
      <c r="F579" s="398">
        <v>14750</v>
      </c>
      <c r="G579" s="400">
        <f t="shared" si="8"/>
        <v>100</v>
      </c>
    </row>
    <row r="580" spans="1:7">
      <c r="A580" s="329" t="s">
        <v>180</v>
      </c>
      <c r="B580" s="330" t="s">
        <v>1946</v>
      </c>
      <c r="C580" s="330" t="s">
        <v>1503</v>
      </c>
      <c r="D580" s="330" t="s">
        <v>452</v>
      </c>
      <c r="E580" s="371">
        <v>14750</v>
      </c>
      <c r="F580" s="398">
        <v>14750</v>
      </c>
      <c r="G580" s="400">
        <f t="shared" si="8"/>
        <v>100</v>
      </c>
    </row>
    <row r="581" spans="1:7" ht="165.75">
      <c r="A581" s="329" t="s">
        <v>2065</v>
      </c>
      <c r="B581" s="330" t="s">
        <v>2066</v>
      </c>
      <c r="C581" s="330" t="s">
        <v>1468</v>
      </c>
      <c r="D581" s="330" t="s">
        <v>1468</v>
      </c>
      <c r="E581" s="371">
        <v>381</v>
      </c>
      <c r="F581" s="398">
        <v>381</v>
      </c>
      <c r="G581" s="400">
        <f t="shared" si="8"/>
        <v>100</v>
      </c>
    </row>
    <row r="582" spans="1:7">
      <c r="A582" s="329" t="s">
        <v>1757</v>
      </c>
      <c r="B582" s="330" t="s">
        <v>2066</v>
      </c>
      <c r="C582" s="330" t="s">
        <v>1758</v>
      </c>
      <c r="D582" s="330" t="s">
        <v>1468</v>
      </c>
      <c r="E582" s="371">
        <v>381</v>
      </c>
      <c r="F582" s="398">
        <v>381</v>
      </c>
      <c r="G582" s="400">
        <f t="shared" si="8"/>
        <v>100</v>
      </c>
    </row>
    <row r="583" spans="1:7" ht="51">
      <c r="A583" s="329" t="s">
        <v>1512</v>
      </c>
      <c r="B583" s="330" t="s">
        <v>2066</v>
      </c>
      <c r="C583" s="330" t="s">
        <v>442</v>
      </c>
      <c r="D583" s="330" t="s">
        <v>1468</v>
      </c>
      <c r="E583" s="371">
        <v>381</v>
      </c>
      <c r="F583" s="398">
        <v>381</v>
      </c>
      <c r="G583" s="400">
        <f t="shared" si="8"/>
        <v>100</v>
      </c>
    </row>
    <row r="584" spans="1:7">
      <c r="A584" s="329" t="s">
        <v>283</v>
      </c>
      <c r="B584" s="330" t="s">
        <v>2066</v>
      </c>
      <c r="C584" s="330" t="s">
        <v>442</v>
      </c>
      <c r="D584" s="330" t="s">
        <v>1363</v>
      </c>
      <c r="E584" s="371">
        <v>381</v>
      </c>
      <c r="F584" s="398">
        <v>381</v>
      </c>
      <c r="G584" s="400">
        <f t="shared" si="8"/>
        <v>100</v>
      </c>
    </row>
    <row r="585" spans="1:7">
      <c r="A585" s="329" t="s">
        <v>180</v>
      </c>
      <c r="B585" s="330" t="s">
        <v>2066</v>
      </c>
      <c r="C585" s="330" t="s">
        <v>442</v>
      </c>
      <c r="D585" s="330" t="s">
        <v>452</v>
      </c>
      <c r="E585" s="371">
        <v>381</v>
      </c>
      <c r="F585" s="398">
        <v>381</v>
      </c>
      <c r="G585" s="400">
        <f t="shared" ref="G585:G648" si="9">F585/E585*100</f>
        <v>100</v>
      </c>
    </row>
    <row r="586" spans="1:7" ht="51">
      <c r="A586" s="329" t="s">
        <v>701</v>
      </c>
      <c r="B586" s="330" t="s">
        <v>1115</v>
      </c>
      <c r="C586" s="330" t="s">
        <v>1468</v>
      </c>
      <c r="D586" s="330" t="s">
        <v>1468</v>
      </c>
      <c r="E586" s="371">
        <v>185000</v>
      </c>
      <c r="F586" s="400">
        <v>180284.59</v>
      </c>
      <c r="G586" s="400">
        <f t="shared" si="9"/>
        <v>97.451129729729729</v>
      </c>
    </row>
    <row r="587" spans="1:7" ht="89.25">
      <c r="A587" s="329" t="s">
        <v>623</v>
      </c>
      <c r="B587" s="330" t="s">
        <v>865</v>
      </c>
      <c r="C587" s="330" t="s">
        <v>1468</v>
      </c>
      <c r="D587" s="330" t="s">
        <v>1468</v>
      </c>
      <c r="E587" s="371">
        <v>185000</v>
      </c>
      <c r="F587" s="400">
        <v>180284.59</v>
      </c>
      <c r="G587" s="400">
        <f t="shared" si="9"/>
        <v>97.451129729729729</v>
      </c>
    </row>
    <row r="588" spans="1:7" ht="25.5">
      <c r="A588" s="329" t="s">
        <v>1755</v>
      </c>
      <c r="B588" s="330" t="s">
        <v>865</v>
      </c>
      <c r="C588" s="330" t="s">
        <v>1756</v>
      </c>
      <c r="D588" s="330" t="s">
        <v>1468</v>
      </c>
      <c r="E588" s="371">
        <v>185000</v>
      </c>
      <c r="F588" s="400">
        <v>180284.59</v>
      </c>
      <c r="G588" s="400">
        <f t="shared" si="9"/>
        <v>97.451129729729729</v>
      </c>
    </row>
    <row r="589" spans="1:7" ht="25.5">
      <c r="A589" s="329" t="s">
        <v>1502</v>
      </c>
      <c r="B589" s="330" t="s">
        <v>865</v>
      </c>
      <c r="C589" s="330" t="s">
        <v>1503</v>
      </c>
      <c r="D589" s="330" t="s">
        <v>1468</v>
      </c>
      <c r="E589" s="371">
        <v>185000</v>
      </c>
      <c r="F589" s="400">
        <v>180284.59</v>
      </c>
      <c r="G589" s="400">
        <f t="shared" si="9"/>
        <v>97.451129729729729</v>
      </c>
    </row>
    <row r="590" spans="1:7">
      <c r="A590" s="329" t="s">
        <v>283</v>
      </c>
      <c r="B590" s="330" t="s">
        <v>865</v>
      </c>
      <c r="C590" s="330" t="s">
        <v>1503</v>
      </c>
      <c r="D590" s="330" t="s">
        <v>1363</v>
      </c>
      <c r="E590" s="371">
        <v>185000</v>
      </c>
      <c r="F590" s="400">
        <v>180284.59</v>
      </c>
      <c r="G590" s="400">
        <f t="shared" si="9"/>
        <v>97.451129729729729</v>
      </c>
    </row>
    <row r="591" spans="1:7">
      <c r="A591" s="329" t="s">
        <v>3</v>
      </c>
      <c r="B591" s="330" t="s">
        <v>865</v>
      </c>
      <c r="C591" s="330" t="s">
        <v>1503</v>
      </c>
      <c r="D591" s="330" t="s">
        <v>474</v>
      </c>
      <c r="E591" s="371">
        <v>185000</v>
      </c>
      <c r="F591" s="400">
        <v>180284.59</v>
      </c>
      <c r="G591" s="400">
        <f t="shared" si="9"/>
        <v>97.451129729729729</v>
      </c>
    </row>
    <row r="592" spans="1:7" ht="38.25">
      <c r="A592" s="329" t="s">
        <v>547</v>
      </c>
      <c r="B592" s="330" t="s">
        <v>1746</v>
      </c>
      <c r="C592" s="330" t="s">
        <v>1468</v>
      </c>
      <c r="D592" s="330" t="s">
        <v>1468</v>
      </c>
      <c r="E592" s="371">
        <v>2069080.46</v>
      </c>
      <c r="F592" s="398">
        <v>2069080.46</v>
      </c>
      <c r="G592" s="400">
        <f t="shared" si="9"/>
        <v>100</v>
      </c>
    </row>
    <row r="593" spans="1:7" ht="76.5">
      <c r="A593" s="329" t="s">
        <v>485</v>
      </c>
      <c r="B593" s="330" t="s">
        <v>893</v>
      </c>
      <c r="C593" s="330" t="s">
        <v>1468</v>
      </c>
      <c r="D593" s="330" t="s">
        <v>1468</v>
      </c>
      <c r="E593" s="371">
        <v>2069080.46</v>
      </c>
      <c r="F593" s="398">
        <v>2069080.46</v>
      </c>
      <c r="G593" s="400">
        <f t="shared" si="9"/>
        <v>100</v>
      </c>
    </row>
    <row r="594" spans="1:7" ht="25.5">
      <c r="A594" s="329" t="s">
        <v>1755</v>
      </c>
      <c r="B594" s="330" t="s">
        <v>893</v>
      </c>
      <c r="C594" s="330" t="s">
        <v>1756</v>
      </c>
      <c r="D594" s="330" t="s">
        <v>1468</v>
      </c>
      <c r="E594" s="371">
        <v>2069080.46</v>
      </c>
      <c r="F594" s="398">
        <v>2069080.46</v>
      </c>
      <c r="G594" s="400">
        <f t="shared" si="9"/>
        <v>100</v>
      </c>
    </row>
    <row r="595" spans="1:7" ht="25.5">
      <c r="A595" s="329" t="s">
        <v>1502</v>
      </c>
      <c r="B595" s="330" t="s">
        <v>893</v>
      </c>
      <c r="C595" s="330" t="s">
        <v>1503</v>
      </c>
      <c r="D595" s="330" t="s">
        <v>1468</v>
      </c>
      <c r="E595" s="371">
        <v>2069080.46</v>
      </c>
      <c r="F595" s="398">
        <v>2069080.46</v>
      </c>
      <c r="G595" s="400">
        <f t="shared" si="9"/>
        <v>100</v>
      </c>
    </row>
    <row r="596" spans="1:7">
      <c r="A596" s="329" t="s">
        <v>173</v>
      </c>
      <c r="B596" s="330" t="s">
        <v>893</v>
      </c>
      <c r="C596" s="330" t="s">
        <v>1503</v>
      </c>
      <c r="D596" s="330" t="s">
        <v>1364</v>
      </c>
      <c r="E596" s="371">
        <v>2069080.46</v>
      </c>
      <c r="F596" s="398">
        <v>2069080.46</v>
      </c>
      <c r="G596" s="400">
        <f t="shared" si="9"/>
        <v>100</v>
      </c>
    </row>
    <row r="597" spans="1:7">
      <c r="A597" s="329" t="s">
        <v>186</v>
      </c>
      <c r="B597" s="330" t="s">
        <v>893</v>
      </c>
      <c r="C597" s="330" t="s">
        <v>1503</v>
      </c>
      <c r="D597" s="330" t="s">
        <v>497</v>
      </c>
      <c r="E597" s="371">
        <v>647561.07999999996</v>
      </c>
      <c r="F597" s="400">
        <v>647561.07999999996</v>
      </c>
      <c r="G597" s="400">
        <f t="shared" si="9"/>
        <v>100</v>
      </c>
    </row>
    <row r="598" spans="1:7">
      <c r="A598" s="329" t="s">
        <v>187</v>
      </c>
      <c r="B598" s="330" t="s">
        <v>893</v>
      </c>
      <c r="C598" s="330" t="s">
        <v>1503</v>
      </c>
      <c r="D598" s="330" t="s">
        <v>484</v>
      </c>
      <c r="E598" s="371">
        <v>1421519.38</v>
      </c>
      <c r="F598" s="400">
        <v>1421519.38</v>
      </c>
      <c r="G598" s="400">
        <f t="shared" si="9"/>
        <v>100</v>
      </c>
    </row>
    <row r="599" spans="1:7" ht="38.25">
      <c r="A599" s="329" t="s">
        <v>702</v>
      </c>
      <c r="B599" s="330" t="s">
        <v>1116</v>
      </c>
      <c r="C599" s="330" t="s">
        <v>1468</v>
      </c>
      <c r="D599" s="330" t="s">
        <v>1468</v>
      </c>
      <c r="E599" s="371">
        <v>53214773.030000001</v>
      </c>
      <c r="F599" s="400">
        <v>24742773.93</v>
      </c>
      <c r="G599" s="400">
        <f t="shared" si="9"/>
        <v>46.496062129309806</v>
      </c>
    </row>
    <row r="600" spans="1:7" ht="216.75">
      <c r="A600" s="329" t="s">
        <v>1909</v>
      </c>
      <c r="B600" s="330" t="s">
        <v>1910</v>
      </c>
      <c r="C600" s="330" t="s">
        <v>1468</v>
      </c>
      <c r="D600" s="330" t="s">
        <v>1468</v>
      </c>
      <c r="E600" s="371">
        <v>22300000</v>
      </c>
      <c r="F600" s="400">
        <v>21175995.789999999</v>
      </c>
      <c r="G600" s="400">
        <f t="shared" si="9"/>
        <v>94.959622376681608</v>
      </c>
    </row>
    <row r="601" spans="1:7" ht="25.5">
      <c r="A601" s="329" t="s">
        <v>1755</v>
      </c>
      <c r="B601" s="330" t="s">
        <v>1910</v>
      </c>
      <c r="C601" s="330" t="s">
        <v>1756</v>
      </c>
      <c r="D601" s="330" t="s">
        <v>1468</v>
      </c>
      <c r="E601" s="371">
        <v>22300000</v>
      </c>
      <c r="F601" s="400">
        <v>21175995.789999999</v>
      </c>
      <c r="G601" s="400">
        <f t="shared" si="9"/>
        <v>94.959622376681608</v>
      </c>
    </row>
    <row r="602" spans="1:7" ht="25.5">
      <c r="A602" s="329" t="s">
        <v>1502</v>
      </c>
      <c r="B602" s="330" t="s">
        <v>1910</v>
      </c>
      <c r="C602" s="330" t="s">
        <v>1503</v>
      </c>
      <c r="D602" s="330" t="s">
        <v>1468</v>
      </c>
      <c r="E602" s="371">
        <v>22300000</v>
      </c>
      <c r="F602" s="400">
        <v>21175995.789999999</v>
      </c>
      <c r="G602" s="400">
        <f t="shared" si="9"/>
        <v>94.959622376681608</v>
      </c>
    </row>
    <row r="603" spans="1:7">
      <c r="A603" s="329" t="s">
        <v>283</v>
      </c>
      <c r="B603" s="330" t="s">
        <v>1910</v>
      </c>
      <c r="C603" s="330" t="s">
        <v>1503</v>
      </c>
      <c r="D603" s="330" t="s">
        <v>1363</v>
      </c>
      <c r="E603" s="371">
        <v>22300000</v>
      </c>
      <c r="F603" s="400">
        <v>21175995.789999999</v>
      </c>
      <c r="G603" s="400">
        <f t="shared" si="9"/>
        <v>94.959622376681608</v>
      </c>
    </row>
    <row r="604" spans="1:7">
      <c r="A604" s="329" t="s">
        <v>180</v>
      </c>
      <c r="B604" s="330" t="s">
        <v>1910</v>
      </c>
      <c r="C604" s="330" t="s">
        <v>1503</v>
      </c>
      <c r="D604" s="330" t="s">
        <v>452</v>
      </c>
      <c r="E604" s="371">
        <v>22300000</v>
      </c>
      <c r="F604" s="400">
        <v>21175995.789999999</v>
      </c>
      <c r="G604" s="400">
        <f t="shared" si="9"/>
        <v>94.959622376681608</v>
      </c>
    </row>
    <row r="605" spans="1:7" ht="89.25">
      <c r="A605" s="329" t="s">
        <v>475</v>
      </c>
      <c r="B605" s="330" t="s">
        <v>821</v>
      </c>
      <c r="C605" s="330" t="s">
        <v>1468</v>
      </c>
      <c r="D605" s="330" t="s">
        <v>1468</v>
      </c>
      <c r="E605" s="371">
        <v>30317769.09</v>
      </c>
      <c r="F605" s="400">
        <v>2969774.2</v>
      </c>
      <c r="G605" s="400">
        <f t="shared" si="9"/>
        <v>9.795490529610074</v>
      </c>
    </row>
    <row r="606" spans="1:7" ht="25.5">
      <c r="A606" s="329" t="s">
        <v>1755</v>
      </c>
      <c r="B606" s="330" t="s">
        <v>821</v>
      </c>
      <c r="C606" s="330" t="s">
        <v>1756</v>
      </c>
      <c r="D606" s="330" t="s">
        <v>1468</v>
      </c>
      <c r="E606" s="371">
        <v>30317769.09</v>
      </c>
      <c r="F606" s="400">
        <v>2969774.2</v>
      </c>
      <c r="G606" s="400">
        <f t="shared" si="9"/>
        <v>9.795490529610074</v>
      </c>
    </row>
    <row r="607" spans="1:7" ht="25.5">
      <c r="A607" s="329" t="s">
        <v>1502</v>
      </c>
      <c r="B607" s="330" t="s">
        <v>821</v>
      </c>
      <c r="C607" s="330" t="s">
        <v>1503</v>
      </c>
      <c r="D607" s="330" t="s">
        <v>1468</v>
      </c>
      <c r="E607" s="371">
        <v>30317769.09</v>
      </c>
      <c r="F607" s="400">
        <v>2969774.2</v>
      </c>
      <c r="G607" s="400">
        <f t="shared" si="9"/>
        <v>9.795490529610074</v>
      </c>
    </row>
    <row r="608" spans="1:7">
      <c r="A608" s="329" t="s">
        <v>283</v>
      </c>
      <c r="B608" s="330" t="s">
        <v>821</v>
      </c>
      <c r="C608" s="330" t="s">
        <v>1503</v>
      </c>
      <c r="D608" s="330" t="s">
        <v>1363</v>
      </c>
      <c r="E608" s="371">
        <v>30317769.09</v>
      </c>
      <c r="F608" s="400">
        <v>2969774.2</v>
      </c>
      <c r="G608" s="400">
        <f t="shared" si="9"/>
        <v>9.795490529610074</v>
      </c>
    </row>
    <row r="609" spans="1:7">
      <c r="A609" s="329" t="s">
        <v>180</v>
      </c>
      <c r="B609" s="330" t="s">
        <v>821</v>
      </c>
      <c r="C609" s="330" t="s">
        <v>1503</v>
      </c>
      <c r="D609" s="330" t="s">
        <v>452</v>
      </c>
      <c r="E609" s="371">
        <v>30317769.09</v>
      </c>
      <c r="F609" s="400">
        <v>2969774.2</v>
      </c>
      <c r="G609" s="400">
        <f t="shared" si="9"/>
        <v>9.795490529610074</v>
      </c>
    </row>
    <row r="610" spans="1:7" ht="102">
      <c r="A610" s="329" t="s">
        <v>2001</v>
      </c>
      <c r="B610" s="330" t="s">
        <v>2006</v>
      </c>
      <c r="C610" s="330" t="s">
        <v>1468</v>
      </c>
      <c r="D610" s="330" t="s">
        <v>1468</v>
      </c>
      <c r="E610" s="371">
        <v>332492.59999999998</v>
      </c>
      <c r="F610" s="398">
        <v>332492.59999999998</v>
      </c>
      <c r="G610" s="400">
        <f t="shared" si="9"/>
        <v>100</v>
      </c>
    </row>
    <row r="611" spans="1:7" ht="25.5">
      <c r="A611" s="329" t="s">
        <v>1755</v>
      </c>
      <c r="B611" s="330" t="s">
        <v>2006</v>
      </c>
      <c r="C611" s="330" t="s">
        <v>1756</v>
      </c>
      <c r="D611" s="330" t="s">
        <v>1468</v>
      </c>
      <c r="E611" s="371">
        <v>332492.59999999998</v>
      </c>
      <c r="F611" s="398">
        <v>332492.59999999998</v>
      </c>
      <c r="G611" s="400">
        <f t="shared" si="9"/>
        <v>100</v>
      </c>
    </row>
    <row r="612" spans="1:7" ht="25.5">
      <c r="A612" s="329" t="s">
        <v>1502</v>
      </c>
      <c r="B612" s="330" t="s">
        <v>2006</v>
      </c>
      <c r="C612" s="330" t="s">
        <v>1503</v>
      </c>
      <c r="D612" s="330" t="s">
        <v>1468</v>
      </c>
      <c r="E612" s="371">
        <v>332492.59999999998</v>
      </c>
      <c r="F612" s="398">
        <v>332492.59999999998</v>
      </c>
      <c r="G612" s="400">
        <f t="shared" si="9"/>
        <v>100</v>
      </c>
    </row>
    <row r="613" spans="1:7">
      <c r="A613" s="329" t="s">
        <v>283</v>
      </c>
      <c r="B613" s="330" t="s">
        <v>2006</v>
      </c>
      <c r="C613" s="330" t="s">
        <v>1503</v>
      </c>
      <c r="D613" s="330" t="s">
        <v>1363</v>
      </c>
      <c r="E613" s="371">
        <v>332492.59999999998</v>
      </c>
      <c r="F613" s="398">
        <v>332492.59999999998</v>
      </c>
      <c r="G613" s="400">
        <f t="shared" si="9"/>
        <v>100</v>
      </c>
    </row>
    <row r="614" spans="1:7">
      <c r="A614" s="329" t="s">
        <v>180</v>
      </c>
      <c r="B614" s="330" t="s">
        <v>2006</v>
      </c>
      <c r="C614" s="330" t="s">
        <v>1503</v>
      </c>
      <c r="D614" s="330" t="s">
        <v>452</v>
      </c>
      <c r="E614" s="371">
        <v>332492.59999999998</v>
      </c>
      <c r="F614" s="398">
        <v>332492.59999999998</v>
      </c>
      <c r="G614" s="400">
        <f t="shared" si="9"/>
        <v>100</v>
      </c>
    </row>
    <row r="615" spans="1:7" ht="216.75">
      <c r="A615" s="329" t="s">
        <v>1911</v>
      </c>
      <c r="B615" s="330" t="s">
        <v>1912</v>
      </c>
      <c r="C615" s="330" t="s">
        <v>1468</v>
      </c>
      <c r="D615" s="330" t="s">
        <v>1468</v>
      </c>
      <c r="E615" s="371">
        <v>264511.34000000003</v>
      </c>
      <c r="F615" s="398">
        <v>264511.34000000003</v>
      </c>
      <c r="G615" s="400">
        <f t="shared" si="9"/>
        <v>100</v>
      </c>
    </row>
    <row r="616" spans="1:7" ht="25.5">
      <c r="A616" s="329" t="s">
        <v>1755</v>
      </c>
      <c r="B616" s="330" t="s">
        <v>1912</v>
      </c>
      <c r="C616" s="330" t="s">
        <v>1756</v>
      </c>
      <c r="D616" s="330" t="s">
        <v>1468</v>
      </c>
      <c r="E616" s="371">
        <v>264511.34000000003</v>
      </c>
      <c r="F616" s="398">
        <v>264511.34000000003</v>
      </c>
      <c r="G616" s="400">
        <f t="shared" si="9"/>
        <v>100</v>
      </c>
    </row>
    <row r="617" spans="1:7" ht="25.5">
      <c r="A617" s="329" t="s">
        <v>1502</v>
      </c>
      <c r="B617" s="330" t="s">
        <v>1912</v>
      </c>
      <c r="C617" s="330" t="s">
        <v>1503</v>
      </c>
      <c r="D617" s="330" t="s">
        <v>1468</v>
      </c>
      <c r="E617" s="371">
        <v>264511.34000000003</v>
      </c>
      <c r="F617" s="398">
        <v>264511.34000000003</v>
      </c>
      <c r="G617" s="400">
        <f t="shared" si="9"/>
        <v>100</v>
      </c>
    </row>
    <row r="618" spans="1:7">
      <c r="A618" s="329" t="s">
        <v>283</v>
      </c>
      <c r="B618" s="330" t="s">
        <v>1912</v>
      </c>
      <c r="C618" s="330" t="s">
        <v>1503</v>
      </c>
      <c r="D618" s="330" t="s">
        <v>1363</v>
      </c>
      <c r="E618" s="371">
        <v>264511.34000000003</v>
      </c>
      <c r="F618" s="398">
        <v>264511.34000000003</v>
      </c>
      <c r="G618" s="400">
        <f t="shared" si="9"/>
        <v>100</v>
      </c>
    </row>
    <row r="619" spans="1:7">
      <c r="A619" s="329" t="s">
        <v>180</v>
      </c>
      <c r="B619" s="330" t="s">
        <v>1912</v>
      </c>
      <c r="C619" s="330" t="s">
        <v>1503</v>
      </c>
      <c r="D619" s="330" t="s">
        <v>452</v>
      </c>
      <c r="E619" s="371">
        <v>264511.34000000003</v>
      </c>
      <c r="F619" s="398">
        <v>264511.34000000003</v>
      </c>
      <c r="G619" s="400">
        <f t="shared" si="9"/>
        <v>100</v>
      </c>
    </row>
    <row r="620" spans="1:7" ht="25.5">
      <c r="A620" s="329" t="s">
        <v>950</v>
      </c>
      <c r="B620" s="330" t="s">
        <v>1201</v>
      </c>
      <c r="C620" s="330" t="s">
        <v>1468</v>
      </c>
      <c r="D620" s="330" t="s">
        <v>1468</v>
      </c>
      <c r="E620" s="371">
        <v>14832921.4</v>
      </c>
      <c r="F620" s="400">
        <v>8892899.4000000004</v>
      </c>
      <c r="G620" s="400">
        <f t="shared" si="9"/>
        <v>59.953795750579516</v>
      </c>
    </row>
    <row r="621" spans="1:7" ht="102">
      <c r="A621" s="329" t="s">
        <v>1966</v>
      </c>
      <c r="B621" s="330" t="s">
        <v>1967</v>
      </c>
      <c r="C621" s="330" t="s">
        <v>1468</v>
      </c>
      <c r="D621" s="330" t="s">
        <v>1468</v>
      </c>
      <c r="E621" s="371">
        <v>10459660</v>
      </c>
      <c r="F621" s="400">
        <v>6738160</v>
      </c>
      <c r="G621" s="400">
        <f t="shared" si="9"/>
        <v>64.420449613084941</v>
      </c>
    </row>
    <row r="622" spans="1:7">
      <c r="A622" s="329" t="s">
        <v>1765</v>
      </c>
      <c r="B622" s="330" t="s">
        <v>1967</v>
      </c>
      <c r="C622" s="330" t="s">
        <v>1766</v>
      </c>
      <c r="D622" s="330" t="s">
        <v>1468</v>
      </c>
      <c r="E622" s="371">
        <v>10459660</v>
      </c>
      <c r="F622" s="400">
        <v>6738160</v>
      </c>
      <c r="G622" s="400">
        <f t="shared" si="9"/>
        <v>64.420449613084941</v>
      </c>
    </row>
    <row r="623" spans="1:7">
      <c r="A623" s="329" t="s">
        <v>94</v>
      </c>
      <c r="B623" s="330" t="s">
        <v>1967</v>
      </c>
      <c r="C623" s="330" t="s">
        <v>519</v>
      </c>
      <c r="D623" s="330" t="s">
        <v>1468</v>
      </c>
      <c r="E623" s="371">
        <v>10459660</v>
      </c>
      <c r="F623" s="400">
        <v>6738160</v>
      </c>
      <c r="G623" s="400">
        <f t="shared" si="9"/>
        <v>64.420449613084941</v>
      </c>
    </row>
    <row r="624" spans="1:7">
      <c r="A624" s="329" t="s">
        <v>1598</v>
      </c>
      <c r="B624" s="330" t="s">
        <v>1967</v>
      </c>
      <c r="C624" s="330" t="s">
        <v>519</v>
      </c>
      <c r="D624" s="330" t="s">
        <v>1599</v>
      </c>
      <c r="E624" s="371">
        <v>10459660</v>
      </c>
      <c r="F624" s="400">
        <v>6738160</v>
      </c>
      <c r="G624" s="400">
        <f t="shared" si="9"/>
        <v>64.420449613084941</v>
      </c>
    </row>
    <row r="625" spans="1:7">
      <c r="A625" s="329" t="s">
        <v>1600</v>
      </c>
      <c r="B625" s="330" t="s">
        <v>1967</v>
      </c>
      <c r="C625" s="330" t="s">
        <v>519</v>
      </c>
      <c r="D625" s="330" t="s">
        <v>1601</v>
      </c>
      <c r="E625" s="371">
        <v>10459660</v>
      </c>
      <c r="F625" s="400">
        <v>6738160</v>
      </c>
      <c r="G625" s="400">
        <f t="shared" si="9"/>
        <v>64.420449613084941</v>
      </c>
    </row>
    <row r="626" spans="1:7" ht="76.5">
      <c r="A626" s="329" t="s">
        <v>1846</v>
      </c>
      <c r="B626" s="330" t="s">
        <v>1847</v>
      </c>
      <c r="C626" s="330" t="s">
        <v>1468</v>
      </c>
      <c r="D626" s="330" t="s">
        <v>1468</v>
      </c>
      <c r="E626" s="371">
        <v>2191900</v>
      </c>
      <c r="F626" s="400">
        <v>0</v>
      </c>
      <c r="G626" s="400">
        <f t="shared" si="9"/>
        <v>0</v>
      </c>
    </row>
    <row r="627" spans="1:7" ht="25.5">
      <c r="A627" s="329" t="s">
        <v>1761</v>
      </c>
      <c r="B627" s="330" t="s">
        <v>1847</v>
      </c>
      <c r="C627" s="330" t="s">
        <v>1762</v>
      </c>
      <c r="D627" s="330" t="s">
        <v>1468</v>
      </c>
      <c r="E627" s="371">
        <v>2191900</v>
      </c>
      <c r="F627" s="400">
        <v>0</v>
      </c>
      <c r="G627" s="400">
        <f t="shared" si="9"/>
        <v>0</v>
      </c>
    </row>
    <row r="628" spans="1:7">
      <c r="A628" s="329" t="s">
        <v>1513</v>
      </c>
      <c r="B628" s="330" t="s">
        <v>1847</v>
      </c>
      <c r="C628" s="330" t="s">
        <v>101</v>
      </c>
      <c r="D628" s="330" t="s">
        <v>1468</v>
      </c>
      <c r="E628" s="371">
        <v>2191900</v>
      </c>
      <c r="F628" s="400">
        <v>0</v>
      </c>
      <c r="G628" s="400">
        <f t="shared" si="9"/>
        <v>0</v>
      </c>
    </row>
    <row r="629" spans="1:7">
      <c r="A629" s="329" t="s">
        <v>1598</v>
      </c>
      <c r="B629" s="330" t="s">
        <v>1847</v>
      </c>
      <c r="C629" s="330" t="s">
        <v>101</v>
      </c>
      <c r="D629" s="330" t="s">
        <v>1599</v>
      </c>
      <c r="E629" s="371">
        <v>2191900</v>
      </c>
      <c r="F629" s="400">
        <v>0</v>
      </c>
      <c r="G629" s="400">
        <f t="shared" si="9"/>
        <v>0</v>
      </c>
    </row>
    <row r="630" spans="1:7">
      <c r="A630" s="329" t="s">
        <v>1600</v>
      </c>
      <c r="B630" s="330" t="s">
        <v>1847</v>
      </c>
      <c r="C630" s="330" t="s">
        <v>101</v>
      </c>
      <c r="D630" s="330" t="s">
        <v>1601</v>
      </c>
      <c r="E630" s="371">
        <v>2191900</v>
      </c>
      <c r="F630" s="400">
        <v>0</v>
      </c>
      <c r="G630" s="400">
        <f t="shared" si="9"/>
        <v>0</v>
      </c>
    </row>
    <row r="631" spans="1:7" ht="63.75">
      <c r="A631" s="329" t="s">
        <v>1075</v>
      </c>
      <c r="B631" s="330" t="s">
        <v>933</v>
      </c>
      <c r="C631" s="330" t="s">
        <v>1468</v>
      </c>
      <c r="D631" s="330" t="s">
        <v>1468</v>
      </c>
      <c r="E631" s="371">
        <v>2154739.4</v>
      </c>
      <c r="F631" s="398">
        <v>2154739.4</v>
      </c>
      <c r="G631" s="400">
        <f t="shared" si="9"/>
        <v>100</v>
      </c>
    </row>
    <row r="632" spans="1:7" ht="25.5">
      <c r="A632" s="329" t="s">
        <v>1755</v>
      </c>
      <c r="B632" s="330" t="s">
        <v>933</v>
      </c>
      <c r="C632" s="330" t="s">
        <v>1756</v>
      </c>
      <c r="D632" s="330" t="s">
        <v>1468</v>
      </c>
      <c r="E632" s="371">
        <v>2154739.4</v>
      </c>
      <c r="F632" s="398">
        <v>2154739.4</v>
      </c>
      <c r="G632" s="400">
        <f t="shared" si="9"/>
        <v>100</v>
      </c>
    </row>
    <row r="633" spans="1:7" ht="25.5">
      <c r="A633" s="329" t="s">
        <v>1502</v>
      </c>
      <c r="B633" s="330" t="s">
        <v>933</v>
      </c>
      <c r="C633" s="330" t="s">
        <v>1503</v>
      </c>
      <c r="D633" s="330" t="s">
        <v>1468</v>
      </c>
      <c r="E633" s="371">
        <v>2154739.4</v>
      </c>
      <c r="F633" s="398">
        <v>2154739.4</v>
      </c>
      <c r="G633" s="400">
        <f t="shared" si="9"/>
        <v>100</v>
      </c>
    </row>
    <row r="634" spans="1:7">
      <c r="A634" s="329" t="s">
        <v>283</v>
      </c>
      <c r="B634" s="330" t="s">
        <v>933</v>
      </c>
      <c r="C634" s="330" t="s">
        <v>1503</v>
      </c>
      <c r="D634" s="330" t="s">
        <v>1363</v>
      </c>
      <c r="E634" s="371">
        <v>2154739.4</v>
      </c>
      <c r="F634" s="398">
        <v>2154739.4</v>
      </c>
      <c r="G634" s="400">
        <f t="shared" si="9"/>
        <v>100</v>
      </c>
    </row>
    <row r="635" spans="1:7">
      <c r="A635" s="329" t="s">
        <v>46</v>
      </c>
      <c r="B635" s="330" t="s">
        <v>933</v>
      </c>
      <c r="C635" s="330" t="s">
        <v>1503</v>
      </c>
      <c r="D635" s="330" t="s">
        <v>476</v>
      </c>
      <c r="E635" s="371">
        <v>2154739.4</v>
      </c>
      <c r="F635" s="398">
        <v>2154739.4</v>
      </c>
      <c r="G635" s="400">
        <f t="shared" si="9"/>
        <v>100</v>
      </c>
    </row>
    <row r="636" spans="1:7" ht="89.25">
      <c r="A636" s="329" t="s">
        <v>1594</v>
      </c>
      <c r="B636" s="330" t="s">
        <v>1602</v>
      </c>
      <c r="C636" s="330" t="s">
        <v>1468</v>
      </c>
      <c r="D636" s="330" t="s">
        <v>1468</v>
      </c>
      <c r="E636" s="371">
        <v>26622</v>
      </c>
      <c r="F636" s="400">
        <v>0</v>
      </c>
      <c r="G636" s="400">
        <f t="shared" si="9"/>
        <v>0</v>
      </c>
    </row>
    <row r="637" spans="1:7" ht="25.5">
      <c r="A637" s="329" t="s">
        <v>1761</v>
      </c>
      <c r="B637" s="330" t="s">
        <v>1602</v>
      </c>
      <c r="C637" s="330" t="s">
        <v>1762</v>
      </c>
      <c r="D637" s="330" t="s">
        <v>1468</v>
      </c>
      <c r="E637" s="371">
        <v>26622</v>
      </c>
      <c r="F637" s="400">
        <v>0</v>
      </c>
      <c r="G637" s="400">
        <f t="shared" si="9"/>
        <v>0</v>
      </c>
    </row>
    <row r="638" spans="1:7">
      <c r="A638" s="329" t="s">
        <v>1513</v>
      </c>
      <c r="B638" s="330" t="s">
        <v>1602</v>
      </c>
      <c r="C638" s="330" t="s">
        <v>101</v>
      </c>
      <c r="D638" s="330" t="s">
        <v>1468</v>
      </c>
      <c r="E638" s="371">
        <v>26622</v>
      </c>
      <c r="F638" s="400">
        <v>0</v>
      </c>
      <c r="G638" s="400">
        <f t="shared" si="9"/>
        <v>0</v>
      </c>
    </row>
    <row r="639" spans="1:7">
      <c r="A639" s="329" t="s">
        <v>1598</v>
      </c>
      <c r="B639" s="330" t="s">
        <v>1602</v>
      </c>
      <c r="C639" s="330" t="s">
        <v>101</v>
      </c>
      <c r="D639" s="330" t="s">
        <v>1599</v>
      </c>
      <c r="E639" s="371">
        <v>26622</v>
      </c>
      <c r="F639" s="400">
        <v>0</v>
      </c>
      <c r="G639" s="400">
        <f t="shared" si="9"/>
        <v>0</v>
      </c>
    </row>
    <row r="640" spans="1:7">
      <c r="A640" s="329" t="s">
        <v>1600</v>
      </c>
      <c r="B640" s="330" t="s">
        <v>1602</v>
      </c>
      <c r="C640" s="330" t="s">
        <v>101</v>
      </c>
      <c r="D640" s="330" t="s">
        <v>1601</v>
      </c>
      <c r="E640" s="371">
        <v>26622</v>
      </c>
      <c r="F640" s="400">
        <v>0</v>
      </c>
      <c r="G640" s="400">
        <f t="shared" si="9"/>
        <v>0</v>
      </c>
    </row>
    <row r="641" spans="1:7" ht="25.5">
      <c r="A641" s="329" t="s">
        <v>1777</v>
      </c>
      <c r="B641" s="330" t="s">
        <v>1778</v>
      </c>
      <c r="C641" s="330" t="s">
        <v>1468</v>
      </c>
      <c r="D641" s="330" t="s">
        <v>1468</v>
      </c>
      <c r="E641" s="371">
        <v>2976062</v>
      </c>
      <c r="F641" s="400">
        <v>0</v>
      </c>
      <c r="G641" s="400">
        <f t="shared" si="9"/>
        <v>0</v>
      </c>
    </row>
    <row r="642" spans="1:7" ht="76.5">
      <c r="A642" s="329" t="s">
        <v>1006</v>
      </c>
      <c r="B642" s="330" t="s">
        <v>1005</v>
      </c>
      <c r="C642" s="330" t="s">
        <v>1468</v>
      </c>
      <c r="D642" s="330" t="s">
        <v>1468</v>
      </c>
      <c r="E642" s="371">
        <v>2976062</v>
      </c>
      <c r="F642" s="400">
        <v>0</v>
      </c>
      <c r="G642" s="400">
        <f t="shared" si="9"/>
        <v>0</v>
      </c>
    </row>
    <row r="643" spans="1:7" ht="25.5">
      <c r="A643" s="329" t="s">
        <v>1755</v>
      </c>
      <c r="B643" s="330" t="s">
        <v>1005</v>
      </c>
      <c r="C643" s="330" t="s">
        <v>1756</v>
      </c>
      <c r="D643" s="330" t="s">
        <v>1468</v>
      </c>
      <c r="E643" s="371">
        <v>2976062</v>
      </c>
      <c r="F643" s="400">
        <v>0</v>
      </c>
      <c r="G643" s="400">
        <f t="shared" si="9"/>
        <v>0</v>
      </c>
    </row>
    <row r="644" spans="1:7" ht="25.5">
      <c r="A644" s="329" t="s">
        <v>1502</v>
      </c>
      <c r="B644" s="330" t="s">
        <v>1005</v>
      </c>
      <c r="C644" s="330" t="s">
        <v>1503</v>
      </c>
      <c r="D644" s="330" t="s">
        <v>1468</v>
      </c>
      <c r="E644" s="371">
        <v>2976062</v>
      </c>
      <c r="F644" s="400">
        <v>0</v>
      </c>
      <c r="G644" s="400">
        <f t="shared" si="9"/>
        <v>0</v>
      </c>
    </row>
    <row r="645" spans="1:7">
      <c r="A645" s="329" t="s">
        <v>283</v>
      </c>
      <c r="B645" s="330" t="s">
        <v>1005</v>
      </c>
      <c r="C645" s="330" t="s">
        <v>1503</v>
      </c>
      <c r="D645" s="330" t="s">
        <v>1363</v>
      </c>
      <c r="E645" s="371">
        <v>2976062</v>
      </c>
      <c r="F645" s="400">
        <v>0</v>
      </c>
      <c r="G645" s="400">
        <f t="shared" si="9"/>
        <v>0</v>
      </c>
    </row>
    <row r="646" spans="1:7">
      <c r="A646" s="329" t="s">
        <v>180</v>
      </c>
      <c r="B646" s="330" t="s">
        <v>1005</v>
      </c>
      <c r="C646" s="330" t="s">
        <v>1503</v>
      </c>
      <c r="D646" s="330" t="s">
        <v>452</v>
      </c>
      <c r="E646" s="371">
        <v>2976062</v>
      </c>
      <c r="F646" s="400">
        <v>0</v>
      </c>
      <c r="G646" s="400">
        <f t="shared" si="9"/>
        <v>0</v>
      </c>
    </row>
    <row r="647" spans="1:7" ht="38.25">
      <c r="A647" s="329" t="s">
        <v>549</v>
      </c>
      <c r="B647" s="330" t="s">
        <v>1117</v>
      </c>
      <c r="C647" s="330" t="s">
        <v>1468</v>
      </c>
      <c r="D647" s="330" t="s">
        <v>1468</v>
      </c>
      <c r="E647" s="371">
        <v>27108312.370000001</v>
      </c>
      <c r="F647" s="400">
        <v>25423939.949999999</v>
      </c>
      <c r="G647" s="400">
        <f t="shared" si="9"/>
        <v>93.786509477203566</v>
      </c>
    </row>
    <row r="648" spans="1:7" ht="63.75">
      <c r="A648" s="329" t="s">
        <v>550</v>
      </c>
      <c r="B648" s="330" t="s">
        <v>1118</v>
      </c>
      <c r="C648" s="330" t="s">
        <v>1468</v>
      </c>
      <c r="D648" s="330" t="s">
        <v>1468</v>
      </c>
      <c r="E648" s="371">
        <v>3274692.9</v>
      </c>
      <c r="F648" s="400">
        <v>2701232.36</v>
      </c>
      <c r="G648" s="400">
        <f t="shared" si="9"/>
        <v>82.488112396738018</v>
      </c>
    </row>
    <row r="649" spans="1:7" ht="127.5">
      <c r="A649" s="329" t="s">
        <v>429</v>
      </c>
      <c r="B649" s="330" t="s">
        <v>784</v>
      </c>
      <c r="C649" s="330" t="s">
        <v>1468</v>
      </c>
      <c r="D649" s="330" t="s">
        <v>1468</v>
      </c>
      <c r="E649" s="371">
        <v>2628324.33</v>
      </c>
      <c r="F649" s="400">
        <v>2065321.3</v>
      </c>
      <c r="G649" s="400">
        <f t="shared" ref="G649:G712" si="10">F649/E649*100</f>
        <v>78.5793928255422</v>
      </c>
    </row>
    <row r="650" spans="1:7" ht="63.75">
      <c r="A650" s="329" t="s">
        <v>1754</v>
      </c>
      <c r="B650" s="330" t="s">
        <v>784</v>
      </c>
      <c r="C650" s="330" t="s">
        <v>322</v>
      </c>
      <c r="D650" s="330" t="s">
        <v>1468</v>
      </c>
      <c r="E650" s="371">
        <v>2563032</v>
      </c>
      <c r="F650" s="400">
        <v>2000028.97</v>
      </c>
      <c r="G650" s="400">
        <f t="shared" si="10"/>
        <v>78.033710464793259</v>
      </c>
    </row>
    <row r="651" spans="1:7">
      <c r="A651" s="329" t="s">
        <v>1487</v>
      </c>
      <c r="B651" s="330" t="s">
        <v>784</v>
      </c>
      <c r="C651" s="330" t="s">
        <v>165</v>
      </c>
      <c r="D651" s="330" t="s">
        <v>1468</v>
      </c>
      <c r="E651" s="371">
        <v>2563032</v>
      </c>
      <c r="F651" s="400">
        <v>2000028.97</v>
      </c>
      <c r="G651" s="400">
        <f t="shared" si="10"/>
        <v>78.033710464793259</v>
      </c>
    </row>
    <row r="652" spans="1:7" ht="25.5">
      <c r="A652" s="329" t="s">
        <v>282</v>
      </c>
      <c r="B652" s="330" t="s">
        <v>784</v>
      </c>
      <c r="C652" s="330" t="s">
        <v>165</v>
      </c>
      <c r="D652" s="330" t="s">
        <v>1359</v>
      </c>
      <c r="E652" s="371">
        <v>2563032</v>
      </c>
      <c r="F652" s="400">
        <v>2000028.97</v>
      </c>
      <c r="G652" s="400">
        <f t="shared" si="10"/>
        <v>78.033710464793259</v>
      </c>
    </row>
    <row r="653" spans="1:7" ht="38.25">
      <c r="A653" s="329" t="s">
        <v>305</v>
      </c>
      <c r="B653" s="330" t="s">
        <v>784</v>
      </c>
      <c r="C653" s="330" t="s">
        <v>165</v>
      </c>
      <c r="D653" s="330" t="s">
        <v>428</v>
      </c>
      <c r="E653" s="371">
        <v>2563032</v>
      </c>
      <c r="F653" s="400">
        <v>2000028.97</v>
      </c>
      <c r="G653" s="400">
        <f t="shared" si="10"/>
        <v>78.033710464793259</v>
      </c>
    </row>
    <row r="654" spans="1:7" ht="25.5">
      <c r="A654" s="329" t="s">
        <v>1755</v>
      </c>
      <c r="B654" s="330" t="s">
        <v>784</v>
      </c>
      <c r="C654" s="330" t="s">
        <v>1756</v>
      </c>
      <c r="D654" s="330" t="s">
        <v>1468</v>
      </c>
      <c r="E654" s="371">
        <v>65292.33</v>
      </c>
      <c r="F654" s="398">
        <v>65292.33</v>
      </c>
      <c r="G654" s="400">
        <f t="shared" si="10"/>
        <v>100</v>
      </c>
    </row>
    <row r="655" spans="1:7" ht="25.5">
      <c r="A655" s="329" t="s">
        <v>1502</v>
      </c>
      <c r="B655" s="330" t="s">
        <v>784</v>
      </c>
      <c r="C655" s="330" t="s">
        <v>1503</v>
      </c>
      <c r="D655" s="330" t="s">
        <v>1468</v>
      </c>
      <c r="E655" s="371">
        <v>65292.33</v>
      </c>
      <c r="F655" s="398">
        <v>65292.33</v>
      </c>
      <c r="G655" s="400">
        <f t="shared" si="10"/>
        <v>100</v>
      </c>
    </row>
    <row r="656" spans="1:7" ht="25.5">
      <c r="A656" s="329" t="s">
        <v>282</v>
      </c>
      <c r="B656" s="330" t="s">
        <v>784</v>
      </c>
      <c r="C656" s="330" t="s">
        <v>1503</v>
      </c>
      <c r="D656" s="330" t="s">
        <v>1359</v>
      </c>
      <c r="E656" s="371">
        <v>65292.33</v>
      </c>
      <c r="F656" s="398">
        <v>65292.33</v>
      </c>
      <c r="G656" s="400">
        <f t="shared" si="10"/>
        <v>100</v>
      </c>
    </row>
    <row r="657" spans="1:7" ht="38.25">
      <c r="A657" s="329" t="s">
        <v>305</v>
      </c>
      <c r="B657" s="330" t="s">
        <v>784</v>
      </c>
      <c r="C657" s="330" t="s">
        <v>1503</v>
      </c>
      <c r="D657" s="330" t="s">
        <v>428</v>
      </c>
      <c r="E657" s="371">
        <v>65292.33</v>
      </c>
      <c r="F657" s="398">
        <v>65292.33</v>
      </c>
      <c r="G657" s="400">
        <f t="shared" si="10"/>
        <v>100</v>
      </c>
    </row>
    <row r="658" spans="1:7" ht="153">
      <c r="A658" s="329" t="s">
        <v>736</v>
      </c>
      <c r="B658" s="330" t="s">
        <v>785</v>
      </c>
      <c r="C658" s="330" t="s">
        <v>1468</v>
      </c>
      <c r="D658" s="330" t="s">
        <v>1468</v>
      </c>
      <c r="E658" s="371">
        <v>581303.56999999995</v>
      </c>
      <c r="F658" s="400">
        <v>570946.16</v>
      </c>
      <c r="G658" s="400">
        <f t="shared" si="10"/>
        <v>98.218244212744139</v>
      </c>
    </row>
    <row r="659" spans="1:7" ht="63.75">
      <c r="A659" s="329" t="s">
        <v>1754</v>
      </c>
      <c r="B659" s="330" t="s">
        <v>785</v>
      </c>
      <c r="C659" s="330" t="s">
        <v>322</v>
      </c>
      <c r="D659" s="330" t="s">
        <v>1468</v>
      </c>
      <c r="E659" s="371">
        <v>581303.56999999995</v>
      </c>
      <c r="F659" s="400">
        <v>570946.16</v>
      </c>
      <c r="G659" s="400">
        <f t="shared" si="10"/>
        <v>98.218244212744139</v>
      </c>
    </row>
    <row r="660" spans="1:7">
      <c r="A660" s="329" t="s">
        <v>1487</v>
      </c>
      <c r="B660" s="330" t="s">
        <v>785</v>
      </c>
      <c r="C660" s="330" t="s">
        <v>165</v>
      </c>
      <c r="D660" s="330" t="s">
        <v>1468</v>
      </c>
      <c r="E660" s="371">
        <v>581303.56999999995</v>
      </c>
      <c r="F660" s="400">
        <v>570946.16</v>
      </c>
      <c r="G660" s="400">
        <f t="shared" si="10"/>
        <v>98.218244212744139</v>
      </c>
    </row>
    <row r="661" spans="1:7" ht="25.5">
      <c r="A661" s="329" t="s">
        <v>282</v>
      </c>
      <c r="B661" s="330" t="s">
        <v>785</v>
      </c>
      <c r="C661" s="330" t="s">
        <v>165</v>
      </c>
      <c r="D661" s="330" t="s">
        <v>1359</v>
      </c>
      <c r="E661" s="371">
        <v>581303.56999999995</v>
      </c>
      <c r="F661" s="400">
        <v>570946.16</v>
      </c>
      <c r="G661" s="400">
        <f t="shared" si="10"/>
        <v>98.218244212744139</v>
      </c>
    </row>
    <row r="662" spans="1:7" ht="38.25">
      <c r="A662" s="329" t="s">
        <v>305</v>
      </c>
      <c r="B662" s="330" t="s">
        <v>785</v>
      </c>
      <c r="C662" s="330" t="s">
        <v>165</v>
      </c>
      <c r="D662" s="330" t="s">
        <v>428</v>
      </c>
      <c r="E662" s="371">
        <v>581303.56999999995</v>
      </c>
      <c r="F662" s="400">
        <v>570946.16</v>
      </c>
      <c r="G662" s="400">
        <f t="shared" si="10"/>
        <v>98.218244212744139</v>
      </c>
    </row>
    <row r="663" spans="1:7" ht="140.25">
      <c r="A663" s="329" t="s">
        <v>1841</v>
      </c>
      <c r="B663" s="330" t="s">
        <v>1842</v>
      </c>
      <c r="C663" s="330" t="s">
        <v>1468</v>
      </c>
      <c r="D663" s="330" t="s">
        <v>1468</v>
      </c>
      <c r="E663" s="371">
        <v>65000</v>
      </c>
      <c r="F663" s="400">
        <v>64899.9</v>
      </c>
      <c r="G663" s="400">
        <f t="shared" si="10"/>
        <v>99.846000000000004</v>
      </c>
    </row>
    <row r="664" spans="1:7" ht="25.5">
      <c r="A664" s="329" t="s">
        <v>1755</v>
      </c>
      <c r="B664" s="330" t="s">
        <v>1842</v>
      </c>
      <c r="C664" s="330" t="s">
        <v>1756</v>
      </c>
      <c r="D664" s="330" t="s">
        <v>1468</v>
      </c>
      <c r="E664" s="371">
        <v>65000</v>
      </c>
      <c r="F664" s="400">
        <v>64899.9</v>
      </c>
      <c r="G664" s="400">
        <f t="shared" si="10"/>
        <v>99.846000000000004</v>
      </c>
    </row>
    <row r="665" spans="1:7" ht="25.5">
      <c r="A665" s="329" t="s">
        <v>1502</v>
      </c>
      <c r="B665" s="330" t="s">
        <v>1842</v>
      </c>
      <c r="C665" s="330" t="s">
        <v>1503</v>
      </c>
      <c r="D665" s="330" t="s">
        <v>1468</v>
      </c>
      <c r="E665" s="371">
        <v>65000</v>
      </c>
      <c r="F665" s="400">
        <v>64899.9</v>
      </c>
      <c r="G665" s="400">
        <f t="shared" si="10"/>
        <v>99.846000000000004</v>
      </c>
    </row>
    <row r="666" spans="1:7" ht="25.5">
      <c r="A666" s="329" t="s">
        <v>282</v>
      </c>
      <c r="B666" s="330" t="s">
        <v>1842</v>
      </c>
      <c r="C666" s="330" t="s">
        <v>1503</v>
      </c>
      <c r="D666" s="330" t="s">
        <v>1359</v>
      </c>
      <c r="E666" s="371">
        <v>65000</v>
      </c>
      <c r="F666" s="400">
        <v>64899.9</v>
      </c>
      <c r="G666" s="400">
        <f t="shared" si="10"/>
        <v>99.846000000000004</v>
      </c>
    </row>
    <row r="667" spans="1:7" ht="38.25">
      <c r="A667" s="329" t="s">
        <v>305</v>
      </c>
      <c r="B667" s="330" t="s">
        <v>1842</v>
      </c>
      <c r="C667" s="330" t="s">
        <v>1503</v>
      </c>
      <c r="D667" s="330" t="s">
        <v>428</v>
      </c>
      <c r="E667" s="371">
        <v>65000</v>
      </c>
      <c r="F667" s="400">
        <v>64899.9</v>
      </c>
      <c r="G667" s="400">
        <f t="shared" si="10"/>
        <v>99.846000000000004</v>
      </c>
    </row>
    <row r="668" spans="1:7" ht="127.5">
      <c r="A668" s="329" t="s">
        <v>1843</v>
      </c>
      <c r="B668" s="330" t="s">
        <v>1844</v>
      </c>
      <c r="C668" s="330" t="s">
        <v>1468</v>
      </c>
      <c r="D668" s="330" t="s">
        <v>1468</v>
      </c>
      <c r="E668" s="371">
        <v>65</v>
      </c>
      <c r="F668" s="398">
        <v>65</v>
      </c>
      <c r="G668" s="400">
        <f t="shared" si="10"/>
        <v>100</v>
      </c>
    </row>
    <row r="669" spans="1:7" ht="25.5">
      <c r="A669" s="329" t="s">
        <v>1755</v>
      </c>
      <c r="B669" s="330" t="s">
        <v>1844</v>
      </c>
      <c r="C669" s="330" t="s">
        <v>1756</v>
      </c>
      <c r="D669" s="330" t="s">
        <v>1468</v>
      </c>
      <c r="E669" s="371">
        <v>65</v>
      </c>
      <c r="F669" s="398">
        <v>65</v>
      </c>
      <c r="G669" s="400">
        <f t="shared" si="10"/>
        <v>100</v>
      </c>
    </row>
    <row r="670" spans="1:7" ht="25.5">
      <c r="A670" s="329" t="s">
        <v>1502</v>
      </c>
      <c r="B670" s="330" t="s">
        <v>1844</v>
      </c>
      <c r="C670" s="330" t="s">
        <v>1503</v>
      </c>
      <c r="D670" s="330" t="s">
        <v>1468</v>
      </c>
      <c r="E670" s="371">
        <v>65</v>
      </c>
      <c r="F670" s="398">
        <v>65</v>
      </c>
      <c r="G670" s="400">
        <f t="shared" si="10"/>
        <v>100</v>
      </c>
    </row>
    <row r="671" spans="1:7" ht="25.5">
      <c r="A671" s="329" t="s">
        <v>282</v>
      </c>
      <c r="B671" s="330" t="s">
        <v>1844</v>
      </c>
      <c r="C671" s="330" t="s">
        <v>1503</v>
      </c>
      <c r="D671" s="330" t="s">
        <v>1359</v>
      </c>
      <c r="E671" s="371">
        <v>65</v>
      </c>
      <c r="F671" s="398">
        <v>65</v>
      </c>
      <c r="G671" s="400">
        <f t="shared" si="10"/>
        <v>100</v>
      </c>
    </row>
    <row r="672" spans="1:7" ht="38.25">
      <c r="A672" s="329" t="s">
        <v>305</v>
      </c>
      <c r="B672" s="330" t="s">
        <v>1844</v>
      </c>
      <c r="C672" s="330" t="s">
        <v>1503</v>
      </c>
      <c r="D672" s="330" t="s">
        <v>428</v>
      </c>
      <c r="E672" s="371">
        <v>65</v>
      </c>
      <c r="F672" s="398">
        <v>65</v>
      </c>
      <c r="G672" s="400">
        <f t="shared" si="10"/>
        <v>100</v>
      </c>
    </row>
    <row r="673" spans="1:7" ht="25.5">
      <c r="A673" s="329" t="s">
        <v>552</v>
      </c>
      <c r="B673" s="330" t="s">
        <v>1119</v>
      </c>
      <c r="C673" s="330" t="s">
        <v>1468</v>
      </c>
      <c r="D673" s="330" t="s">
        <v>1468</v>
      </c>
      <c r="E673" s="371">
        <v>23622665.629999999</v>
      </c>
      <c r="F673" s="400">
        <v>22517503.75</v>
      </c>
      <c r="G673" s="400">
        <f t="shared" si="10"/>
        <v>95.321603847296217</v>
      </c>
    </row>
    <row r="674" spans="1:7" ht="127.5">
      <c r="A674" s="329" t="s">
        <v>434</v>
      </c>
      <c r="B674" s="330" t="s">
        <v>786</v>
      </c>
      <c r="C674" s="330" t="s">
        <v>1468</v>
      </c>
      <c r="D674" s="330" t="s">
        <v>1468</v>
      </c>
      <c r="E674" s="371">
        <v>17647287.579999998</v>
      </c>
      <c r="F674" s="400">
        <v>16932850.190000001</v>
      </c>
      <c r="G674" s="400">
        <f t="shared" si="10"/>
        <v>95.951573935873967</v>
      </c>
    </row>
    <row r="675" spans="1:7" ht="63.75">
      <c r="A675" s="329" t="s">
        <v>1754</v>
      </c>
      <c r="B675" s="330" t="s">
        <v>786</v>
      </c>
      <c r="C675" s="330" t="s">
        <v>322</v>
      </c>
      <c r="D675" s="330" t="s">
        <v>1468</v>
      </c>
      <c r="E675" s="371">
        <v>15874010</v>
      </c>
      <c r="F675" s="400">
        <v>15701645.35</v>
      </c>
      <c r="G675" s="400">
        <f t="shared" si="10"/>
        <v>98.914170710488406</v>
      </c>
    </row>
    <row r="676" spans="1:7">
      <c r="A676" s="329" t="s">
        <v>1487</v>
      </c>
      <c r="B676" s="330" t="s">
        <v>786</v>
      </c>
      <c r="C676" s="330" t="s">
        <v>165</v>
      </c>
      <c r="D676" s="330" t="s">
        <v>1468</v>
      </c>
      <c r="E676" s="371">
        <v>15874010</v>
      </c>
      <c r="F676" s="400">
        <v>15701645.35</v>
      </c>
      <c r="G676" s="400">
        <f t="shared" si="10"/>
        <v>98.914170710488406</v>
      </c>
    </row>
    <row r="677" spans="1:7" ht="25.5">
      <c r="A677" s="329" t="s">
        <v>282</v>
      </c>
      <c r="B677" s="330" t="s">
        <v>786</v>
      </c>
      <c r="C677" s="330" t="s">
        <v>165</v>
      </c>
      <c r="D677" s="330" t="s">
        <v>1359</v>
      </c>
      <c r="E677" s="371">
        <v>15874010</v>
      </c>
      <c r="F677" s="400">
        <v>15701645.35</v>
      </c>
      <c r="G677" s="400">
        <f t="shared" si="10"/>
        <v>98.914170710488406</v>
      </c>
    </row>
    <row r="678" spans="1:7">
      <c r="A678" s="329" t="s">
        <v>133</v>
      </c>
      <c r="B678" s="330" t="s">
        <v>786</v>
      </c>
      <c r="C678" s="330" t="s">
        <v>165</v>
      </c>
      <c r="D678" s="330" t="s">
        <v>433</v>
      </c>
      <c r="E678" s="371">
        <v>15874010</v>
      </c>
      <c r="F678" s="400">
        <v>15701645.35</v>
      </c>
      <c r="G678" s="400">
        <f t="shared" si="10"/>
        <v>98.914170710488406</v>
      </c>
    </row>
    <row r="679" spans="1:7" ht="25.5">
      <c r="A679" s="329" t="s">
        <v>1755</v>
      </c>
      <c r="B679" s="330" t="s">
        <v>786</v>
      </c>
      <c r="C679" s="330" t="s">
        <v>1756</v>
      </c>
      <c r="D679" s="330" t="s">
        <v>1468</v>
      </c>
      <c r="E679" s="371">
        <v>1746858.08</v>
      </c>
      <c r="F679" s="400">
        <v>1212610.3600000001</v>
      </c>
      <c r="G679" s="400">
        <f t="shared" si="10"/>
        <v>69.416650034901522</v>
      </c>
    </row>
    <row r="680" spans="1:7" ht="25.5">
      <c r="A680" s="329" t="s">
        <v>1502</v>
      </c>
      <c r="B680" s="330" t="s">
        <v>786</v>
      </c>
      <c r="C680" s="330" t="s">
        <v>1503</v>
      </c>
      <c r="D680" s="330" t="s">
        <v>1468</v>
      </c>
      <c r="E680" s="371">
        <v>1746858.08</v>
      </c>
      <c r="F680" s="400">
        <v>1212610.3600000001</v>
      </c>
      <c r="G680" s="400">
        <f t="shared" si="10"/>
        <v>69.416650034901522</v>
      </c>
    </row>
    <row r="681" spans="1:7" ht="25.5">
      <c r="A681" s="329" t="s">
        <v>282</v>
      </c>
      <c r="B681" s="330" t="s">
        <v>786</v>
      </c>
      <c r="C681" s="330" t="s">
        <v>1503</v>
      </c>
      <c r="D681" s="330" t="s">
        <v>1359</v>
      </c>
      <c r="E681" s="371">
        <v>1746858.08</v>
      </c>
      <c r="F681" s="400">
        <v>1212610.3600000001</v>
      </c>
      <c r="G681" s="400">
        <f t="shared" si="10"/>
        <v>69.416650034901522</v>
      </c>
    </row>
    <row r="682" spans="1:7">
      <c r="A682" s="329" t="s">
        <v>133</v>
      </c>
      <c r="B682" s="330" t="s">
        <v>786</v>
      </c>
      <c r="C682" s="330" t="s">
        <v>1503</v>
      </c>
      <c r="D682" s="330" t="s">
        <v>433</v>
      </c>
      <c r="E682" s="371">
        <v>1746858.08</v>
      </c>
      <c r="F682" s="400">
        <v>1212610.3600000001</v>
      </c>
      <c r="G682" s="400">
        <f t="shared" si="10"/>
        <v>69.416650034901522</v>
      </c>
    </row>
    <row r="683" spans="1:7">
      <c r="A683" s="329" t="s">
        <v>1757</v>
      </c>
      <c r="B683" s="330" t="s">
        <v>786</v>
      </c>
      <c r="C683" s="330" t="s">
        <v>1758</v>
      </c>
      <c r="D683" s="330" t="s">
        <v>1468</v>
      </c>
      <c r="E683" s="371">
        <v>26419.5</v>
      </c>
      <c r="F683" s="400">
        <f>F684+F687</f>
        <v>18594.48</v>
      </c>
      <c r="G683" s="400">
        <f t="shared" si="10"/>
        <v>70.381649917674437</v>
      </c>
    </row>
    <row r="684" spans="1:7">
      <c r="A684" s="329" t="s">
        <v>1516</v>
      </c>
      <c r="B684" s="330" t="s">
        <v>786</v>
      </c>
      <c r="C684" s="330" t="s">
        <v>242</v>
      </c>
      <c r="D684" s="330" t="s">
        <v>1468</v>
      </c>
      <c r="E684" s="371">
        <v>12471</v>
      </c>
      <c r="F684" s="400">
        <v>12471</v>
      </c>
      <c r="G684" s="400">
        <f t="shared" si="10"/>
        <v>100</v>
      </c>
    </row>
    <row r="685" spans="1:7" ht="25.5">
      <c r="A685" s="329" t="s">
        <v>282</v>
      </c>
      <c r="B685" s="330" t="s">
        <v>786</v>
      </c>
      <c r="C685" s="330" t="s">
        <v>242</v>
      </c>
      <c r="D685" s="330" t="s">
        <v>1359</v>
      </c>
      <c r="E685" s="371">
        <v>12471</v>
      </c>
      <c r="F685" s="400">
        <v>12471</v>
      </c>
      <c r="G685" s="400">
        <f t="shared" si="10"/>
        <v>100</v>
      </c>
    </row>
    <row r="686" spans="1:7">
      <c r="A686" s="329" t="s">
        <v>133</v>
      </c>
      <c r="B686" s="330" t="s">
        <v>786</v>
      </c>
      <c r="C686" s="330" t="s">
        <v>242</v>
      </c>
      <c r="D686" s="330" t="s">
        <v>433</v>
      </c>
      <c r="E686" s="371">
        <v>12471</v>
      </c>
      <c r="F686" s="400">
        <v>12471</v>
      </c>
      <c r="G686" s="400">
        <f t="shared" si="10"/>
        <v>100</v>
      </c>
    </row>
    <row r="687" spans="1:7">
      <c r="A687" s="329" t="s">
        <v>1507</v>
      </c>
      <c r="B687" s="330" t="s">
        <v>786</v>
      </c>
      <c r="C687" s="330" t="s">
        <v>1508</v>
      </c>
      <c r="D687" s="330" t="s">
        <v>1468</v>
      </c>
      <c r="E687" s="371">
        <v>13948.5</v>
      </c>
      <c r="F687" s="400">
        <v>6123.48</v>
      </c>
      <c r="G687" s="400">
        <f t="shared" si="10"/>
        <v>43.900634476825459</v>
      </c>
    </row>
    <row r="688" spans="1:7" ht="25.5">
      <c r="A688" s="329" t="s">
        <v>282</v>
      </c>
      <c r="B688" s="330" t="s">
        <v>786</v>
      </c>
      <c r="C688" s="330" t="s">
        <v>1508</v>
      </c>
      <c r="D688" s="330" t="s">
        <v>1359</v>
      </c>
      <c r="E688" s="371">
        <v>13948.5</v>
      </c>
      <c r="F688" s="400">
        <v>6123.48</v>
      </c>
      <c r="G688" s="400">
        <f t="shared" si="10"/>
        <v>43.900634476825459</v>
      </c>
    </row>
    <row r="689" spans="1:7">
      <c r="A689" s="329" t="s">
        <v>133</v>
      </c>
      <c r="B689" s="330" t="s">
        <v>786</v>
      </c>
      <c r="C689" s="330" t="s">
        <v>1508</v>
      </c>
      <c r="D689" s="330" t="s">
        <v>433</v>
      </c>
      <c r="E689" s="371">
        <v>13948.5</v>
      </c>
      <c r="F689" s="400">
        <v>6123.48</v>
      </c>
      <c r="G689" s="400">
        <f t="shared" si="10"/>
        <v>43.900634476825459</v>
      </c>
    </row>
    <row r="690" spans="1:7" ht="127.5">
      <c r="A690" s="329" t="s">
        <v>1864</v>
      </c>
      <c r="B690" s="330" t="s">
        <v>1865</v>
      </c>
      <c r="C690" s="330" t="s">
        <v>1468</v>
      </c>
      <c r="D690" s="330" t="s">
        <v>1468</v>
      </c>
      <c r="E690" s="371">
        <v>922448.79</v>
      </c>
      <c r="F690" s="400">
        <v>815036.51</v>
      </c>
      <c r="G690" s="400">
        <f t="shared" si="10"/>
        <v>88.355746013824785</v>
      </c>
    </row>
    <row r="691" spans="1:7" ht="63.75">
      <c r="A691" s="329" t="s">
        <v>1754</v>
      </c>
      <c r="B691" s="330" t="s">
        <v>1865</v>
      </c>
      <c r="C691" s="330" t="s">
        <v>322</v>
      </c>
      <c r="D691" s="330" t="s">
        <v>1468</v>
      </c>
      <c r="E691" s="371">
        <v>922448.79</v>
      </c>
      <c r="F691" s="400">
        <v>815036.51</v>
      </c>
      <c r="G691" s="400">
        <f t="shared" si="10"/>
        <v>88.355746013824785</v>
      </c>
    </row>
    <row r="692" spans="1:7">
      <c r="A692" s="329" t="s">
        <v>1487</v>
      </c>
      <c r="B692" s="330" t="s">
        <v>1865</v>
      </c>
      <c r="C692" s="330" t="s">
        <v>165</v>
      </c>
      <c r="D692" s="330" t="s">
        <v>1468</v>
      </c>
      <c r="E692" s="371">
        <v>922448.79</v>
      </c>
      <c r="F692" s="400">
        <v>815036.51</v>
      </c>
      <c r="G692" s="400">
        <f t="shared" si="10"/>
        <v>88.355746013824785</v>
      </c>
    </row>
    <row r="693" spans="1:7" ht="25.5">
      <c r="A693" s="329" t="s">
        <v>282</v>
      </c>
      <c r="B693" s="330" t="s">
        <v>1865</v>
      </c>
      <c r="C693" s="330" t="s">
        <v>165</v>
      </c>
      <c r="D693" s="330" t="s">
        <v>1359</v>
      </c>
      <c r="E693" s="371">
        <v>922448.79</v>
      </c>
      <c r="F693" s="400">
        <v>815036.51</v>
      </c>
      <c r="G693" s="400">
        <f t="shared" si="10"/>
        <v>88.355746013824785</v>
      </c>
    </row>
    <row r="694" spans="1:7">
      <c r="A694" s="329" t="s">
        <v>133</v>
      </c>
      <c r="B694" s="330" t="s">
        <v>1865</v>
      </c>
      <c r="C694" s="330" t="s">
        <v>165</v>
      </c>
      <c r="D694" s="330" t="s">
        <v>433</v>
      </c>
      <c r="E694" s="371">
        <v>922448.79</v>
      </c>
      <c r="F694" s="400">
        <v>815036.51</v>
      </c>
      <c r="G694" s="400">
        <f t="shared" si="10"/>
        <v>88.355746013824785</v>
      </c>
    </row>
    <row r="695" spans="1:7" ht="114.75">
      <c r="A695" s="329" t="s">
        <v>1779</v>
      </c>
      <c r="B695" s="330" t="s">
        <v>1780</v>
      </c>
      <c r="C695" s="330" t="s">
        <v>1468</v>
      </c>
      <c r="D695" s="330" t="s">
        <v>1468</v>
      </c>
      <c r="E695" s="371">
        <v>115210.48</v>
      </c>
      <c r="F695" s="400">
        <v>112914.18</v>
      </c>
      <c r="G695" s="400">
        <f t="shared" si="10"/>
        <v>98.006865347666277</v>
      </c>
    </row>
    <row r="696" spans="1:7" ht="63.75">
      <c r="A696" s="329" t="s">
        <v>1754</v>
      </c>
      <c r="B696" s="330" t="s">
        <v>1780</v>
      </c>
      <c r="C696" s="330" t="s">
        <v>322</v>
      </c>
      <c r="D696" s="330" t="s">
        <v>1468</v>
      </c>
      <c r="E696" s="371">
        <v>115210.48</v>
      </c>
      <c r="F696" s="400">
        <v>112914.18</v>
      </c>
      <c r="G696" s="400">
        <f t="shared" si="10"/>
        <v>98.006865347666277</v>
      </c>
    </row>
    <row r="697" spans="1:7">
      <c r="A697" s="329" t="s">
        <v>1487</v>
      </c>
      <c r="B697" s="330" t="s">
        <v>1780</v>
      </c>
      <c r="C697" s="330" t="s">
        <v>165</v>
      </c>
      <c r="D697" s="330" t="s">
        <v>1468</v>
      </c>
      <c r="E697" s="371">
        <v>115210.48</v>
      </c>
      <c r="F697" s="400">
        <v>112914.18</v>
      </c>
      <c r="G697" s="400">
        <f t="shared" si="10"/>
        <v>98.006865347666277</v>
      </c>
    </row>
    <row r="698" spans="1:7" ht="25.5">
      <c r="A698" s="329" t="s">
        <v>282</v>
      </c>
      <c r="B698" s="330" t="s">
        <v>1780</v>
      </c>
      <c r="C698" s="330" t="s">
        <v>165</v>
      </c>
      <c r="D698" s="330" t="s">
        <v>1359</v>
      </c>
      <c r="E698" s="371">
        <v>115210.48</v>
      </c>
      <c r="F698" s="400">
        <v>112914.18</v>
      </c>
      <c r="G698" s="400">
        <f t="shared" si="10"/>
        <v>98.006865347666277</v>
      </c>
    </row>
    <row r="699" spans="1:7">
      <c r="A699" s="329" t="s">
        <v>133</v>
      </c>
      <c r="B699" s="330" t="s">
        <v>1780</v>
      </c>
      <c r="C699" s="330" t="s">
        <v>165</v>
      </c>
      <c r="D699" s="330" t="s">
        <v>433</v>
      </c>
      <c r="E699" s="371">
        <v>115210.48</v>
      </c>
      <c r="F699" s="400">
        <v>112914.18</v>
      </c>
      <c r="G699" s="400">
        <f t="shared" si="10"/>
        <v>98.006865347666277</v>
      </c>
    </row>
    <row r="700" spans="1:7" ht="127.5">
      <c r="A700" s="329" t="s">
        <v>1781</v>
      </c>
      <c r="B700" s="330" t="s">
        <v>788</v>
      </c>
      <c r="C700" s="330" t="s">
        <v>1468</v>
      </c>
      <c r="D700" s="330" t="s">
        <v>1468</v>
      </c>
      <c r="E700" s="371">
        <v>2453780.31</v>
      </c>
      <c r="F700" s="400">
        <v>2297627.65</v>
      </c>
      <c r="G700" s="400">
        <f t="shared" si="10"/>
        <v>93.636241216720819</v>
      </c>
    </row>
    <row r="701" spans="1:7" ht="25.5">
      <c r="A701" s="329" t="s">
        <v>1755</v>
      </c>
      <c r="B701" s="330" t="s">
        <v>788</v>
      </c>
      <c r="C701" s="330" t="s">
        <v>1756</v>
      </c>
      <c r="D701" s="330" t="s">
        <v>1468</v>
      </c>
      <c r="E701" s="371">
        <v>2453780.31</v>
      </c>
      <c r="F701" s="400">
        <v>2297627.65</v>
      </c>
      <c r="G701" s="400">
        <f t="shared" si="10"/>
        <v>93.636241216720819</v>
      </c>
    </row>
    <row r="702" spans="1:7" ht="25.5">
      <c r="A702" s="329" t="s">
        <v>1502</v>
      </c>
      <c r="B702" s="330" t="s">
        <v>788</v>
      </c>
      <c r="C702" s="330" t="s">
        <v>1503</v>
      </c>
      <c r="D702" s="330" t="s">
        <v>1468</v>
      </c>
      <c r="E702" s="371">
        <v>2453780.31</v>
      </c>
      <c r="F702" s="400">
        <v>2297627.65</v>
      </c>
      <c r="G702" s="400">
        <f t="shared" si="10"/>
        <v>93.636241216720819</v>
      </c>
    </row>
    <row r="703" spans="1:7" ht="25.5">
      <c r="A703" s="329" t="s">
        <v>282</v>
      </c>
      <c r="B703" s="330" t="s">
        <v>788</v>
      </c>
      <c r="C703" s="330" t="s">
        <v>1503</v>
      </c>
      <c r="D703" s="330" t="s">
        <v>1359</v>
      </c>
      <c r="E703" s="371">
        <v>2453780.31</v>
      </c>
      <c r="F703" s="400">
        <v>2297627.65</v>
      </c>
      <c r="G703" s="400">
        <f t="shared" si="10"/>
        <v>93.636241216720819</v>
      </c>
    </row>
    <row r="704" spans="1:7">
      <c r="A704" s="329" t="s">
        <v>133</v>
      </c>
      <c r="B704" s="330" t="s">
        <v>788</v>
      </c>
      <c r="C704" s="330" t="s">
        <v>1503</v>
      </c>
      <c r="D704" s="330" t="s">
        <v>433</v>
      </c>
      <c r="E704" s="371">
        <v>2453780.31</v>
      </c>
      <c r="F704" s="400">
        <v>2297627.65</v>
      </c>
      <c r="G704" s="400">
        <f t="shared" si="10"/>
        <v>93.636241216720819</v>
      </c>
    </row>
    <row r="705" spans="1:7" ht="114.75">
      <c r="A705" s="329" t="s">
        <v>1784</v>
      </c>
      <c r="B705" s="330" t="s">
        <v>1785</v>
      </c>
      <c r="C705" s="330" t="s">
        <v>1468</v>
      </c>
      <c r="D705" s="330" t="s">
        <v>1468</v>
      </c>
      <c r="E705" s="371">
        <v>592974.72</v>
      </c>
      <c r="F705" s="400">
        <v>468111.47</v>
      </c>
      <c r="G705" s="400">
        <f t="shared" si="10"/>
        <v>78.942905019627148</v>
      </c>
    </row>
    <row r="706" spans="1:7" ht="25.5">
      <c r="A706" s="329" t="s">
        <v>1755</v>
      </c>
      <c r="B706" s="330" t="s">
        <v>1785</v>
      </c>
      <c r="C706" s="330" t="s">
        <v>1756</v>
      </c>
      <c r="D706" s="330" t="s">
        <v>1468</v>
      </c>
      <c r="E706" s="371">
        <v>592974.72</v>
      </c>
      <c r="F706" s="400">
        <v>468111.47</v>
      </c>
      <c r="G706" s="400">
        <f t="shared" si="10"/>
        <v>78.942905019627148</v>
      </c>
    </row>
    <row r="707" spans="1:7" ht="25.5">
      <c r="A707" s="329" t="s">
        <v>1502</v>
      </c>
      <c r="B707" s="330" t="s">
        <v>1785</v>
      </c>
      <c r="C707" s="330" t="s">
        <v>1503</v>
      </c>
      <c r="D707" s="330" t="s">
        <v>1468</v>
      </c>
      <c r="E707" s="371">
        <v>592974.72</v>
      </c>
      <c r="F707" s="400">
        <v>468111.47</v>
      </c>
      <c r="G707" s="400">
        <f t="shared" si="10"/>
        <v>78.942905019627148</v>
      </c>
    </row>
    <row r="708" spans="1:7" ht="25.5">
      <c r="A708" s="329" t="s">
        <v>282</v>
      </c>
      <c r="B708" s="330" t="s">
        <v>1785</v>
      </c>
      <c r="C708" s="330" t="s">
        <v>1503</v>
      </c>
      <c r="D708" s="330" t="s">
        <v>1359</v>
      </c>
      <c r="E708" s="371">
        <v>592974.72</v>
      </c>
      <c r="F708" s="400">
        <v>468111.47</v>
      </c>
      <c r="G708" s="400">
        <f t="shared" si="10"/>
        <v>78.942905019627148</v>
      </c>
    </row>
    <row r="709" spans="1:7">
      <c r="A709" s="329" t="s">
        <v>133</v>
      </c>
      <c r="B709" s="330" t="s">
        <v>1785</v>
      </c>
      <c r="C709" s="330" t="s">
        <v>1503</v>
      </c>
      <c r="D709" s="330" t="s">
        <v>433</v>
      </c>
      <c r="E709" s="371">
        <v>592974.72</v>
      </c>
      <c r="F709" s="400">
        <v>468111.47</v>
      </c>
      <c r="G709" s="400">
        <f t="shared" si="10"/>
        <v>78.942905019627148</v>
      </c>
    </row>
    <row r="710" spans="1:7" ht="76.5">
      <c r="A710" s="329" t="s">
        <v>1845</v>
      </c>
      <c r="B710" s="330" t="s">
        <v>1421</v>
      </c>
      <c r="C710" s="330" t="s">
        <v>1468</v>
      </c>
      <c r="D710" s="330" t="s">
        <v>1468</v>
      </c>
      <c r="E710" s="371">
        <v>1764001</v>
      </c>
      <c r="F710" s="398">
        <v>1764001</v>
      </c>
      <c r="G710" s="400">
        <f t="shared" si="10"/>
        <v>100</v>
      </c>
    </row>
    <row r="711" spans="1:7" ht="25.5">
      <c r="A711" s="329" t="s">
        <v>1755</v>
      </c>
      <c r="B711" s="330" t="s">
        <v>1421</v>
      </c>
      <c r="C711" s="330" t="s">
        <v>1756</v>
      </c>
      <c r="D711" s="330" t="s">
        <v>1468</v>
      </c>
      <c r="E711" s="371">
        <v>3644</v>
      </c>
      <c r="F711" s="398">
        <v>3644</v>
      </c>
      <c r="G711" s="400">
        <f t="shared" si="10"/>
        <v>100</v>
      </c>
    </row>
    <row r="712" spans="1:7" ht="25.5">
      <c r="A712" s="329" t="s">
        <v>1502</v>
      </c>
      <c r="B712" s="330" t="s">
        <v>1421</v>
      </c>
      <c r="C712" s="330" t="s">
        <v>1503</v>
      </c>
      <c r="D712" s="330" t="s">
        <v>1468</v>
      </c>
      <c r="E712" s="371">
        <v>3644</v>
      </c>
      <c r="F712" s="398">
        <v>3644</v>
      </c>
      <c r="G712" s="400">
        <f t="shared" si="10"/>
        <v>100</v>
      </c>
    </row>
    <row r="713" spans="1:7" ht="25.5">
      <c r="A713" s="54" t="s">
        <v>282</v>
      </c>
      <c r="B713" s="399" t="s">
        <v>1421</v>
      </c>
      <c r="C713" s="399" t="s">
        <v>1503</v>
      </c>
      <c r="D713" s="399" t="s">
        <v>1359</v>
      </c>
      <c r="E713" s="370">
        <v>3644</v>
      </c>
      <c r="F713" s="401">
        <v>3644</v>
      </c>
      <c r="G713" s="400">
        <f t="shared" ref="G713:G776" si="11">F713/E713*100</f>
        <v>100</v>
      </c>
    </row>
    <row r="714" spans="1:7">
      <c r="A714" s="54" t="s">
        <v>133</v>
      </c>
      <c r="B714" s="399" t="s">
        <v>1421</v>
      </c>
      <c r="C714" s="399" t="s">
        <v>1503</v>
      </c>
      <c r="D714" s="399" t="s">
        <v>433</v>
      </c>
      <c r="E714" s="372">
        <v>3644</v>
      </c>
      <c r="F714" s="402">
        <v>3644</v>
      </c>
      <c r="G714" s="400">
        <f t="shared" si="11"/>
        <v>100</v>
      </c>
    </row>
    <row r="715" spans="1:7">
      <c r="A715" s="54" t="s">
        <v>1765</v>
      </c>
      <c r="B715" s="399" t="s">
        <v>1421</v>
      </c>
      <c r="C715" s="399" t="s">
        <v>1766</v>
      </c>
      <c r="D715" s="399" t="s">
        <v>1468</v>
      </c>
      <c r="E715" s="372">
        <v>1760357</v>
      </c>
      <c r="F715" s="402">
        <v>1760357</v>
      </c>
      <c r="G715" s="400">
        <f t="shared" si="11"/>
        <v>100</v>
      </c>
    </row>
    <row r="716" spans="1:7">
      <c r="A716" s="54" t="s">
        <v>94</v>
      </c>
      <c r="B716" s="399" t="s">
        <v>1421</v>
      </c>
      <c r="C716" s="399" t="s">
        <v>519</v>
      </c>
      <c r="D716" s="399" t="s">
        <v>1468</v>
      </c>
      <c r="E716" s="372">
        <v>1760357</v>
      </c>
      <c r="F716" s="402">
        <v>1760357</v>
      </c>
      <c r="G716" s="400">
        <f t="shared" si="11"/>
        <v>100</v>
      </c>
    </row>
    <row r="717" spans="1:7" ht="25.5">
      <c r="A717" s="54" t="s">
        <v>282</v>
      </c>
      <c r="B717" s="399" t="s">
        <v>1421</v>
      </c>
      <c r="C717" s="399" t="s">
        <v>519</v>
      </c>
      <c r="D717" s="399" t="s">
        <v>1359</v>
      </c>
      <c r="E717" s="372">
        <v>1760357</v>
      </c>
      <c r="F717" s="402">
        <v>1760357</v>
      </c>
      <c r="G717" s="400">
        <f t="shared" si="11"/>
        <v>100</v>
      </c>
    </row>
    <row r="718" spans="1:7">
      <c r="A718" s="54" t="s">
        <v>133</v>
      </c>
      <c r="B718" s="399" t="s">
        <v>1421</v>
      </c>
      <c r="C718" s="399" t="s">
        <v>519</v>
      </c>
      <c r="D718" s="399" t="s">
        <v>433</v>
      </c>
      <c r="E718" s="372">
        <v>1760357</v>
      </c>
      <c r="F718" s="402">
        <v>1760357</v>
      </c>
      <c r="G718" s="400">
        <f t="shared" si="11"/>
        <v>100</v>
      </c>
    </row>
    <row r="719" spans="1:7" ht="89.25">
      <c r="A719" s="54" t="s">
        <v>437</v>
      </c>
      <c r="B719" s="399" t="s">
        <v>789</v>
      </c>
      <c r="C719" s="399" t="s">
        <v>1468</v>
      </c>
      <c r="D719" s="399" t="s">
        <v>1468</v>
      </c>
      <c r="E719" s="372">
        <v>95578</v>
      </c>
      <c r="F719" s="402">
        <v>95578</v>
      </c>
      <c r="G719" s="400">
        <f t="shared" si="11"/>
        <v>100</v>
      </c>
    </row>
    <row r="720" spans="1:7" ht="25.5">
      <c r="A720" s="54" t="s">
        <v>1755</v>
      </c>
      <c r="B720" s="399" t="s">
        <v>789</v>
      </c>
      <c r="C720" s="399" t="s">
        <v>1756</v>
      </c>
      <c r="D720" s="399" t="s">
        <v>1468</v>
      </c>
      <c r="E720" s="372">
        <v>95578</v>
      </c>
      <c r="F720" s="402">
        <v>95578</v>
      </c>
      <c r="G720" s="400">
        <f t="shared" si="11"/>
        <v>100</v>
      </c>
    </row>
    <row r="721" spans="1:7" ht="25.5">
      <c r="A721" s="54" t="s">
        <v>1502</v>
      </c>
      <c r="B721" s="399" t="s">
        <v>789</v>
      </c>
      <c r="C721" s="399" t="s">
        <v>1503</v>
      </c>
      <c r="D721" s="399" t="s">
        <v>1468</v>
      </c>
      <c r="E721" s="372">
        <v>95578</v>
      </c>
      <c r="F721" s="402">
        <v>95578</v>
      </c>
      <c r="G721" s="400">
        <f t="shared" si="11"/>
        <v>100</v>
      </c>
    </row>
    <row r="722" spans="1:7" ht="25.5">
      <c r="A722" s="54" t="s">
        <v>282</v>
      </c>
      <c r="B722" s="399" t="s">
        <v>789</v>
      </c>
      <c r="C722" s="399" t="s">
        <v>1503</v>
      </c>
      <c r="D722" s="399" t="s">
        <v>1359</v>
      </c>
      <c r="E722" s="372">
        <v>95578</v>
      </c>
      <c r="F722" s="402">
        <v>95578</v>
      </c>
      <c r="G722" s="400">
        <f t="shared" si="11"/>
        <v>100</v>
      </c>
    </row>
    <row r="723" spans="1:7">
      <c r="A723" s="54" t="s">
        <v>133</v>
      </c>
      <c r="B723" s="399" t="s">
        <v>789</v>
      </c>
      <c r="C723" s="399" t="s">
        <v>1503</v>
      </c>
      <c r="D723" s="399" t="s">
        <v>433</v>
      </c>
      <c r="E723" s="372">
        <v>95578</v>
      </c>
      <c r="F723" s="402">
        <v>95578</v>
      </c>
      <c r="G723" s="400">
        <f t="shared" si="11"/>
        <v>100</v>
      </c>
    </row>
    <row r="724" spans="1:7" ht="89.25">
      <c r="A724" s="54" t="s">
        <v>438</v>
      </c>
      <c r="B724" s="399" t="s">
        <v>790</v>
      </c>
      <c r="C724" s="399" t="s">
        <v>1468</v>
      </c>
      <c r="D724" s="399" t="s">
        <v>1468</v>
      </c>
      <c r="E724" s="372">
        <v>18500</v>
      </c>
      <c r="F724" s="402">
        <v>18500</v>
      </c>
      <c r="G724" s="400">
        <f t="shared" si="11"/>
        <v>100</v>
      </c>
    </row>
    <row r="725" spans="1:7" ht="25.5">
      <c r="A725" s="54" t="s">
        <v>1755</v>
      </c>
      <c r="B725" s="399" t="s">
        <v>790</v>
      </c>
      <c r="C725" s="399" t="s">
        <v>1756</v>
      </c>
      <c r="D725" s="399" t="s">
        <v>1468</v>
      </c>
      <c r="E725" s="372">
        <v>18500</v>
      </c>
      <c r="F725" s="402">
        <v>18500</v>
      </c>
      <c r="G725" s="400">
        <f t="shared" si="11"/>
        <v>100</v>
      </c>
    </row>
    <row r="726" spans="1:7" ht="25.5">
      <c r="A726" s="54" t="s">
        <v>1502</v>
      </c>
      <c r="B726" s="399" t="s">
        <v>790</v>
      </c>
      <c r="C726" s="399" t="s">
        <v>1503</v>
      </c>
      <c r="D726" s="399" t="s">
        <v>1468</v>
      </c>
      <c r="E726" s="372">
        <v>18500</v>
      </c>
      <c r="F726" s="402">
        <v>18500</v>
      </c>
      <c r="G726" s="400">
        <f t="shared" si="11"/>
        <v>100</v>
      </c>
    </row>
    <row r="727" spans="1:7" ht="25.5">
      <c r="A727" s="54" t="s">
        <v>282</v>
      </c>
      <c r="B727" s="399" t="s">
        <v>790</v>
      </c>
      <c r="C727" s="399" t="s">
        <v>1503</v>
      </c>
      <c r="D727" s="399" t="s">
        <v>1359</v>
      </c>
      <c r="E727" s="372">
        <v>18500</v>
      </c>
      <c r="F727" s="402">
        <v>18500</v>
      </c>
      <c r="G727" s="400">
        <f t="shared" si="11"/>
        <v>100</v>
      </c>
    </row>
    <row r="728" spans="1:7">
      <c r="A728" s="54" t="s">
        <v>133</v>
      </c>
      <c r="B728" s="399" t="s">
        <v>790</v>
      </c>
      <c r="C728" s="399" t="s">
        <v>1503</v>
      </c>
      <c r="D728" s="399" t="s">
        <v>433</v>
      </c>
      <c r="E728" s="372">
        <v>18500</v>
      </c>
      <c r="F728" s="402">
        <v>18500</v>
      </c>
      <c r="G728" s="400">
        <f t="shared" si="11"/>
        <v>100</v>
      </c>
    </row>
    <row r="729" spans="1:7" ht="89.25">
      <c r="A729" s="54" t="s">
        <v>421</v>
      </c>
      <c r="B729" s="399" t="s">
        <v>773</v>
      </c>
      <c r="C729" s="399" t="s">
        <v>1468</v>
      </c>
      <c r="D729" s="399" t="s">
        <v>1468</v>
      </c>
      <c r="E729" s="372">
        <v>12702.75</v>
      </c>
      <c r="F729" s="402">
        <v>12702.75</v>
      </c>
      <c r="G729" s="400">
        <f t="shared" si="11"/>
        <v>100</v>
      </c>
    </row>
    <row r="730" spans="1:7" ht="25.5">
      <c r="A730" s="54" t="s">
        <v>1755</v>
      </c>
      <c r="B730" s="399" t="s">
        <v>773</v>
      </c>
      <c r="C730" s="399" t="s">
        <v>1756</v>
      </c>
      <c r="D730" s="399" t="s">
        <v>1468</v>
      </c>
      <c r="E730" s="372">
        <v>12702.75</v>
      </c>
      <c r="F730" s="402">
        <v>12702.75</v>
      </c>
      <c r="G730" s="400">
        <f t="shared" si="11"/>
        <v>100</v>
      </c>
    </row>
    <row r="731" spans="1:7" ht="25.5">
      <c r="A731" s="54" t="s">
        <v>1502</v>
      </c>
      <c r="B731" s="399" t="s">
        <v>773</v>
      </c>
      <c r="C731" s="399" t="s">
        <v>1503</v>
      </c>
      <c r="D731" s="399" t="s">
        <v>1468</v>
      </c>
      <c r="E731" s="372">
        <v>12702.75</v>
      </c>
      <c r="F731" s="402">
        <v>12702.75</v>
      </c>
      <c r="G731" s="400">
        <f t="shared" si="11"/>
        <v>100</v>
      </c>
    </row>
    <row r="732" spans="1:7">
      <c r="A732" s="54" t="s">
        <v>278</v>
      </c>
      <c r="B732" s="399" t="s">
        <v>773</v>
      </c>
      <c r="C732" s="399" t="s">
        <v>1503</v>
      </c>
      <c r="D732" s="399" t="s">
        <v>1357</v>
      </c>
      <c r="E732" s="372">
        <v>12702.75</v>
      </c>
      <c r="F732" s="402">
        <v>12702.75</v>
      </c>
      <c r="G732" s="400">
        <f t="shared" si="11"/>
        <v>100</v>
      </c>
    </row>
    <row r="733" spans="1:7" ht="51">
      <c r="A733" s="54" t="s">
        <v>280</v>
      </c>
      <c r="B733" s="399" t="s">
        <v>773</v>
      </c>
      <c r="C733" s="399" t="s">
        <v>1503</v>
      </c>
      <c r="D733" s="399" t="s">
        <v>420</v>
      </c>
      <c r="E733" s="372">
        <v>12702.75</v>
      </c>
      <c r="F733" s="402">
        <v>12702.75</v>
      </c>
      <c r="G733" s="400">
        <f t="shared" si="11"/>
        <v>100</v>
      </c>
    </row>
    <row r="734" spans="1:7" ht="89.25">
      <c r="A734" s="54" t="s">
        <v>1580</v>
      </c>
      <c r="B734" s="399" t="s">
        <v>1581</v>
      </c>
      <c r="C734" s="399" t="s">
        <v>1468</v>
      </c>
      <c r="D734" s="399" t="s">
        <v>1468</v>
      </c>
      <c r="E734" s="372">
        <v>182</v>
      </c>
      <c r="F734" s="402">
        <v>182</v>
      </c>
      <c r="G734" s="400">
        <f t="shared" si="11"/>
        <v>100</v>
      </c>
    </row>
    <row r="735" spans="1:7" ht="25.5">
      <c r="A735" s="54" t="s">
        <v>1755</v>
      </c>
      <c r="B735" s="399" t="s">
        <v>1581</v>
      </c>
      <c r="C735" s="399" t="s">
        <v>1756</v>
      </c>
      <c r="D735" s="399" t="s">
        <v>1468</v>
      </c>
      <c r="E735" s="372">
        <v>182</v>
      </c>
      <c r="F735" s="402">
        <v>182</v>
      </c>
      <c r="G735" s="400">
        <f t="shared" si="11"/>
        <v>100</v>
      </c>
    </row>
    <row r="736" spans="1:7" ht="25.5">
      <c r="A736" s="54" t="s">
        <v>1502</v>
      </c>
      <c r="B736" s="399" t="s">
        <v>1581</v>
      </c>
      <c r="C736" s="399" t="s">
        <v>1503</v>
      </c>
      <c r="D736" s="399" t="s">
        <v>1468</v>
      </c>
      <c r="E736" s="372">
        <v>182</v>
      </c>
      <c r="F736" s="402">
        <v>182</v>
      </c>
      <c r="G736" s="400">
        <f t="shared" si="11"/>
        <v>100</v>
      </c>
    </row>
    <row r="737" spans="1:7" ht="25.5">
      <c r="A737" s="54" t="s">
        <v>282</v>
      </c>
      <c r="B737" s="399" t="s">
        <v>1581</v>
      </c>
      <c r="C737" s="399" t="s">
        <v>1503</v>
      </c>
      <c r="D737" s="399" t="s">
        <v>1359</v>
      </c>
      <c r="E737" s="372">
        <v>182</v>
      </c>
      <c r="F737" s="402">
        <v>182</v>
      </c>
      <c r="G737" s="400">
        <f t="shared" si="11"/>
        <v>100</v>
      </c>
    </row>
    <row r="738" spans="1:7">
      <c r="A738" s="54" t="s">
        <v>133</v>
      </c>
      <c r="B738" s="399" t="s">
        <v>1581</v>
      </c>
      <c r="C738" s="399" t="s">
        <v>1503</v>
      </c>
      <c r="D738" s="399" t="s">
        <v>433</v>
      </c>
      <c r="E738" s="372">
        <v>182</v>
      </c>
      <c r="F738" s="402">
        <v>182</v>
      </c>
      <c r="G738" s="400">
        <f t="shared" si="11"/>
        <v>100</v>
      </c>
    </row>
    <row r="739" spans="1:7" ht="38.25">
      <c r="A739" s="54" t="s">
        <v>1904</v>
      </c>
      <c r="B739" s="399" t="s">
        <v>1426</v>
      </c>
      <c r="C739" s="399" t="s">
        <v>1468</v>
      </c>
      <c r="D739" s="399" t="s">
        <v>1468</v>
      </c>
      <c r="E739" s="372">
        <v>210953.84</v>
      </c>
      <c r="F739" s="400">
        <v>205203.84</v>
      </c>
      <c r="G739" s="400">
        <f t="shared" si="11"/>
        <v>97.274285218036326</v>
      </c>
    </row>
    <row r="740" spans="1:7" ht="89.25">
      <c r="A740" s="54" t="s">
        <v>1905</v>
      </c>
      <c r="B740" s="399" t="s">
        <v>1420</v>
      </c>
      <c r="C740" s="399" t="s">
        <v>1468</v>
      </c>
      <c r="D740" s="399" t="s">
        <v>1468</v>
      </c>
      <c r="E740" s="372">
        <v>210953.84</v>
      </c>
      <c r="F740" s="400">
        <v>205203.84</v>
      </c>
      <c r="G740" s="400">
        <f t="shared" si="11"/>
        <v>97.274285218036326</v>
      </c>
    </row>
    <row r="741" spans="1:7" ht="25.5">
      <c r="A741" s="54" t="s">
        <v>1755</v>
      </c>
      <c r="B741" s="399" t="s">
        <v>1420</v>
      </c>
      <c r="C741" s="399" t="s">
        <v>1756</v>
      </c>
      <c r="D741" s="399" t="s">
        <v>1468</v>
      </c>
      <c r="E741" s="372">
        <v>210953.84</v>
      </c>
      <c r="F741" s="400">
        <v>205203.84</v>
      </c>
      <c r="G741" s="400">
        <f t="shared" si="11"/>
        <v>97.274285218036326</v>
      </c>
    </row>
    <row r="742" spans="1:7" ht="25.5">
      <c r="A742" s="54" t="s">
        <v>1502</v>
      </c>
      <c r="B742" s="399" t="s">
        <v>1420</v>
      </c>
      <c r="C742" s="399" t="s">
        <v>1503</v>
      </c>
      <c r="D742" s="399" t="s">
        <v>1468</v>
      </c>
      <c r="E742" s="372">
        <v>210953.84</v>
      </c>
      <c r="F742" s="400">
        <v>205203.84</v>
      </c>
      <c r="G742" s="400">
        <f t="shared" si="11"/>
        <v>97.274285218036326</v>
      </c>
    </row>
    <row r="743" spans="1:7">
      <c r="A743" s="54" t="s">
        <v>278</v>
      </c>
      <c r="B743" s="399" t="s">
        <v>1420</v>
      </c>
      <c r="C743" s="399" t="s">
        <v>1503</v>
      </c>
      <c r="D743" s="399" t="s">
        <v>1357</v>
      </c>
      <c r="E743" s="372">
        <v>210953.84</v>
      </c>
      <c r="F743" s="400">
        <v>205203.84</v>
      </c>
      <c r="G743" s="400">
        <f t="shared" si="11"/>
        <v>97.274285218036326</v>
      </c>
    </row>
    <row r="744" spans="1:7">
      <c r="A744" s="54" t="s">
        <v>261</v>
      </c>
      <c r="B744" s="399" t="s">
        <v>1420</v>
      </c>
      <c r="C744" s="399" t="s">
        <v>1503</v>
      </c>
      <c r="D744" s="399" t="s">
        <v>424</v>
      </c>
      <c r="E744" s="372">
        <v>210953.84</v>
      </c>
      <c r="F744" s="400">
        <v>205203.84</v>
      </c>
      <c r="G744" s="400">
        <f t="shared" si="11"/>
        <v>97.274285218036326</v>
      </c>
    </row>
    <row r="745" spans="1:7" ht="25.5">
      <c r="A745" s="54" t="s">
        <v>554</v>
      </c>
      <c r="B745" s="399" t="s">
        <v>1120</v>
      </c>
      <c r="C745" s="399" t="s">
        <v>1468</v>
      </c>
      <c r="D745" s="399" t="s">
        <v>1468</v>
      </c>
      <c r="E745" s="372">
        <v>281222262.79000002</v>
      </c>
      <c r="F745" s="400">
        <v>281027159.72000003</v>
      </c>
      <c r="G745" s="400">
        <f t="shared" si="11"/>
        <v>99.930623177530691</v>
      </c>
    </row>
    <row r="746" spans="1:7">
      <c r="A746" s="54" t="s">
        <v>555</v>
      </c>
      <c r="B746" s="399" t="s">
        <v>1121</v>
      </c>
      <c r="C746" s="399" t="s">
        <v>1468</v>
      </c>
      <c r="D746" s="399" t="s">
        <v>1468</v>
      </c>
      <c r="E746" s="372">
        <v>42924224.079999998</v>
      </c>
      <c r="F746" s="400">
        <v>42900602.289999999</v>
      </c>
      <c r="G746" s="400">
        <f t="shared" si="11"/>
        <v>99.94496862667576</v>
      </c>
    </row>
    <row r="747" spans="1:7" ht="76.5">
      <c r="A747" s="54" t="s">
        <v>1850</v>
      </c>
      <c r="B747" s="399" t="s">
        <v>1851</v>
      </c>
      <c r="C747" s="399" t="s">
        <v>1468</v>
      </c>
      <c r="D747" s="399" t="s">
        <v>1468</v>
      </c>
      <c r="E747" s="372">
        <v>11422860</v>
      </c>
      <c r="F747" s="400">
        <v>11422860</v>
      </c>
      <c r="G747" s="400">
        <f t="shared" si="11"/>
        <v>100</v>
      </c>
    </row>
    <row r="748" spans="1:7" ht="25.5">
      <c r="A748" s="54" t="s">
        <v>1763</v>
      </c>
      <c r="B748" s="399" t="s">
        <v>1851</v>
      </c>
      <c r="C748" s="399" t="s">
        <v>1764</v>
      </c>
      <c r="D748" s="399" t="s">
        <v>1468</v>
      </c>
      <c r="E748" s="372">
        <v>11422860</v>
      </c>
      <c r="F748" s="400">
        <v>11422860</v>
      </c>
      <c r="G748" s="400">
        <f t="shared" si="11"/>
        <v>100</v>
      </c>
    </row>
    <row r="749" spans="1:7">
      <c r="A749" s="54" t="s">
        <v>1504</v>
      </c>
      <c r="B749" s="399" t="s">
        <v>1851</v>
      </c>
      <c r="C749" s="399" t="s">
        <v>1505</v>
      </c>
      <c r="D749" s="399" t="s">
        <v>1468</v>
      </c>
      <c r="E749" s="372">
        <v>11422860</v>
      </c>
      <c r="F749" s="400">
        <v>11422860</v>
      </c>
      <c r="G749" s="400">
        <f t="shared" si="11"/>
        <v>100</v>
      </c>
    </row>
    <row r="750" spans="1:7">
      <c r="A750" s="54" t="s">
        <v>293</v>
      </c>
      <c r="B750" s="399" t="s">
        <v>1851</v>
      </c>
      <c r="C750" s="399" t="s">
        <v>1505</v>
      </c>
      <c r="D750" s="399" t="s">
        <v>1370</v>
      </c>
      <c r="E750" s="372">
        <v>11422860</v>
      </c>
      <c r="F750" s="400">
        <v>11422860</v>
      </c>
      <c r="G750" s="400">
        <f t="shared" si="11"/>
        <v>100</v>
      </c>
    </row>
    <row r="751" spans="1:7">
      <c r="A751" s="54" t="s">
        <v>250</v>
      </c>
      <c r="B751" s="399" t="s">
        <v>1851</v>
      </c>
      <c r="C751" s="399" t="s">
        <v>1505</v>
      </c>
      <c r="D751" s="399" t="s">
        <v>480</v>
      </c>
      <c r="E751" s="372">
        <v>11422860</v>
      </c>
      <c r="F751" s="400">
        <v>11422860</v>
      </c>
      <c r="G751" s="400">
        <f t="shared" si="11"/>
        <v>100</v>
      </c>
    </row>
    <row r="752" spans="1:7" ht="89.25">
      <c r="A752" s="54" t="s">
        <v>486</v>
      </c>
      <c r="B752" s="399" t="s">
        <v>836</v>
      </c>
      <c r="C752" s="399" t="s">
        <v>1468</v>
      </c>
      <c r="D752" s="399" t="s">
        <v>1468</v>
      </c>
      <c r="E752" s="372">
        <v>24190798</v>
      </c>
      <c r="F752" s="402">
        <v>24190798</v>
      </c>
      <c r="G752" s="400">
        <f t="shared" si="11"/>
        <v>100</v>
      </c>
    </row>
    <row r="753" spans="1:7" ht="25.5">
      <c r="A753" s="54" t="s">
        <v>1763</v>
      </c>
      <c r="B753" s="399" t="s">
        <v>836</v>
      </c>
      <c r="C753" s="399" t="s">
        <v>1764</v>
      </c>
      <c r="D753" s="399" t="s">
        <v>1468</v>
      </c>
      <c r="E753" s="372">
        <v>24190798</v>
      </c>
      <c r="F753" s="402">
        <v>24190798</v>
      </c>
      <c r="G753" s="400">
        <f t="shared" si="11"/>
        <v>100</v>
      </c>
    </row>
    <row r="754" spans="1:7">
      <c r="A754" s="54" t="s">
        <v>1504</v>
      </c>
      <c r="B754" s="399" t="s">
        <v>836</v>
      </c>
      <c r="C754" s="399" t="s">
        <v>1505</v>
      </c>
      <c r="D754" s="399" t="s">
        <v>1468</v>
      </c>
      <c r="E754" s="372">
        <v>24190798</v>
      </c>
      <c r="F754" s="402">
        <v>24190798</v>
      </c>
      <c r="G754" s="400">
        <f t="shared" si="11"/>
        <v>100</v>
      </c>
    </row>
    <row r="755" spans="1:7">
      <c r="A755" s="54" t="s">
        <v>293</v>
      </c>
      <c r="B755" s="399" t="s">
        <v>836</v>
      </c>
      <c r="C755" s="399" t="s">
        <v>1505</v>
      </c>
      <c r="D755" s="399" t="s">
        <v>1370</v>
      </c>
      <c r="E755" s="372">
        <v>24190798</v>
      </c>
      <c r="F755" s="402">
        <v>24190798</v>
      </c>
      <c r="G755" s="400">
        <f t="shared" si="11"/>
        <v>100</v>
      </c>
    </row>
    <row r="756" spans="1:7">
      <c r="A756" s="54" t="s">
        <v>250</v>
      </c>
      <c r="B756" s="399" t="s">
        <v>836</v>
      </c>
      <c r="C756" s="399" t="s">
        <v>1505</v>
      </c>
      <c r="D756" s="399" t="s">
        <v>480</v>
      </c>
      <c r="E756" s="372">
        <v>24190798</v>
      </c>
      <c r="F756" s="402">
        <v>24190798</v>
      </c>
      <c r="G756" s="400">
        <f t="shared" si="11"/>
        <v>100</v>
      </c>
    </row>
    <row r="757" spans="1:7" ht="114.75">
      <c r="A757" s="54" t="s">
        <v>487</v>
      </c>
      <c r="B757" s="399" t="s">
        <v>837</v>
      </c>
      <c r="C757" s="399" t="s">
        <v>1468</v>
      </c>
      <c r="D757" s="399" t="s">
        <v>1468</v>
      </c>
      <c r="E757" s="372">
        <v>61000</v>
      </c>
      <c r="F757" s="402">
        <v>61000</v>
      </c>
      <c r="G757" s="400">
        <f t="shared" si="11"/>
        <v>100</v>
      </c>
    </row>
    <row r="758" spans="1:7" ht="25.5">
      <c r="A758" s="54" t="s">
        <v>1763</v>
      </c>
      <c r="B758" s="399" t="s">
        <v>837</v>
      </c>
      <c r="C758" s="399" t="s">
        <v>1764</v>
      </c>
      <c r="D758" s="399" t="s">
        <v>1468</v>
      </c>
      <c r="E758" s="372">
        <v>61000</v>
      </c>
      <c r="F758" s="402">
        <v>61000</v>
      </c>
      <c r="G758" s="400">
        <f t="shared" si="11"/>
        <v>100</v>
      </c>
    </row>
    <row r="759" spans="1:7">
      <c r="A759" s="54" t="s">
        <v>1504</v>
      </c>
      <c r="B759" s="399" t="s">
        <v>837</v>
      </c>
      <c r="C759" s="399" t="s">
        <v>1505</v>
      </c>
      <c r="D759" s="399" t="s">
        <v>1468</v>
      </c>
      <c r="E759" s="372">
        <v>61000</v>
      </c>
      <c r="F759" s="402">
        <v>61000</v>
      </c>
      <c r="G759" s="400">
        <f t="shared" si="11"/>
        <v>100</v>
      </c>
    </row>
    <row r="760" spans="1:7">
      <c r="A760" s="54" t="s">
        <v>293</v>
      </c>
      <c r="B760" s="399" t="s">
        <v>837</v>
      </c>
      <c r="C760" s="399" t="s">
        <v>1505</v>
      </c>
      <c r="D760" s="399" t="s">
        <v>1370</v>
      </c>
      <c r="E760" s="372">
        <v>61000</v>
      </c>
      <c r="F760" s="402">
        <v>61000</v>
      </c>
      <c r="G760" s="400">
        <f t="shared" si="11"/>
        <v>100</v>
      </c>
    </row>
    <row r="761" spans="1:7">
      <c r="A761" s="54" t="s">
        <v>250</v>
      </c>
      <c r="B761" s="399" t="s">
        <v>837</v>
      </c>
      <c r="C761" s="399" t="s">
        <v>1505</v>
      </c>
      <c r="D761" s="399" t="s">
        <v>480</v>
      </c>
      <c r="E761" s="372">
        <v>61000</v>
      </c>
      <c r="F761" s="402">
        <v>61000</v>
      </c>
      <c r="G761" s="400">
        <f t="shared" si="11"/>
        <v>100</v>
      </c>
    </row>
    <row r="762" spans="1:7" ht="89.25">
      <c r="A762" s="54" t="s">
        <v>1207</v>
      </c>
      <c r="B762" s="399" t="s">
        <v>1208</v>
      </c>
      <c r="C762" s="399" t="s">
        <v>1468</v>
      </c>
      <c r="D762" s="399" t="s">
        <v>1468</v>
      </c>
      <c r="E762" s="372">
        <v>176000</v>
      </c>
      <c r="F762" s="402">
        <v>176000</v>
      </c>
      <c r="G762" s="400">
        <f t="shared" si="11"/>
        <v>100</v>
      </c>
    </row>
    <row r="763" spans="1:7" ht="25.5">
      <c r="A763" s="54" t="s">
        <v>1763</v>
      </c>
      <c r="B763" s="399" t="s">
        <v>1208</v>
      </c>
      <c r="C763" s="399" t="s">
        <v>1764</v>
      </c>
      <c r="D763" s="399" t="s">
        <v>1468</v>
      </c>
      <c r="E763" s="372">
        <v>176000</v>
      </c>
      <c r="F763" s="402">
        <v>176000</v>
      </c>
      <c r="G763" s="400">
        <f t="shared" si="11"/>
        <v>100</v>
      </c>
    </row>
    <row r="764" spans="1:7">
      <c r="A764" s="54" t="s">
        <v>1504</v>
      </c>
      <c r="B764" s="399" t="s">
        <v>1208</v>
      </c>
      <c r="C764" s="399" t="s">
        <v>1505</v>
      </c>
      <c r="D764" s="399" t="s">
        <v>1468</v>
      </c>
      <c r="E764" s="372">
        <v>176000</v>
      </c>
      <c r="F764" s="402">
        <v>176000</v>
      </c>
      <c r="G764" s="400">
        <f t="shared" si="11"/>
        <v>100</v>
      </c>
    </row>
    <row r="765" spans="1:7">
      <c r="A765" s="54" t="s">
        <v>293</v>
      </c>
      <c r="B765" s="399" t="s">
        <v>1208</v>
      </c>
      <c r="C765" s="399" t="s">
        <v>1505</v>
      </c>
      <c r="D765" s="399" t="s">
        <v>1370</v>
      </c>
      <c r="E765" s="372">
        <v>176000</v>
      </c>
      <c r="F765" s="402">
        <v>176000</v>
      </c>
      <c r="G765" s="400">
        <f t="shared" si="11"/>
        <v>100</v>
      </c>
    </row>
    <row r="766" spans="1:7">
      <c r="A766" s="54" t="s">
        <v>250</v>
      </c>
      <c r="B766" s="399" t="s">
        <v>1208</v>
      </c>
      <c r="C766" s="399" t="s">
        <v>1505</v>
      </c>
      <c r="D766" s="399" t="s">
        <v>480</v>
      </c>
      <c r="E766" s="372">
        <v>176000</v>
      </c>
      <c r="F766" s="402">
        <v>176000</v>
      </c>
      <c r="G766" s="400">
        <f t="shared" si="11"/>
        <v>100</v>
      </c>
    </row>
    <row r="767" spans="1:7" ht="89.25">
      <c r="A767" s="54" t="s">
        <v>607</v>
      </c>
      <c r="B767" s="399" t="s">
        <v>838</v>
      </c>
      <c r="C767" s="399" t="s">
        <v>1468</v>
      </c>
      <c r="D767" s="399" t="s">
        <v>1468</v>
      </c>
      <c r="E767" s="372">
        <v>539062.07999999996</v>
      </c>
      <c r="F767" s="400">
        <v>537454.07999999996</v>
      </c>
      <c r="G767" s="400">
        <f t="shared" si="11"/>
        <v>99.701704115414685</v>
      </c>
    </row>
    <row r="768" spans="1:7" ht="25.5">
      <c r="A768" s="54" t="s">
        <v>1763</v>
      </c>
      <c r="B768" s="399" t="s">
        <v>838</v>
      </c>
      <c r="C768" s="399" t="s">
        <v>1764</v>
      </c>
      <c r="D768" s="399" t="s">
        <v>1468</v>
      </c>
      <c r="E768" s="372">
        <v>539062.07999999996</v>
      </c>
      <c r="F768" s="400">
        <v>537454.07999999996</v>
      </c>
      <c r="G768" s="400">
        <f t="shared" si="11"/>
        <v>99.701704115414685</v>
      </c>
    </row>
    <row r="769" spans="1:7">
      <c r="A769" s="54" t="s">
        <v>1504</v>
      </c>
      <c r="B769" s="399" t="s">
        <v>838</v>
      </c>
      <c r="C769" s="399" t="s">
        <v>1505</v>
      </c>
      <c r="D769" s="399" t="s">
        <v>1468</v>
      </c>
      <c r="E769" s="372">
        <v>539062.07999999996</v>
      </c>
      <c r="F769" s="400">
        <v>537454.07999999996</v>
      </c>
      <c r="G769" s="400">
        <f t="shared" si="11"/>
        <v>99.701704115414685</v>
      </c>
    </row>
    <row r="770" spans="1:7">
      <c r="A770" s="54" t="s">
        <v>293</v>
      </c>
      <c r="B770" s="399" t="s">
        <v>838</v>
      </c>
      <c r="C770" s="399" t="s">
        <v>1505</v>
      </c>
      <c r="D770" s="399" t="s">
        <v>1370</v>
      </c>
      <c r="E770" s="372">
        <v>539062.07999999996</v>
      </c>
      <c r="F770" s="400">
        <v>537454.07999999996</v>
      </c>
      <c r="G770" s="400">
        <f t="shared" si="11"/>
        <v>99.701704115414685</v>
      </c>
    </row>
    <row r="771" spans="1:7">
      <c r="A771" s="54" t="s">
        <v>250</v>
      </c>
      <c r="B771" s="399" t="s">
        <v>838</v>
      </c>
      <c r="C771" s="399" t="s">
        <v>1505</v>
      </c>
      <c r="D771" s="399" t="s">
        <v>480</v>
      </c>
      <c r="E771" s="372">
        <v>539062.07999999996</v>
      </c>
      <c r="F771" s="400">
        <v>537454.07999999996</v>
      </c>
      <c r="G771" s="400">
        <f t="shared" si="11"/>
        <v>99.701704115414685</v>
      </c>
    </row>
    <row r="772" spans="1:7" ht="89.25">
      <c r="A772" s="54" t="s">
        <v>677</v>
      </c>
      <c r="B772" s="399" t="s">
        <v>839</v>
      </c>
      <c r="C772" s="399" t="s">
        <v>1468</v>
      </c>
      <c r="D772" s="399" t="s">
        <v>1468</v>
      </c>
      <c r="E772" s="372">
        <v>3744900</v>
      </c>
      <c r="F772" s="402">
        <v>3744900</v>
      </c>
      <c r="G772" s="400">
        <f t="shared" si="11"/>
        <v>100</v>
      </c>
    </row>
    <row r="773" spans="1:7" ht="25.5">
      <c r="A773" s="54" t="s">
        <v>1763</v>
      </c>
      <c r="B773" s="399" t="s">
        <v>839</v>
      </c>
      <c r="C773" s="399" t="s">
        <v>1764</v>
      </c>
      <c r="D773" s="399" t="s">
        <v>1468</v>
      </c>
      <c r="E773" s="372">
        <v>3744900</v>
      </c>
      <c r="F773" s="402">
        <v>3744900</v>
      </c>
      <c r="G773" s="400">
        <f t="shared" si="11"/>
        <v>100</v>
      </c>
    </row>
    <row r="774" spans="1:7">
      <c r="A774" s="54" t="s">
        <v>1504</v>
      </c>
      <c r="B774" s="399" t="s">
        <v>839</v>
      </c>
      <c r="C774" s="399" t="s">
        <v>1505</v>
      </c>
      <c r="D774" s="399" t="s">
        <v>1468</v>
      </c>
      <c r="E774" s="372">
        <v>3744900</v>
      </c>
      <c r="F774" s="402">
        <v>3744900</v>
      </c>
      <c r="G774" s="400">
        <f t="shared" si="11"/>
        <v>100</v>
      </c>
    </row>
    <row r="775" spans="1:7">
      <c r="A775" s="54" t="s">
        <v>293</v>
      </c>
      <c r="B775" s="399" t="s">
        <v>839</v>
      </c>
      <c r="C775" s="399" t="s">
        <v>1505</v>
      </c>
      <c r="D775" s="399" t="s">
        <v>1370</v>
      </c>
      <c r="E775" s="372">
        <v>3744900</v>
      </c>
      <c r="F775" s="402">
        <v>3744900</v>
      </c>
      <c r="G775" s="400">
        <f t="shared" si="11"/>
        <v>100</v>
      </c>
    </row>
    <row r="776" spans="1:7">
      <c r="A776" s="54" t="s">
        <v>250</v>
      </c>
      <c r="B776" s="399" t="s">
        <v>839</v>
      </c>
      <c r="C776" s="399" t="s">
        <v>1505</v>
      </c>
      <c r="D776" s="399" t="s">
        <v>480</v>
      </c>
      <c r="E776" s="372">
        <v>3744900</v>
      </c>
      <c r="F776" s="402">
        <v>3744900</v>
      </c>
      <c r="G776" s="400">
        <f t="shared" si="11"/>
        <v>100</v>
      </c>
    </row>
    <row r="777" spans="1:7" ht="76.5">
      <c r="A777" s="54" t="s">
        <v>1089</v>
      </c>
      <c r="B777" s="399" t="s">
        <v>1090</v>
      </c>
      <c r="C777" s="399" t="s">
        <v>1468</v>
      </c>
      <c r="D777" s="399" t="s">
        <v>1468</v>
      </c>
      <c r="E777" s="372">
        <v>1040000</v>
      </c>
      <c r="F777" s="402">
        <v>1040000</v>
      </c>
      <c r="G777" s="400">
        <f t="shared" ref="G777:G840" si="12">F777/E777*100</f>
        <v>100</v>
      </c>
    </row>
    <row r="778" spans="1:7" ht="25.5">
      <c r="A778" s="54" t="s">
        <v>1763</v>
      </c>
      <c r="B778" s="399" t="s">
        <v>1090</v>
      </c>
      <c r="C778" s="399" t="s">
        <v>1764</v>
      </c>
      <c r="D778" s="399" t="s">
        <v>1468</v>
      </c>
      <c r="E778" s="372">
        <v>1040000</v>
      </c>
      <c r="F778" s="402">
        <v>1040000</v>
      </c>
      <c r="G778" s="400">
        <f t="shared" si="12"/>
        <v>100</v>
      </c>
    </row>
    <row r="779" spans="1:7">
      <c r="A779" s="54" t="s">
        <v>1504</v>
      </c>
      <c r="B779" s="399" t="s">
        <v>1090</v>
      </c>
      <c r="C779" s="399" t="s">
        <v>1505</v>
      </c>
      <c r="D779" s="399" t="s">
        <v>1468</v>
      </c>
      <c r="E779" s="372">
        <v>1040000</v>
      </c>
      <c r="F779" s="402">
        <v>1040000</v>
      </c>
      <c r="G779" s="400">
        <f t="shared" si="12"/>
        <v>100</v>
      </c>
    </row>
    <row r="780" spans="1:7">
      <c r="A780" s="54" t="s">
        <v>293</v>
      </c>
      <c r="B780" s="399" t="s">
        <v>1090</v>
      </c>
      <c r="C780" s="399" t="s">
        <v>1505</v>
      </c>
      <c r="D780" s="399" t="s">
        <v>1370</v>
      </c>
      <c r="E780" s="372">
        <v>1040000</v>
      </c>
      <c r="F780" s="402">
        <v>1040000</v>
      </c>
      <c r="G780" s="400">
        <f t="shared" si="12"/>
        <v>100</v>
      </c>
    </row>
    <row r="781" spans="1:7">
      <c r="A781" s="54" t="s">
        <v>250</v>
      </c>
      <c r="B781" s="399" t="s">
        <v>1090</v>
      </c>
      <c r="C781" s="399" t="s">
        <v>1505</v>
      </c>
      <c r="D781" s="399" t="s">
        <v>480</v>
      </c>
      <c r="E781" s="372">
        <v>1040000</v>
      </c>
      <c r="F781" s="402">
        <v>1040000</v>
      </c>
      <c r="G781" s="400">
        <f t="shared" si="12"/>
        <v>100</v>
      </c>
    </row>
    <row r="782" spans="1:7" ht="63.75">
      <c r="A782" s="54" t="s">
        <v>1016</v>
      </c>
      <c r="B782" s="399" t="s">
        <v>1015</v>
      </c>
      <c r="C782" s="399" t="s">
        <v>1468</v>
      </c>
      <c r="D782" s="399" t="s">
        <v>1468</v>
      </c>
      <c r="E782" s="372">
        <v>296506.53000000003</v>
      </c>
      <c r="F782" s="402">
        <v>296506.53000000003</v>
      </c>
      <c r="G782" s="400">
        <f t="shared" si="12"/>
        <v>100</v>
      </c>
    </row>
    <row r="783" spans="1:7" ht="25.5">
      <c r="A783" s="54" t="s">
        <v>1763</v>
      </c>
      <c r="B783" s="399" t="s">
        <v>1015</v>
      </c>
      <c r="C783" s="399" t="s">
        <v>1764</v>
      </c>
      <c r="D783" s="399" t="s">
        <v>1468</v>
      </c>
      <c r="E783" s="372">
        <v>296506.53000000003</v>
      </c>
      <c r="F783" s="402">
        <v>296506.53000000003</v>
      </c>
      <c r="G783" s="400">
        <f t="shared" si="12"/>
        <v>100</v>
      </c>
    </row>
    <row r="784" spans="1:7">
      <c r="A784" s="54" t="s">
        <v>1504</v>
      </c>
      <c r="B784" s="399" t="s">
        <v>1015</v>
      </c>
      <c r="C784" s="399" t="s">
        <v>1505</v>
      </c>
      <c r="D784" s="399" t="s">
        <v>1468</v>
      </c>
      <c r="E784" s="372">
        <v>296506.53000000003</v>
      </c>
      <c r="F784" s="402">
        <v>296506.53000000003</v>
      </c>
      <c r="G784" s="400">
        <f t="shared" si="12"/>
        <v>100</v>
      </c>
    </row>
    <row r="785" spans="1:7">
      <c r="A785" s="54" t="s">
        <v>293</v>
      </c>
      <c r="B785" s="399" t="s">
        <v>1015</v>
      </c>
      <c r="C785" s="399" t="s">
        <v>1505</v>
      </c>
      <c r="D785" s="399" t="s">
        <v>1370</v>
      </c>
      <c r="E785" s="372">
        <v>296506.53000000003</v>
      </c>
      <c r="F785" s="402">
        <v>296506.53000000003</v>
      </c>
      <c r="G785" s="400">
        <f t="shared" si="12"/>
        <v>100</v>
      </c>
    </row>
    <row r="786" spans="1:7">
      <c r="A786" s="54" t="s">
        <v>250</v>
      </c>
      <c r="B786" s="399" t="s">
        <v>1015</v>
      </c>
      <c r="C786" s="399" t="s">
        <v>1505</v>
      </c>
      <c r="D786" s="399" t="s">
        <v>480</v>
      </c>
      <c r="E786" s="372">
        <v>296506.53000000003</v>
      </c>
      <c r="F786" s="402">
        <v>296506.53000000003</v>
      </c>
      <c r="G786" s="400">
        <f t="shared" si="12"/>
        <v>100</v>
      </c>
    </row>
    <row r="787" spans="1:7" ht="51">
      <c r="A787" s="54" t="s">
        <v>1832</v>
      </c>
      <c r="B787" s="399" t="s">
        <v>1833</v>
      </c>
      <c r="C787" s="399" t="s">
        <v>1468</v>
      </c>
      <c r="D787" s="399" t="s">
        <v>1468</v>
      </c>
      <c r="E787" s="372">
        <v>863244</v>
      </c>
      <c r="F787" s="400">
        <v>842444.05</v>
      </c>
      <c r="G787" s="400">
        <f t="shared" si="12"/>
        <v>97.59049005843076</v>
      </c>
    </row>
    <row r="788" spans="1:7" ht="25.5">
      <c r="A788" s="54" t="s">
        <v>1763</v>
      </c>
      <c r="B788" s="399" t="s">
        <v>1833</v>
      </c>
      <c r="C788" s="399" t="s">
        <v>1764</v>
      </c>
      <c r="D788" s="399" t="s">
        <v>1468</v>
      </c>
      <c r="E788" s="372">
        <v>863244</v>
      </c>
      <c r="F788" s="400">
        <v>842444.05</v>
      </c>
      <c r="G788" s="400">
        <f t="shared" si="12"/>
        <v>97.59049005843076</v>
      </c>
    </row>
    <row r="789" spans="1:7">
      <c r="A789" s="54" t="s">
        <v>1504</v>
      </c>
      <c r="B789" s="399" t="s">
        <v>1833</v>
      </c>
      <c r="C789" s="399" t="s">
        <v>1505</v>
      </c>
      <c r="D789" s="399" t="s">
        <v>1468</v>
      </c>
      <c r="E789" s="372">
        <v>863244</v>
      </c>
      <c r="F789" s="400">
        <v>842444.05</v>
      </c>
      <c r="G789" s="400">
        <f t="shared" si="12"/>
        <v>97.59049005843076</v>
      </c>
    </row>
    <row r="790" spans="1:7">
      <c r="A790" s="54" t="s">
        <v>293</v>
      </c>
      <c r="B790" s="399" t="s">
        <v>1833</v>
      </c>
      <c r="C790" s="399" t="s">
        <v>1505</v>
      </c>
      <c r="D790" s="399" t="s">
        <v>1370</v>
      </c>
      <c r="E790" s="372">
        <v>863244</v>
      </c>
      <c r="F790" s="400">
        <v>842444.05</v>
      </c>
      <c r="G790" s="400">
        <f t="shared" si="12"/>
        <v>97.59049005843076</v>
      </c>
    </row>
    <row r="791" spans="1:7">
      <c r="A791" s="54" t="s">
        <v>250</v>
      </c>
      <c r="B791" s="399" t="s">
        <v>1833</v>
      </c>
      <c r="C791" s="399" t="s">
        <v>1505</v>
      </c>
      <c r="D791" s="399" t="s">
        <v>480</v>
      </c>
      <c r="E791" s="372">
        <v>863244</v>
      </c>
      <c r="F791" s="400">
        <v>842444.05</v>
      </c>
      <c r="G791" s="400">
        <f t="shared" si="12"/>
        <v>97.59049005843076</v>
      </c>
    </row>
    <row r="792" spans="1:7" ht="51">
      <c r="A792" s="54" t="s">
        <v>489</v>
      </c>
      <c r="B792" s="399" t="s">
        <v>845</v>
      </c>
      <c r="C792" s="399" t="s">
        <v>1468</v>
      </c>
      <c r="D792" s="399" t="s">
        <v>1468</v>
      </c>
      <c r="E792" s="372">
        <v>230000</v>
      </c>
      <c r="F792" s="400">
        <v>228786.16</v>
      </c>
      <c r="G792" s="400">
        <f t="shared" si="12"/>
        <v>99.472243478260864</v>
      </c>
    </row>
    <row r="793" spans="1:7" ht="25.5">
      <c r="A793" s="54" t="s">
        <v>1763</v>
      </c>
      <c r="B793" s="399" t="s">
        <v>845</v>
      </c>
      <c r="C793" s="399" t="s">
        <v>1764</v>
      </c>
      <c r="D793" s="399" t="s">
        <v>1468</v>
      </c>
      <c r="E793" s="372">
        <v>230000</v>
      </c>
      <c r="F793" s="400">
        <v>228786.16</v>
      </c>
      <c r="G793" s="400">
        <f t="shared" si="12"/>
        <v>99.472243478260864</v>
      </c>
    </row>
    <row r="794" spans="1:7">
      <c r="A794" s="54" t="s">
        <v>1504</v>
      </c>
      <c r="B794" s="399" t="s">
        <v>845</v>
      </c>
      <c r="C794" s="399" t="s">
        <v>1505</v>
      </c>
      <c r="D794" s="399" t="s">
        <v>1468</v>
      </c>
      <c r="E794" s="372">
        <v>230000</v>
      </c>
      <c r="F794" s="400">
        <v>228786.16</v>
      </c>
      <c r="G794" s="400">
        <f t="shared" si="12"/>
        <v>99.472243478260864</v>
      </c>
    </row>
    <row r="795" spans="1:7">
      <c r="A795" s="54" t="s">
        <v>293</v>
      </c>
      <c r="B795" s="399" t="s">
        <v>845</v>
      </c>
      <c r="C795" s="399" t="s">
        <v>1505</v>
      </c>
      <c r="D795" s="399" t="s">
        <v>1370</v>
      </c>
      <c r="E795" s="372">
        <v>230000</v>
      </c>
      <c r="F795" s="400">
        <v>228786.16</v>
      </c>
      <c r="G795" s="400">
        <f t="shared" si="12"/>
        <v>99.472243478260864</v>
      </c>
    </row>
    <row r="796" spans="1:7">
      <c r="A796" s="54" t="s">
        <v>250</v>
      </c>
      <c r="B796" s="399" t="s">
        <v>845</v>
      </c>
      <c r="C796" s="399" t="s">
        <v>1505</v>
      </c>
      <c r="D796" s="399" t="s">
        <v>480</v>
      </c>
      <c r="E796" s="372">
        <v>230000</v>
      </c>
      <c r="F796" s="400">
        <v>228786.16</v>
      </c>
      <c r="G796" s="400">
        <f t="shared" si="12"/>
        <v>99.472243478260864</v>
      </c>
    </row>
    <row r="797" spans="1:7" ht="51">
      <c r="A797" s="54" t="s">
        <v>490</v>
      </c>
      <c r="B797" s="399" t="s">
        <v>846</v>
      </c>
      <c r="C797" s="399" t="s">
        <v>1468</v>
      </c>
      <c r="D797" s="399" t="s">
        <v>1468</v>
      </c>
      <c r="E797" s="372">
        <v>100000</v>
      </c>
      <c r="F797" s="402">
        <v>100000</v>
      </c>
      <c r="G797" s="400">
        <f t="shared" si="12"/>
        <v>100</v>
      </c>
    </row>
    <row r="798" spans="1:7" ht="25.5">
      <c r="A798" s="54" t="s">
        <v>1763</v>
      </c>
      <c r="B798" s="399" t="s">
        <v>846</v>
      </c>
      <c r="C798" s="399" t="s">
        <v>1764</v>
      </c>
      <c r="D798" s="399" t="s">
        <v>1468</v>
      </c>
      <c r="E798" s="372">
        <v>100000</v>
      </c>
      <c r="F798" s="402">
        <v>100000</v>
      </c>
      <c r="G798" s="400">
        <f t="shared" si="12"/>
        <v>100</v>
      </c>
    </row>
    <row r="799" spans="1:7">
      <c r="A799" s="54" t="s">
        <v>1504</v>
      </c>
      <c r="B799" s="399" t="s">
        <v>846</v>
      </c>
      <c r="C799" s="399" t="s">
        <v>1505</v>
      </c>
      <c r="D799" s="399" t="s">
        <v>1468</v>
      </c>
      <c r="E799" s="372">
        <v>100000</v>
      </c>
      <c r="F799" s="402">
        <v>100000</v>
      </c>
      <c r="G799" s="400">
        <f t="shared" si="12"/>
        <v>100</v>
      </c>
    </row>
    <row r="800" spans="1:7">
      <c r="A800" s="54" t="s">
        <v>293</v>
      </c>
      <c r="B800" s="399" t="s">
        <v>846</v>
      </c>
      <c r="C800" s="399" t="s">
        <v>1505</v>
      </c>
      <c r="D800" s="399" t="s">
        <v>1370</v>
      </c>
      <c r="E800" s="372">
        <v>100000</v>
      </c>
      <c r="F800" s="402">
        <v>100000</v>
      </c>
      <c r="G800" s="400">
        <f t="shared" si="12"/>
        <v>100</v>
      </c>
    </row>
    <row r="801" spans="1:7">
      <c r="A801" s="54" t="s">
        <v>250</v>
      </c>
      <c r="B801" s="399" t="s">
        <v>846</v>
      </c>
      <c r="C801" s="399" t="s">
        <v>1505</v>
      </c>
      <c r="D801" s="399" t="s">
        <v>480</v>
      </c>
      <c r="E801" s="372">
        <v>100000</v>
      </c>
      <c r="F801" s="402">
        <v>100000</v>
      </c>
      <c r="G801" s="400">
        <f t="shared" si="12"/>
        <v>100</v>
      </c>
    </row>
    <row r="802" spans="1:7" ht="76.5">
      <c r="A802" s="54" t="s">
        <v>1880</v>
      </c>
      <c r="B802" s="399" t="s">
        <v>1881</v>
      </c>
      <c r="C802" s="399" t="s">
        <v>1468</v>
      </c>
      <c r="D802" s="399" t="s">
        <v>1468</v>
      </c>
      <c r="E802" s="372">
        <v>78500</v>
      </c>
      <c r="F802" s="402">
        <v>78500</v>
      </c>
      <c r="G802" s="400">
        <f t="shared" si="12"/>
        <v>100</v>
      </c>
    </row>
    <row r="803" spans="1:7" ht="25.5">
      <c r="A803" s="54" t="s">
        <v>1763</v>
      </c>
      <c r="B803" s="399" t="s">
        <v>1881</v>
      </c>
      <c r="C803" s="399" t="s">
        <v>1764</v>
      </c>
      <c r="D803" s="399" t="s">
        <v>1468</v>
      </c>
      <c r="E803" s="372">
        <v>78500</v>
      </c>
      <c r="F803" s="402">
        <v>78500</v>
      </c>
      <c r="G803" s="400">
        <f t="shared" si="12"/>
        <v>100</v>
      </c>
    </row>
    <row r="804" spans="1:7">
      <c r="A804" s="54" t="s">
        <v>1504</v>
      </c>
      <c r="B804" s="399" t="s">
        <v>1881</v>
      </c>
      <c r="C804" s="399" t="s">
        <v>1505</v>
      </c>
      <c r="D804" s="399" t="s">
        <v>1468</v>
      </c>
      <c r="E804" s="372">
        <v>78500</v>
      </c>
      <c r="F804" s="402">
        <v>78500</v>
      </c>
      <c r="G804" s="400">
        <f t="shared" si="12"/>
        <v>100</v>
      </c>
    </row>
    <row r="805" spans="1:7">
      <c r="A805" s="54" t="s">
        <v>293</v>
      </c>
      <c r="B805" s="399" t="s">
        <v>1881</v>
      </c>
      <c r="C805" s="399" t="s">
        <v>1505</v>
      </c>
      <c r="D805" s="399" t="s">
        <v>1370</v>
      </c>
      <c r="E805" s="372">
        <v>78500</v>
      </c>
      <c r="F805" s="402">
        <v>78500</v>
      </c>
      <c r="G805" s="400">
        <f t="shared" si="12"/>
        <v>100</v>
      </c>
    </row>
    <row r="806" spans="1:7">
      <c r="A806" s="54" t="s">
        <v>250</v>
      </c>
      <c r="B806" s="399" t="s">
        <v>1881</v>
      </c>
      <c r="C806" s="399" t="s">
        <v>1505</v>
      </c>
      <c r="D806" s="399" t="s">
        <v>480</v>
      </c>
      <c r="E806" s="372">
        <v>78500</v>
      </c>
      <c r="F806" s="402">
        <v>78500</v>
      </c>
      <c r="G806" s="400">
        <f t="shared" si="12"/>
        <v>100</v>
      </c>
    </row>
    <row r="807" spans="1:7" ht="51">
      <c r="A807" s="54" t="s">
        <v>1926</v>
      </c>
      <c r="B807" s="399" t="s">
        <v>1927</v>
      </c>
      <c r="C807" s="399" t="s">
        <v>1468</v>
      </c>
      <c r="D807" s="399" t="s">
        <v>1468</v>
      </c>
      <c r="E807" s="372">
        <v>81793.47</v>
      </c>
      <c r="F807" s="402">
        <v>81793.47</v>
      </c>
      <c r="G807" s="400">
        <f t="shared" si="12"/>
        <v>100</v>
      </c>
    </row>
    <row r="808" spans="1:7" ht="25.5">
      <c r="A808" s="54" t="s">
        <v>1763</v>
      </c>
      <c r="B808" s="399" t="s">
        <v>1927</v>
      </c>
      <c r="C808" s="399" t="s">
        <v>1764</v>
      </c>
      <c r="D808" s="399" t="s">
        <v>1468</v>
      </c>
      <c r="E808" s="372">
        <v>81793.47</v>
      </c>
      <c r="F808" s="402">
        <v>81793.47</v>
      </c>
      <c r="G808" s="400">
        <f t="shared" si="12"/>
        <v>100</v>
      </c>
    </row>
    <row r="809" spans="1:7">
      <c r="A809" s="54" t="s">
        <v>1504</v>
      </c>
      <c r="B809" s="399" t="s">
        <v>1927</v>
      </c>
      <c r="C809" s="399" t="s">
        <v>1505</v>
      </c>
      <c r="D809" s="399" t="s">
        <v>1468</v>
      </c>
      <c r="E809" s="372">
        <v>81793.47</v>
      </c>
      <c r="F809" s="402">
        <v>81793.47</v>
      </c>
      <c r="G809" s="400">
        <f t="shared" si="12"/>
        <v>100</v>
      </c>
    </row>
    <row r="810" spans="1:7">
      <c r="A810" s="54" t="s">
        <v>293</v>
      </c>
      <c r="B810" s="399" t="s">
        <v>1927</v>
      </c>
      <c r="C810" s="399" t="s">
        <v>1505</v>
      </c>
      <c r="D810" s="399" t="s">
        <v>1370</v>
      </c>
      <c r="E810" s="372">
        <v>81793.47</v>
      </c>
      <c r="F810" s="402">
        <v>81793.47</v>
      </c>
      <c r="G810" s="400">
        <f t="shared" si="12"/>
        <v>100</v>
      </c>
    </row>
    <row r="811" spans="1:7">
      <c r="A811" s="54" t="s">
        <v>250</v>
      </c>
      <c r="B811" s="399" t="s">
        <v>1927</v>
      </c>
      <c r="C811" s="399" t="s">
        <v>1505</v>
      </c>
      <c r="D811" s="399" t="s">
        <v>480</v>
      </c>
      <c r="E811" s="372">
        <v>81793.47</v>
      </c>
      <c r="F811" s="402">
        <v>81793.47</v>
      </c>
      <c r="G811" s="400">
        <f t="shared" si="12"/>
        <v>100</v>
      </c>
    </row>
    <row r="812" spans="1:7" ht="63.75">
      <c r="A812" s="54" t="s">
        <v>608</v>
      </c>
      <c r="B812" s="399" t="s">
        <v>840</v>
      </c>
      <c r="C812" s="399" t="s">
        <v>1468</v>
      </c>
      <c r="D812" s="399" t="s">
        <v>1468</v>
      </c>
      <c r="E812" s="372">
        <v>74200</v>
      </c>
      <c r="F812" s="402">
        <v>74200</v>
      </c>
      <c r="G812" s="400">
        <f t="shared" si="12"/>
        <v>100</v>
      </c>
    </row>
    <row r="813" spans="1:7" ht="25.5">
      <c r="A813" s="54" t="s">
        <v>1763</v>
      </c>
      <c r="B813" s="399" t="s">
        <v>840</v>
      </c>
      <c r="C813" s="399" t="s">
        <v>1764</v>
      </c>
      <c r="D813" s="399" t="s">
        <v>1468</v>
      </c>
      <c r="E813" s="372">
        <v>74200</v>
      </c>
      <c r="F813" s="402">
        <v>74200</v>
      </c>
      <c r="G813" s="400">
        <f t="shared" si="12"/>
        <v>100</v>
      </c>
    </row>
    <row r="814" spans="1:7">
      <c r="A814" s="54" t="s">
        <v>1504</v>
      </c>
      <c r="B814" s="399" t="s">
        <v>840</v>
      </c>
      <c r="C814" s="399" t="s">
        <v>1505</v>
      </c>
      <c r="D814" s="399" t="s">
        <v>1468</v>
      </c>
      <c r="E814" s="372">
        <v>74200</v>
      </c>
      <c r="F814" s="402">
        <v>74200</v>
      </c>
      <c r="G814" s="400">
        <f t="shared" si="12"/>
        <v>100</v>
      </c>
    </row>
    <row r="815" spans="1:7">
      <c r="A815" s="54" t="s">
        <v>293</v>
      </c>
      <c r="B815" s="399" t="s">
        <v>840</v>
      </c>
      <c r="C815" s="399" t="s">
        <v>1505</v>
      </c>
      <c r="D815" s="399" t="s">
        <v>1370</v>
      </c>
      <c r="E815" s="372">
        <v>74200</v>
      </c>
      <c r="F815" s="402">
        <v>74200</v>
      </c>
      <c r="G815" s="400">
        <f t="shared" si="12"/>
        <v>100</v>
      </c>
    </row>
    <row r="816" spans="1:7">
      <c r="A816" s="54" t="s">
        <v>250</v>
      </c>
      <c r="B816" s="399" t="s">
        <v>840</v>
      </c>
      <c r="C816" s="399" t="s">
        <v>1505</v>
      </c>
      <c r="D816" s="399" t="s">
        <v>480</v>
      </c>
      <c r="E816" s="372">
        <v>74200</v>
      </c>
      <c r="F816" s="402">
        <v>74200</v>
      </c>
      <c r="G816" s="400">
        <f t="shared" si="12"/>
        <v>100</v>
      </c>
    </row>
    <row r="817" spans="1:7" ht="51">
      <c r="A817" s="54" t="s">
        <v>726</v>
      </c>
      <c r="B817" s="399" t="s">
        <v>847</v>
      </c>
      <c r="C817" s="399" t="s">
        <v>1468</v>
      </c>
      <c r="D817" s="399" t="s">
        <v>1468</v>
      </c>
      <c r="E817" s="372">
        <v>25360</v>
      </c>
      <c r="F817" s="402">
        <v>25360</v>
      </c>
      <c r="G817" s="400">
        <f t="shared" si="12"/>
        <v>100</v>
      </c>
    </row>
    <row r="818" spans="1:7" ht="25.5">
      <c r="A818" s="54" t="s">
        <v>1763</v>
      </c>
      <c r="B818" s="399" t="s">
        <v>847</v>
      </c>
      <c r="C818" s="399" t="s">
        <v>1764</v>
      </c>
      <c r="D818" s="399" t="s">
        <v>1468</v>
      </c>
      <c r="E818" s="372">
        <v>25360</v>
      </c>
      <c r="F818" s="402">
        <v>25360</v>
      </c>
      <c r="G818" s="400">
        <f t="shared" si="12"/>
        <v>100</v>
      </c>
    </row>
    <row r="819" spans="1:7">
      <c r="A819" s="54" t="s">
        <v>1504</v>
      </c>
      <c r="B819" s="399" t="s">
        <v>847</v>
      </c>
      <c r="C819" s="399" t="s">
        <v>1505</v>
      </c>
      <c r="D819" s="399" t="s">
        <v>1468</v>
      </c>
      <c r="E819" s="372">
        <v>25360</v>
      </c>
      <c r="F819" s="402">
        <v>25360</v>
      </c>
      <c r="G819" s="400">
        <f t="shared" si="12"/>
        <v>100</v>
      </c>
    </row>
    <row r="820" spans="1:7">
      <c r="A820" s="54" t="s">
        <v>293</v>
      </c>
      <c r="B820" s="399" t="s">
        <v>847</v>
      </c>
      <c r="C820" s="399" t="s">
        <v>1505</v>
      </c>
      <c r="D820" s="399" t="s">
        <v>1370</v>
      </c>
      <c r="E820" s="372">
        <v>25360</v>
      </c>
      <c r="F820" s="402">
        <v>25360</v>
      </c>
      <c r="G820" s="400">
        <f t="shared" si="12"/>
        <v>100</v>
      </c>
    </row>
    <row r="821" spans="1:7">
      <c r="A821" s="54" t="s">
        <v>250</v>
      </c>
      <c r="B821" s="399" t="s">
        <v>847</v>
      </c>
      <c r="C821" s="399" t="s">
        <v>1505</v>
      </c>
      <c r="D821" s="399" t="s">
        <v>480</v>
      </c>
      <c r="E821" s="372">
        <v>25360</v>
      </c>
      <c r="F821" s="402">
        <v>25360</v>
      </c>
      <c r="G821" s="400">
        <f t="shared" si="12"/>
        <v>100</v>
      </c>
    </row>
    <row r="822" spans="1:7">
      <c r="A822" s="54" t="s">
        <v>703</v>
      </c>
      <c r="B822" s="399" t="s">
        <v>1122</v>
      </c>
      <c r="C822" s="399" t="s">
        <v>1468</v>
      </c>
      <c r="D822" s="399" t="s">
        <v>1468</v>
      </c>
      <c r="E822" s="372">
        <v>96656903</v>
      </c>
      <c r="F822" s="400">
        <v>96654648.909999996</v>
      </c>
      <c r="G822" s="400">
        <f t="shared" si="12"/>
        <v>99.997667947213245</v>
      </c>
    </row>
    <row r="823" spans="1:7" ht="76.5">
      <c r="A823" s="54" t="s">
        <v>1852</v>
      </c>
      <c r="B823" s="399" t="s">
        <v>1853</v>
      </c>
      <c r="C823" s="399" t="s">
        <v>1468</v>
      </c>
      <c r="D823" s="399" t="s">
        <v>1468</v>
      </c>
      <c r="E823" s="372">
        <v>18324140</v>
      </c>
      <c r="F823" s="400">
        <v>18324140</v>
      </c>
      <c r="G823" s="400">
        <f t="shared" si="12"/>
        <v>100</v>
      </c>
    </row>
    <row r="824" spans="1:7" ht="25.5">
      <c r="A824" s="54" t="s">
        <v>1763</v>
      </c>
      <c r="B824" s="399" t="s">
        <v>1853</v>
      </c>
      <c r="C824" s="399" t="s">
        <v>1764</v>
      </c>
      <c r="D824" s="399" t="s">
        <v>1468</v>
      </c>
      <c r="E824" s="372">
        <v>18324140</v>
      </c>
      <c r="F824" s="400">
        <v>18324140</v>
      </c>
      <c r="G824" s="400">
        <f t="shared" si="12"/>
        <v>100</v>
      </c>
    </row>
    <row r="825" spans="1:7">
      <c r="A825" s="54" t="s">
        <v>1504</v>
      </c>
      <c r="B825" s="399" t="s">
        <v>1853</v>
      </c>
      <c r="C825" s="399" t="s">
        <v>1505</v>
      </c>
      <c r="D825" s="399" t="s">
        <v>1468</v>
      </c>
      <c r="E825" s="372">
        <v>18324140</v>
      </c>
      <c r="F825" s="400">
        <v>18324140</v>
      </c>
      <c r="G825" s="400">
        <f t="shared" si="12"/>
        <v>100</v>
      </c>
    </row>
    <row r="826" spans="1:7">
      <c r="A826" s="54" t="s">
        <v>293</v>
      </c>
      <c r="B826" s="399" t="s">
        <v>1853</v>
      </c>
      <c r="C826" s="399" t="s">
        <v>1505</v>
      </c>
      <c r="D826" s="399" t="s">
        <v>1370</v>
      </c>
      <c r="E826" s="372">
        <v>18324140</v>
      </c>
      <c r="F826" s="400">
        <v>18324140</v>
      </c>
      <c r="G826" s="400">
        <f t="shared" si="12"/>
        <v>100</v>
      </c>
    </row>
    <row r="827" spans="1:7">
      <c r="A827" s="54" t="s">
        <v>250</v>
      </c>
      <c r="B827" s="399" t="s">
        <v>1853</v>
      </c>
      <c r="C827" s="399" t="s">
        <v>1505</v>
      </c>
      <c r="D827" s="399" t="s">
        <v>480</v>
      </c>
      <c r="E827" s="372">
        <v>18324140</v>
      </c>
      <c r="F827" s="400">
        <v>18324140</v>
      </c>
      <c r="G827" s="400">
        <f t="shared" si="12"/>
        <v>100</v>
      </c>
    </row>
    <row r="828" spans="1:7" ht="89.25">
      <c r="A828" s="54" t="s">
        <v>610</v>
      </c>
      <c r="B828" s="399" t="s">
        <v>848</v>
      </c>
      <c r="C828" s="399" t="s">
        <v>1468</v>
      </c>
      <c r="D828" s="399" t="s">
        <v>1468</v>
      </c>
      <c r="E828" s="372">
        <v>47364675.140000001</v>
      </c>
      <c r="F828" s="402">
        <v>47364675.140000001</v>
      </c>
      <c r="G828" s="400">
        <f t="shared" si="12"/>
        <v>100</v>
      </c>
    </row>
    <row r="829" spans="1:7" ht="25.5">
      <c r="A829" s="54" t="s">
        <v>1763</v>
      </c>
      <c r="B829" s="399" t="s">
        <v>848</v>
      </c>
      <c r="C829" s="399" t="s">
        <v>1764</v>
      </c>
      <c r="D829" s="399" t="s">
        <v>1468</v>
      </c>
      <c r="E829" s="372">
        <v>47364675.140000001</v>
      </c>
      <c r="F829" s="402">
        <v>47364675.140000001</v>
      </c>
      <c r="G829" s="400">
        <f t="shared" si="12"/>
        <v>100</v>
      </c>
    </row>
    <row r="830" spans="1:7">
      <c r="A830" s="54" t="s">
        <v>1504</v>
      </c>
      <c r="B830" s="399" t="s">
        <v>848</v>
      </c>
      <c r="C830" s="399" t="s">
        <v>1505</v>
      </c>
      <c r="D830" s="399" t="s">
        <v>1468</v>
      </c>
      <c r="E830" s="372">
        <v>47364675.140000001</v>
      </c>
      <c r="F830" s="402">
        <v>47364675.140000001</v>
      </c>
      <c r="G830" s="400">
        <f t="shared" si="12"/>
        <v>100</v>
      </c>
    </row>
    <row r="831" spans="1:7">
      <c r="A831" s="54" t="s">
        <v>293</v>
      </c>
      <c r="B831" s="399" t="s">
        <v>848</v>
      </c>
      <c r="C831" s="399" t="s">
        <v>1505</v>
      </c>
      <c r="D831" s="399" t="s">
        <v>1370</v>
      </c>
      <c r="E831" s="372">
        <v>47364675.140000001</v>
      </c>
      <c r="F831" s="402">
        <v>47364675.140000001</v>
      </c>
      <c r="G831" s="400">
        <f t="shared" si="12"/>
        <v>100</v>
      </c>
    </row>
    <row r="832" spans="1:7">
      <c r="A832" s="54" t="s">
        <v>250</v>
      </c>
      <c r="B832" s="399" t="s">
        <v>848</v>
      </c>
      <c r="C832" s="399" t="s">
        <v>1505</v>
      </c>
      <c r="D832" s="399" t="s">
        <v>480</v>
      </c>
      <c r="E832" s="372">
        <v>47364675.140000001</v>
      </c>
      <c r="F832" s="402">
        <v>47364675.140000001</v>
      </c>
      <c r="G832" s="400">
        <f t="shared" si="12"/>
        <v>100</v>
      </c>
    </row>
    <row r="833" spans="1:7" ht="114.75">
      <c r="A833" s="54" t="s">
        <v>611</v>
      </c>
      <c r="B833" s="399" t="s">
        <v>849</v>
      </c>
      <c r="C833" s="399" t="s">
        <v>1468</v>
      </c>
      <c r="D833" s="399" t="s">
        <v>1468</v>
      </c>
      <c r="E833" s="372">
        <v>2787200</v>
      </c>
      <c r="F833" s="402">
        <v>2787200</v>
      </c>
      <c r="G833" s="400">
        <f t="shared" si="12"/>
        <v>100</v>
      </c>
    </row>
    <row r="834" spans="1:7" ht="25.5">
      <c r="A834" s="54" t="s">
        <v>1763</v>
      </c>
      <c r="B834" s="399" t="s">
        <v>849</v>
      </c>
      <c r="C834" s="399" t="s">
        <v>1764</v>
      </c>
      <c r="D834" s="399" t="s">
        <v>1468</v>
      </c>
      <c r="E834" s="372">
        <v>2787200</v>
      </c>
      <c r="F834" s="402">
        <v>2787200</v>
      </c>
      <c r="G834" s="400">
        <f t="shared" si="12"/>
        <v>100</v>
      </c>
    </row>
    <row r="835" spans="1:7">
      <c r="A835" s="54" t="s">
        <v>1504</v>
      </c>
      <c r="B835" s="399" t="s">
        <v>849</v>
      </c>
      <c r="C835" s="399" t="s">
        <v>1505</v>
      </c>
      <c r="D835" s="399" t="s">
        <v>1468</v>
      </c>
      <c r="E835" s="372">
        <v>2787200</v>
      </c>
      <c r="F835" s="402">
        <v>2787200</v>
      </c>
      <c r="G835" s="400">
        <f t="shared" si="12"/>
        <v>100</v>
      </c>
    </row>
    <row r="836" spans="1:7">
      <c r="A836" s="54" t="s">
        <v>293</v>
      </c>
      <c r="B836" s="399" t="s">
        <v>849</v>
      </c>
      <c r="C836" s="399" t="s">
        <v>1505</v>
      </c>
      <c r="D836" s="399" t="s">
        <v>1370</v>
      </c>
      <c r="E836" s="372">
        <v>2787200</v>
      </c>
      <c r="F836" s="402">
        <v>2787200</v>
      </c>
      <c r="G836" s="400">
        <f t="shared" si="12"/>
        <v>100</v>
      </c>
    </row>
    <row r="837" spans="1:7">
      <c r="A837" s="54" t="s">
        <v>250</v>
      </c>
      <c r="B837" s="399" t="s">
        <v>849</v>
      </c>
      <c r="C837" s="399" t="s">
        <v>1505</v>
      </c>
      <c r="D837" s="399" t="s">
        <v>480</v>
      </c>
      <c r="E837" s="372">
        <v>2787200</v>
      </c>
      <c r="F837" s="402">
        <v>2787200</v>
      </c>
      <c r="G837" s="400">
        <f t="shared" si="12"/>
        <v>100</v>
      </c>
    </row>
    <row r="838" spans="1:7" ht="102">
      <c r="A838" s="54" t="s">
        <v>612</v>
      </c>
      <c r="B838" s="399" t="s">
        <v>850</v>
      </c>
      <c r="C838" s="399" t="s">
        <v>1468</v>
      </c>
      <c r="D838" s="399" t="s">
        <v>1468</v>
      </c>
      <c r="E838" s="372">
        <v>460000</v>
      </c>
      <c r="F838" s="402">
        <v>460000</v>
      </c>
      <c r="G838" s="400">
        <f t="shared" si="12"/>
        <v>100</v>
      </c>
    </row>
    <row r="839" spans="1:7" ht="25.5">
      <c r="A839" s="54" t="s">
        <v>1763</v>
      </c>
      <c r="B839" s="399" t="s">
        <v>850</v>
      </c>
      <c r="C839" s="399" t="s">
        <v>1764</v>
      </c>
      <c r="D839" s="399" t="s">
        <v>1468</v>
      </c>
      <c r="E839" s="372">
        <v>460000</v>
      </c>
      <c r="F839" s="402">
        <v>460000</v>
      </c>
      <c r="G839" s="400">
        <f t="shared" si="12"/>
        <v>100</v>
      </c>
    </row>
    <row r="840" spans="1:7">
      <c r="A840" s="54" t="s">
        <v>1504</v>
      </c>
      <c r="B840" s="399" t="s">
        <v>850</v>
      </c>
      <c r="C840" s="399" t="s">
        <v>1505</v>
      </c>
      <c r="D840" s="399" t="s">
        <v>1468</v>
      </c>
      <c r="E840" s="372">
        <v>460000</v>
      </c>
      <c r="F840" s="402">
        <v>460000</v>
      </c>
      <c r="G840" s="400">
        <f t="shared" si="12"/>
        <v>100</v>
      </c>
    </row>
    <row r="841" spans="1:7">
      <c r="A841" s="54" t="s">
        <v>293</v>
      </c>
      <c r="B841" s="399" t="s">
        <v>850</v>
      </c>
      <c r="C841" s="399" t="s">
        <v>1505</v>
      </c>
      <c r="D841" s="399" t="s">
        <v>1370</v>
      </c>
      <c r="E841" s="372">
        <v>460000</v>
      </c>
      <c r="F841" s="402">
        <v>460000</v>
      </c>
      <c r="G841" s="400">
        <f t="shared" ref="G841:G904" si="13">F841/E841*100</f>
        <v>100</v>
      </c>
    </row>
    <row r="842" spans="1:7">
      <c r="A842" s="54" t="s">
        <v>250</v>
      </c>
      <c r="B842" s="399" t="s">
        <v>850</v>
      </c>
      <c r="C842" s="399" t="s">
        <v>1505</v>
      </c>
      <c r="D842" s="399" t="s">
        <v>480</v>
      </c>
      <c r="E842" s="372">
        <v>460000</v>
      </c>
      <c r="F842" s="402">
        <v>460000</v>
      </c>
      <c r="G842" s="400">
        <f t="shared" si="13"/>
        <v>100</v>
      </c>
    </row>
    <row r="843" spans="1:7" ht="89.25">
      <c r="A843" s="54" t="s">
        <v>613</v>
      </c>
      <c r="B843" s="399" t="s">
        <v>851</v>
      </c>
      <c r="C843" s="399" t="s">
        <v>1468</v>
      </c>
      <c r="D843" s="399" t="s">
        <v>1468</v>
      </c>
      <c r="E843" s="372">
        <v>649771</v>
      </c>
      <c r="F843" s="400">
        <v>647516.91</v>
      </c>
      <c r="G843" s="400">
        <f t="shared" si="13"/>
        <v>99.65309470567324</v>
      </c>
    </row>
    <row r="844" spans="1:7" ht="25.5">
      <c r="A844" s="54" t="s">
        <v>1763</v>
      </c>
      <c r="B844" s="399" t="s">
        <v>851</v>
      </c>
      <c r="C844" s="399" t="s">
        <v>1764</v>
      </c>
      <c r="D844" s="399" t="s">
        <v>1468</v>
      </c>
      <c r="E844" s="372">
        <v>649771</v>
      </c>
      <c r="F844" s="400">
        <v>647516.91</v>
      </c>
      <c r="G844" s="400">
        <f t="shared" si="13"/>
        <v>99.65309470567324</v>
      </c>
    </row>
    <row r="845" spans="1:7">
      <c r="A845" s="54" t="s">
        <v>1504</v>
      </c>
      <c r="B845" s="399" t="s">
        <v>851</v>
      </c>
      <c r="C845" s="399" t="s">
        <v>1505</v>
      </c>
      <c r="D845" s="399" t="s">
        <v>1468</v>
      </c>
      <c r="E845" s="372">
        <v>649771</v>
      </c>
      <c r="F845" s="400">
        <v>647516.91</v>
      </c>
      <c r="G845" s="400">
        <f t="shared" si="13"/>
        <v>99.65309470567324</v>
      </c>
    </row>
    <row r="846" spans="1:7">
      <c r="A846" s="54" t="s">
        <v>293</v>
      </c>
      <c r="B846" s="399" t="s">
        <v>851</v>
      </c>
      <c r="C846" s="399" t="s">
        <v>1505</v>
      </c>
      <c r="D846" s="399" t="s">
        <v>1370</v>
      </c>
      <c r="E846" s="372">
        <v>649771</v>
      </c>
      <c r="F846" s="400">
        <v>647516.91</v>
      </c>
      <c r="G846" s="400">
        <f t="shared" si="13"/>
        <v>99.65309470567324</v>
      </c>
    </row>
    <row r="847" spans="1:7">
      <c r="A847" s="54" t="s">
        <v>250</v>
      </c>
      <c r="B847" s="399" t="s">
        <v>851</v>
      </c>
      <c r="C847" s="399" t="s">
        <v>1505</v>
      </c>
      <c r="D847" s="399" t="s">
        <v>480</v>
      </c>
      <c r="E847" s="372">
        <v>649771</v>
      </c>
      <c r="F847" s="400">
        <v>647516.91</v>
      </c>
      <c r="G847" s="400">
        <f t="shared" si="13"/>
        <v>99.65309470567324</v>
      </c>
    </row>
    <row r="848" spans="1:7" ht="89.25">
      <c r="A848" s="54" t="s">
        <v>679</v>
      </c>
      <c r="B848" s="399" t="s">
        <v>852</v>
      </c>
      <c r="C848" s="399" t="s">
        <v>1468</v>
      </c>
      <c r="D848" s="399" t="s">
        <v>1468</v>
      </c>
      <c r="E848" s="372">
        <v>20374648.859999999</v>
      </c>
      <c r="F848" s="402">
        <v>20374648.859999999</v>
      </c>
      <c r="G848" s="400">
        <f t="shared" si="13"/>
        <v>100</v>
      </c>
    </row>
    <row r="849" spans="1:7" ht="25.5">
      <c r="A849" s="54" t="s">
        <v>1763</v>
      </c>
      <c r="B849" s="399" t="s">
        <v>852</v>
      </c>
      <c r="C849" s="399" t="s">
        <v>1764</v>
      </c>
      <c r="D849" s="399" t="s">
        <v>1468</v>
      </c>
      <c r="E849" s="372">
        <v>20374648.859999999</v>
      </c>
      <c r="F849" s="402">
        <v>20374648.859999999</v>
      </c>
      <c r="G849" s="400">
        <f t="shared" si="13"/>
        <v>100</v>
      </c>
    </row>
    <row r="850" spans="1:7">
      <c r="A850" s="54" t="s">
        <v>1504</v>
      </c>
      <c r="B850" s="399" t="s">
        <v>852</v>
      </c>
      <c r="C850" s="399" t="s">
        <v>1505</v>
      </c>
      <c r="D850" s="399" t="s">
        <v>1468</v>
      </c>
      <c r="E850" s="372">
        <v>20374648.859999999</v>
      </c>
      <c r="F850" s="402">
        <v>20374648.859999999</v>
      </c>
      <c r="G850" s="400">
        <f t="shared" si="13"/>
        <v>100</v>
      </c>
    </row>
    <row r="851" spans="1:7">
      <c r="A851" s="54" t="s">
        <v>293</v>
      </c>
      <c r="B851" s="399" t="s">
        <v>852</v>
      </c>
      <c r="C851" s="399" t="s">
        <v>1505</v>
      </c>
      <c r="D851" s="399" t="s">
        <v>1370</v>
      </c>
      <c r="E851" s="372">
        <v>20374648.859999999</v>
      </c>
      <c r="F851" s="402">
        <v>20374648.859999999</v>
      </c>
      <c r="G851" s="400">
        <f t="shared" si="13"/>
        <v>100</v>
      </c>
    </row>
    <row r="852" spans="1:7">
      <c r="A852" s="54" t="s">
        <v>250</v>
      </c>
      <c r="B852" s="399" t="s">
        <v>852</v>
      </c>
      <c r="C852" s="399" t="s">
        <v>1505</v>
      </c>
      <c r="D852" s="399" t="s">
        <v>480</v>
      </c>
      <c r="E852" s="372">
        <v>20374648.859999999</v>
      </c>
      <c r="F852" s="402">
        <v>20374648.859999999</v>
      </c>
      <c r="G852" s="400">
        <f t="shared" si="13"/>
        <v>100</v>
      </c>
    </row>
    <row r="853" spans="1:7" ht="76.5">
      <c r="A853" s="54" t="s">
        <v>1091</v>
      </c>
      <c r="B853" s="399" t="s">
        <v>1092</v>
      </c>
      <c r="C853" s="399" t="s">
        <v>1468</v>
      </c>
      <c r="D853" s="399" t="s">
        <v>1468</v>
      </c>
      <c r="E853" s="372">
        <v>3200000</v>
      </c>
      <c r="F853" s="402">
        <v>3200000</v>
      </c>
      <c r="G853" s="400">
        <f t="shared" si="13"/>
        <v>100</v>
      </c>
    </row>
    <row r="854" spans="1:7" ht="25.5">
      <c r="A854" s="54" t="s">
        <v>1763</v>
      </c>
      <c r="B854" s="399" t="s">
        <v>1092</v>
      </c>
      <c r="C854" s="399" t="s">
        <v>1764</v>
      </c>
      <c r="D854" s="399" t="s">
        <v>1468</v>
      </c>
      <c r="E854" s="372">
        <v>3200000</v>
      </c>
      <c r="F854" s="402">
        <v>3200000</v>
      </c>
      <c r="G854" s="400">
        <f t="shared" si="13"/>
        <v>100</v>
      </c>
    </row>
    <row r="855" spans="1:7">
      <c r="A855" s="54" t="s">
        <v>1504</v>
      </c>
      <c r="B855" s="399" t="s">
        <v>1092</v>
      </c>
      <c r="C855" s="399" t="s">
        <v>1505</v>
      </c>
      <c r="D855" s="399" t="s">
        <v>1468</v>
      </c>
      <c r="E855" s="372">
        <v>3200000</v>
      </c>
      <c r="F855" s="402">
        <v>3200000</v>
      </c>
      <c r="G855" s="400">
        <f t="shared" si="13"/>
        <v>100</v>
      </c>
    </row>
    <row r="856" spans="1:7">
      <c r="A856" s="54" t="s">
        <v>293</v>
      </c>
      <c r="B856" s="399" t="s">
        <v>1092</v>
      </c>
      <c r="C856" s="399" t="s">
        <v>1505</v>
      </c>
      <c r="D856" s="399" t="s">
        <v>1370</v>
      </c>
      <c r="E856" s="372">
        <v>3200000</v>
      </c>
      <c r="F856" s="402">
        <v>3200000</v>
      </c>
      <c r="G856" s="400">
        <f t="shared" si="13"/>
        <v>100</v>
      </c>
    </row>
    <row r="857" spans="1:7">
      <c r="A857" s="54" t="s">
        <v>250</v>
      </c>
      <c r="B857" s="399" t="s">
        <v>1092</v>
      </c>
      <c r="C857" s="399" t="s">
        <v>1505</v>
      </c>
      <c r="D857" s="399" t="s">
        <v>480</v>
      </c>
      <c r="E857" s="372">
        <v>3200000</v>
      </c>
      <c r="F857" s="402">
        <v>3200000</v>
      </c>
      <c r="G857" s="400">
        <f t="shared" si="13"/>
        <v>100</v>
      </c>
    </row>
    <row r="858" spans="1:7" ht="51">
      <c r="A858" s="54" t="s">
        <v>602</v>
      </c>
      <c r="B858" s="399" t="s">
        <v>830</v>
      </c>
      <c r="C858" s="399" t="s">
        <v>1468</v>
      </c>
      <c r="D858" s="399" t="s">
        <v>1468</v>
      </c>
      <c r="E858" s="372">
        <v>3496468</v>
      </c>
      <c r="F858" s="402">
        <v>3496468</v>
      </c>
      <c r="G858" s="400">
        <f t="shared" si="13"/>
        <v>100</v>
      </c>
    </row>
    <row r="859" spans="1:7" ht="25.5">
      <c r="A859" s="54" t="s">
        <v>1763</v>
      </c>
      <c r="B859" s="399" t="s">
        <v>830</v>
      </c>
      <c r="C859" s="399" t="s">
        <v>1764</v>
      </c>
      <c r="D859" s="399" t="s">
        <v>1468</v>
      </c>
      <c r="E859" s="372">
        <v>3496468</v>
      </c>
      <c r="F859" s="402">
        <v>3496468</v>
      </c>
      <c r="G859" s="400">
        <f t="shared" si="13"/>
        <v>100</v>
      </c>
    </row>
    <row r="860" spans="1:7">
      <c r="A860" s="54" t="s">
        <v>1504</v>
      </c>
      <c r="B860" s="399" t="s">
        <v>830</v>
      </c>
      <c r="C860" s="399" t="s">
        <v>1505</v>
      </c>
      <c r="D860" s="399" t="s">
        <v>1468</v>
      </c>
      <c r="E860" s="372">
        <v>3496468</v>
      </c>
      <c r="F860" s="402">
        <v>3496468</v>
      </c>
      <c r="G860" s="400">
        <f t="shared" si="13"/>
        <v>100</v>
      </c>
    </row>
    <row r="861" spans="1:7">
      <c r="A861" s="54" t="s">
        <v>173</v>
      </c>
      <c r="B861" s="399" t="s">
        <v>830</v>
      </c>
      <c r="C861" s="399" t="s">
        <v>1505</v>
      </c>
      <c r="D861" s="399" t="s">
        <v>1364</v>
      </c>
      <c r="E861" s="372">
        <v>223137</v>
      </c>
      <c r="F861" s="402">
        <v>223137</v>
      </c>
      <c r="G861" s="400">
        <f t="shared" si="13"/>
        <v>100</v>
      </c>
    </row>
    <row r="862" spans="1:7">
      <c r="A862" s="54" t="s">
        <v>1240</v>
      </c>
      <c r="B862" s="399" t="s">
        <v>830</v>
      </c>
      <c r="C862" s="399" t="s">
        <v>1505</v>
      </c>
      <c r="D862" s="399" t="s">
        <v>1241</v>
      </c>
      <c r="E862" s="372">
        <v>223137</v>
      </c>
      <c r="F862" s="402">
        <v>223137</v>
      </c>
      <c r="G862" s="400">
        <f t="shared" si="13"/>
        <v>100</v>
      </c>
    </row>
    <row r="863" spans="1:7">
      <c r="A863" s="54" t="s">
        <v>293</v>
      </c>
      <c r="B863" s="399" t="s">
        <v>830</v>
      </c>
      <c r="C863" s="399" t="s">
        <v>1505</v>
      </c>
      <c r="D863" s="399" t="s">
        <v>1370</v>
      </c>
      <c r="E863" s="372">
        <v>3273331</v>
      </c>
      <c r="F863" s="402">
        <v>3273331</v>
      </c>
      <c r="G863" s="400">
        <f t="shared" si="13"/>
        <v>100</v>
      </c>
    </row>
    <row r="864" spans="1:7">
      <c r="A864" s="54" t="s">
        <v>250</v>
      </c>
      <c r="B864" s="399" t="s">
        <v>830</v>
      </c>
      <c r="C864" s="399" t="s">
        <v>1505</v>
      </c>
      <c r="D864" s="399" t="s">
        <v>480</v>
      </c>
      <c r="E864" s="372">
        <v>3273331</v>
      </c>
      <c r="F864" s="402">
        <v>3273331</v>
      </c>
      <c r="G864" s="400">
        <f t="shared" si="13"/>
        <v>100</v>
      </c>
    </row>
    <row r="865" spans="1:7" ht="25.5">
      <c r="A865" s="54" t="s">
        <v>704</v>
      </c>
      <c r="B865" s="399" t="s">
        <v>1123</v>
      </c>
      <c r="C865" s="399" t="s">
        <v>1468</v>
      </c>
      <c r="D865" s="399" t="s">
        <v>1468</v>
      </c>
      <c r="E865" s="372">
        <v>141641135.71000001</v>
      </c>
      <c r="F865" s="400">
        <v>141471908.52000001</v>
      </c>
      <c r="G865" s="400">
        <f t="shared" si="13"/>
        <v>99.880523981150176</v>
      </c>
    </row>
    <row r="866" spans="1:7" ht="127.5">
      <c r="A866" s="54" t="s">
        <v>2019</v>
      </c>
      <c r="B866" s="399" t="s">
        <v>2020</v>
      </c>
      <c r="C866" s="399" t="s">
        <v>1468</v>
      </c>
      <c r="D866" s="399" t="s">
        <v>1468</v>
      </c>
      <c r="E866" s="372">
        <v>8000</v>
      </c>
      <c r="F866" s="400">
        <v>8000</v>
      </c>
      <c r="G866" s="400">
        <f t="shared" si="13"/>
        <v>100</v>
      </c>
    </row>
    <row r="867" spans="1:7" ht="25.5">
      <c r="A867" s="54" t="s">
        <v>1763</v>
      </c>
      <c r="B867" s="399" t="s">
        <v>2020</v>
      </c>
      <c r="C867" s="399" t="s">
        <v>1764</v>
      </c>
      <c r="D867" s="399" t="s">
        <v>1468</v>
      </c>
      <c r="E867" s="372">
        <v>8000</v>
      </c>
      <c r="F867" s="400">
        <v>8000</v>
      </c>
      <c r="G867" s="400">
        <f t="shared" si="13"/>
        <v>100</v>
      </c>
    </row>
    <row r="868" spans="1:7">
      <c r="A868" s="54" t="s">
        <v>1504</v>
      </c>
      <c r="B868" s="399" t="s">
        <v>2020</v>
      </c>
      <c r="C868" s="399" t="s">
        <v>1505</v>
      </c>
      <c r="D868" s="399" t="s">
        <v>1468</v>
      </c>
      <c r="E868" s="372">
        <v>8000</v>
      </c>
      <c r="F868" s="400">
        <v>8000</v>
      </c>
      <c r="G868" s="400">
        <f t="shared" si="13"/>
        <v>100</v>
      </c>
    </row>
    <row r="869" spans="1:7">
      <c r="A869" s="54" t="s">
        <v>173</v>
      </c>
      <c r="B869" s="399" t="s">
        <v>2020</v>
      </c>
      <c r="C869" s="399" t="s">
        <v>1505</v>
      </c>
      <c r="D869" s="399" t="s">
        <v>1364</v>
      </c>
      <c r="E869" s="372">
        <v>8000</v>
      </c>
      <c r="F869" s="400">
        <v>8000</v>
      </c>
      <c r="G869" s="400">
        <f t="shared" si="13"/>
        <v>100</v>
      </c>
    </row>
    <row r="870" spans="1:7">
      <c r="A870" s="54" t="s">
        <v>1240</v>
      </c>
      <c r="B870" s="399" t="s">
        <v>2020</v>
      </c>
      <c r="C870" s="399" t="s">
        <v>1505</v>
      </c>
      <c r="D870" s="399" t="s">
        <v>1241</v>
      </c>
      <c r="E870" s="372">
        <v>8000</v>
      </c>
      <c r="F870" s="400">
        <v>8000</v>
      </c>
      <c r="G870" s="400">
        <f t="shared" si="13"/>
        <v>100</v>
      </c>
    </row>
    <row r="871" spans="1:7" ht="153">
      <c r="A871" s="54" t="s">
        <v>1848</v>
      </c>
      <c r="B871" s="399" t="s">
        <v>1849</v>
      </c>
      <c r="C871" s="399" t="s">
        <v>1468</v>
      </c>
      <c r="D871" s="399" t="s">
        <v>1468</v>
      </c>
      <c r="E871" s="372">
        <v>2500000</v>
      </c>
      <c r="F871" s="402">
        <v>2500000</v>
      </c>
      <c r="G871" s="400">
        <f t="shared" si="13"/>
        <v>100</v>
      </c>
    </row>
    <row r="872" spans="1:7" ht="25.5">
      <c r="A872" s="54" t="s">
        <v>1763</v>
      </c>
      <c r="B872" s="399" t="s">
        <v>1849</v>
      </c>
      <c r="C872" s="399" t="s">
        <v>1764</v>
      </c>
      <c r="D872" s="399" t="s">
        <v>1468</v>
      </c>
      <c r="E872" s="372">
        <v>2500000</v>
      </c>
      <c r="F872" s="402">
        <v>2500000</v>
      </c>
      <c r="G872" s="400">
        <f t="shared" si="13"/>
        <v>100</v>
      </c>
    </row>
    <row r="873" spans="1:7">
      <c r="A873" s="54" t="s">
        <v>1504</v>
      </c>
      <c r="B873" s="399" t="s">
        <v>1849</v>
      </c>
      <c r="C873" s="399" t="s">
        <v>1505</v>
      </c>
      <c r="D873" s="399" t="s">
        <v>1468</v>
      </c>
      <c r="E873" s="372">
        <v>2500000</v>
      </c>
      <c r="F873" s="402">
        <v>2500000</v>
      </c>
      <c r="G873" s="400">
        <f t="shared" si="13"/>
        <v>100</v>
      </c>
    </row>
    <row r="874" spans="1:7">
      <c r="A874" s="54" t="s">
        <v>173</v>
      </c>
      <c r="B874" s="399" t="s">
        <v>1849</v>
      </c>
      <c r="C874" s="399" t="s">
        <v>1505</v>
      </c>
      <c r="D874" s="399" t="s">
        <v>1364</v>
      </c>
      <c r="E874" s="372">
        <v>2500000</v>
      </c>
      <c r="F874" s="402">
        <v>2500000</v>
      </c>
      <c r="G874" s="400">
        <f t="shared" si="13"/>
        <v>100</v>
      </c>
    </row>
    <row r="875" spans="1:7">
      <c r="A875" s="54" t="s">
        <v>1240</v>
      </c>
      <c r="B875" s="399" t="s">
        <v>1849</v>
      </c>
      <c r="C875" s="399" t="s">
        <v>1505</v>
      </c>
      <c r="D875" s="399" t="s">
        <v>1241</v>
      </c>
      <c r="E875" s="372">
        <v>2500000</v>
      </c>
      <c r="F875" s="402">
        <v>2500000</v>
      </c>
      <c r="G875" s="400">
        <f t="shared" si="13"/>
        <v>100</v>
      </c>
    </row>
    <row r="876" spans="1:7" ht="102">
      <c r="A876" s="54" t="s">
        <v>603</v>
      </c>
      <c r="B876" s="399" t="s">
        <v>831</v>
      </c>
      <c r="C876" s="399" t="s">
        <v>1468</v>
      </c>
      <c r="D876" s="399" t="s">
        <v>1468</v>
      </c>
      <c r="E876" s="372">
        <v>70008555.159999996</v>
      </c>
      <c r="F876" s="400">
        <v>69992327.060000002</v>
      </c>
      <c r="G876" s="400">
        <f t="shared" si="13"/>
        <v>99.976819833000548</v>
      </c>
    </row>
    <row r="877" spans="1:7" ht="63.75">
      <c r="A877" s="54" t="s">
        <v>1754</v>
      </c>
      <c r="B877" s="399" t="s">
        <v>831</v>
      </c>
      <c r="C877" s="399" t="s">
        <v>322</v>
      </c>
      <c r="D877" s="399" t="s">
        <v>1468</v>
      </c>
      <c r="E877" s="372">
        <v>35441228.700000003</v>
      </c>
      <c r="F877" s="400">
        <v>35441192.289999999</v>
      </c>
      <c r="G877" s="400">
        <f t="shared" si="13"/>
        <v>99.999897266541424</v>
      </c>
    </row>
    <row r="878" spans="1:7">
      <c r="A878" s="54" t="s">
        <v>1487</v>
      </c>
      <c r="B878" s="399" t="s">
        <v>831</v>
      </c>
      <c r="C878" s="399" t="s">
        <v>165</v>
      </c>
      <c r="D878" s="399" t="s">
        <v>1468</v>
      </c>
      <c r="E878" s="372">
        <v>35441228.700000003</v>
      </c>
      <c r="F878" s="400">
        <v>35441192.289999999</v>
      </c>
      <c r="G878" s="400">
        <f t="shared" si="13"/>
        <v>99.999897266541424</v>
      </c>
    </row>
    <row r="879" spans="1:7">
      <c r="A879" s="54" t="s">
        <v>293</v>
      </c>
      <c r="B879" s="399" t="s">
        <v>831</v>
      </c>
      <c r="C879" s="399" t="s">
        <v>165</v>
      </c>
      <c r="D879" s="399" t="s">
        <v>1370</v>
      </c>
      <c r="E879" s="372">
        <v>35441228.700000003</v>
      </c>
      <c r="F879" s="400">
        <v>35441192.289999999</v>
      </c>
      <c r="G879" s="400">
        <f t="shared" si="13"/>
        <v>99.999897266541424</v>
      </c>
    </row>
    <row r="880" spans="1:7">
      <c r="A880" s="54" t="s">
        <v>0</v>
      </c>
      <c r="B880" s="399" t="s">
        <v>831</v>
      </c>
      <c r="C880" s="399" t="s">
        <v>165</v>
      </c>
      <c r="D880" s="399" t="s">
        <v>491</v>
      </c>
      <c r="E880" s="372">
        <v>35441228.700000003</v>
      </c>
      <c r="F880" s="400">
        <v>35441192.289999999</v>
      </c>
      <c r="G880" s="400">
        <f t="shared" si="13"/>
        <v>99.999897266541424</v>
      </c>
    </row>
    <row r="881" spans="1:7" ht="25.5">
      <c r="A881" s="54" t="s">
        <v>1755</v>
      </c>
      <c r="B881" s="399" t="s">
        <v>831</v>
      </c>
      <c r="C881" s="399" t="s">
        <v>1756</v>
      </c>
      <c r="D881" s="399" t="s">
        <v>1468</v>
      </c>
      <c r="E881" s="372">
        <v>2883418.91</v>
      </c>
      <c r="F881" s="400">
        <v>2867227.22</v>
      </c>
      <c r="G881" s="400">
        <f t="shared" si="13"/>
        <v>99.438455163630735</v>
      </c>
    </row>
    <row r="882" spans="1:7" ht="25.5">
      <c r="A882" s="54" t="s">
        <v>1502</v>
      </c>
      <c r="B882" s="399" t="s">
        <v>831</v>
      </c>
      <c r="C882" s="399" t="s">
        <v>1503</v>
      </c>
      <c r="D882" s="399" t="s">
        <v>1468</v>
      </c>
      <c r="E882" s="372">
        <v>2883418.91</v>
      </c>
      <c r="F882" s="400">
        <v>2867227.22</v>
      </c>
      <c r="G882" s="400">
        <f t="shared" si="13"/>
        <v>99.438455163630735</v>
      </c>
    </row>
    <row r="883" spans="1:7">
      <c r="A883" s="54" t="s">
        <v>293</v>
      </c>
      <c r="B883" s="399" t="s">
        <v>831</v>
      </c>
      <c r="C883" s="399" t="s">
        <v>1503</v>
      </c>
      <c r="D883" s="399" t="s">
        <v>1370</v>
      </c>
      <c r="E883" s="372">
        <v>2883418.91</v>
      </c>
      <c r="F883" s="400">
        <v>2867227.22</v>
      </c>
      <c r="G883" s="400">
        <f t="shared" si="13"/>
        <v>99.438455163630735</v>
      </c>
    </row>
    <row r="884" spans="1:7">
      <c r="A884" s="54" t="s">
        <v>0</v>
      </c>
      <c r="B884" s="399" t="s">
        <v>831</v>
      </c>
      <c r="C884" s="399" t="s">
        <v>1503</v>
      </c>
      <c r="D884" s="399" t="s">
        <v>491</v>
      </c>
      <c r="E884" s="372">
        <v>2883418.91</v>
      </c>
      <c r="F884" s="400">
        <v>2867227.22</v>
      </c>
      <c r="G884" s="400">
        <f t="shared" si="13"/>
        <v>99.438455163630735</v>
      </c>
    </row>
    <row r="885" spans="1:7" ht="25.5">
      <c r="A885" s="54" t="s">
        <v>1763</v>
      </c>
      <c r="B885" s="399" t="s">
        <v>831</v>
      </c>
      <c r="C885" s="399" t="s">
        <v>1764</v>
      </c>
      <c r="D885" s="399" t="s">
        <v>1468</v>
      </c>
      <c r="E885" s="372">
        <v>31677965</v>
      </c>
      <c r="F885" s="402">
        <v>31677965</v>
      </c>
      <c r="G885" s="400">
        <f t="shared" si="13"/>
        <v>100</v>
      </c>
    </row>
    <row r="886" spans="1:7">
      <c r="A886" s="54" t="s">
        <v>1504</v>
      </c>
      <c r="B886" s="399" t="s">
        <v>831</v>
      </c>
      <c r="C886" s="399" t="s">
        <v>1505</v>
      </c>
      <c r="D886" s="399" t="s">
        <v>1468</v>
      </c>
      <c r="E886" s="372">
        <v>31677965</v>
      </c>
      <c r="F886" s="402">
        <v>31677965</v>
      </c>
      <c r="G886" s="400">
        <f t="shared" si="13"/>
        <v>100</v>
      </c>
    </row>
    <row r="887" spans="1:7">
      <c r="A887" s="54" t="s">
        <v>173</v>
      </c>
      <c r="B887" s="399" t="s">
        <v>831</v>
      </c>
      <c r="C887" s="399" t="s">
        <v>1505</v>
      </c>
      <c r="D887" s="399" t="s">
        <v>1364</v>
      </c>
      <c r="E887" s="372">
        <v>31677965</v>
      </c>
      <c r="F887" s="402">
        <v>31677965</v>
      </c>
      <c r="G887" s="400">
        <f t="shared" si="13"/>
        <v>100</v>
      </c>
    </row>
    <row r="888" spans="1:7">
      <c r="A888" s="54" t="s">
        <v>1240</v>
      </c>
      <c r="B888" s="399" t="s">
        <v>831</v>
      </c>
      <c r="C888" s="399" t="s">
        <v>1505</v>
      </c>
      <c r="D888" s="399" t="s">
        <v>1241</v>
      </c>
      <c r="E888" s="372">
        <v>31677965</v>
      </c>
      <c r="F888" s="402">
        <v>31677965</v>
      </c>
      <c r="G888" s="400">
        <f t="shared" si="13"/>
        <v>100</v>
      </c>
    </row>
    <row r="889" spans="1:7">
      <c r="A889" s="54" t="s">
        <v>1757</v>
      </c>
      <c r="B889" s="399" t="s">
        <v>831</v>
      </c>
      <c r="C889" s="399" t="s">
        <v>1758</v>
      </c>
      <c r="D889" s="399" t="s">
        <v>1468</v>
      </c>
      <c r="E889" s="372">
        <v>5942.55</v>
      </c>
      <c r="F889" s="402">
        <v>5942.55</v>
      </c>
      <c r="G889" s="400">
        <f t="shared" si="13"/>
        <v>100</v>
      </c>
    </row>
    <row r="890" spans="1:7">
      <c r="A890" s="54" t="s">
        <v>1507</v>
      </c>
      <c r="B890" s="399" t="s">
        <v>831</v>
      </c>
      <c r="C890" s="399" t="s">
        <v>1508</v>
      </c>
      <c r="D890" s="399" t="s">
        <v>1468</v>
      </c>
      <c r="E890" s="372">
        <v>5942.55</v>
      </c>
      <c r="F890" s="402">
        <v>5942.55</v>
      </c>
      <c r="G890" s="400">
        <f t="shared" si="13"/>
        <v>100</v>
      </c>
    </row>
    <row r="891" spans="1:7">
      <c r="A891" s="54" t="s">
        <v>293</v>
      </c>
      <c r="B891" s="399" t="s">
        <v>831</v>
      </c>
      <c r="C891" s="399" t="s">
        <v>1508</v>
      </c>
      <c r="D891" s="399" t="s">
        <v>1370</v>
      </c>
      <c r="E891" s="372">
        <v>5942.55</v>
      </c>
      <c r="F891" s="402">
        <v>5942.55</v>
      </c>
      <c r="G891" s="400">
        <f t="shared" si="13"/>
        <v>100</v>
      </c>
    </row>
    <row r="892" spans="1:7">
      <c r="A892" s="54" t="s">
        <v>0</v>
      </c>
      <c r="B892" s="399" t="s">
        <v>831</v>
      </c>
      <c r="C892" s="399" t="s">
        <v>1508</v>
      </c>
      <c r="D892" s="399" t="s">
        <v>491</v>
      </c>
      <c r="E892" s="372">
        <v>5942.55</v>
      </c>
      <c r="F892" s="402">
        <v>5942.55</v>
      </c>
      <c r="G892" s="400">
        <f t="shared" si="13"/>
        <v>100</v>
      </c>
    </row>
    <row r="893" spans="1:7" ht="127.5">
      <c r="A893" s="54" t="s">
        <v>604</v>
      </c>
      <c r="B893" s="399" t="s">
        <v>832</v>
      </c>
      <c r="C893" s="399" t="s">
        <v>1468</v>
      </c>
      <c r="D893" s="399" t="s">
        <v>1468</v>
      </c>
      <c r="E893" s="372">
        <v>56914749.590000004</v>
      </c>
      <c r="F893" s="400">
        <v>56784549.590000004</v>
      </c>
      <c r="G893" s="400">
        <f t="shared" si="13"/>
        <v>99.771236804276697</v>
      </c>
    </row>
    <row r="894" spans="1:7" ht="63.75">
      <c r="A894" s="54" t="s">
        <v>1754</v>
      </c>
      <c r="B894" s="399" t="s">
        <v>832</v>
      </c>
      <c r="C894" s="399" t="s">
        <v>322</v>
      </c>
      <c r="D894" s="399" t="s">
        <v>1468</v>
      </c>
      <c r="E894" s="372">
        <v>46043823.590000004</v>
      </c>
      <c r="F894" s="400">
        <v>45913623.590000004</v>
      </c>
      <c r="G894" s="400">
        <f t="shared" si="13"/>
        <v>99.717225916858311</v>
      </c>
    </row>
    <row r="895" spans="1:7">
      <c r="A895" s="54" t="s">
        <v>1487</v>
      </c>
      <c r="B895" s="399" t="s">
        <v>832</v>
      </c>
      <c r="C895" s="399" t="s">
        <v>165</v>
      </c>
      <c r="D895" s="399" t="s">
        <v>1468</v>
      </c>
      <c r="E895" s="372">
        <v>46043823.590000004</v>
      </c>
      <c r="F895" s="400">
        <v>45913623.590000004</v>
      </c>
      <c r="G895" s="400">
        <f t="shared" si="13"/>
        <v>99.717225916858311</v>
      </c>
    </row>
    <row r="896" spans="1:7">
      <c r="A896" s="54" t="s">
        <v>293</v>
      </c>
      <c r="B896" s="399" t="s">
        <v>832</v>
      </c>
      <c r="C896" s="399" t="s">
        <v>165</v>
      </c>
      <c r="D896" s="399" t="s">
        <v>1370</v>
      </c>
      <c r="E896" s="372">
        <v>46043823.590000004</v>
      </c>
      <c r="F896" s="400">
        <v>45913623.590000004</v>
      </c>
      <c r="G896" s="400">
        <f t="shared" si="13"/>
        <v>99.717225916858311</v>
      </c>
    </row>
    <row r="897" spans="1:7">
      <c r="A897" s="54" t="s">
        <v>0</v>
      </c>
      <c r="B897" s="399" t="s">
        <v>832</v>
      </c>
      <c r="C897" s="399" t="s">
        <v>165</v>
      </c>
      <c r="D897" s="399" t="s">
        <v>491</v>
      </c>
      <c r="E897" s="372">
        <v>46043823.590000004</v>
      </c>
      <c r="F897" s="400">
        <v>45913623.590000004</v>
      </c>
      <c r="G897" s="400">
        <f t="shared" si="13"/>
        <v>99.717225916858311</v>
      </c>
    </row>
    <row r="898" spans="1:7" ht="25.5">
      <c r="A898" s="54" t="s">
        <v>1763</v>
      </c>
      <c r="B898" s="399" t="s">
        <v>832</v>
      </c>
      <c r="C898" s="399" t="s">
        <v>1764</v>
      </c>
      <c r="D898" s="399" t="s">
        <v>1468</v>
      </c>
      <c r="E898" s="372">
        <v>10870926</v>
      </c>
      <c r="F898" s="402">
        <v>10870926</v>
      </c>
      <c r="G898" s="400">
        <f t="shared" si="13"/>
        <v>100</v>
      </c>
    </row>
    <row r="899" spans="1:7">
      <c r="A899" s="54" t="s">
        <v>1504</v>
      </c>
      <c r="B899" s="399" t="s">
        <v>832</v>
      </c>
      <c r="C899" s="399" t="s">
        <v>1505</v>
      </c>
      <c r="D899" s="399" t="s">
        <v>1468</v>
      </c>
      <c r="E899" s="372">
        <v>10870926</v>
      </c>
      <c r="F899" s="402">
        <v>10870926</v>
      </c>
      <c r="G899" s="400">
        <f t="shared" si="13"/>
        <v>100</v>
      </c>
    </row>
    <row r="900" spans="1:7">
      <c r="A900" s="54" t="s">
        <v>173</v>
      </c>
      <c r="B900" s="399" t="s">
        <v>832</v>
      </c>
      <c r="C900" s="399" t="s">
        <v>1505</v>
      </c>
      <c r="D900" s="399" t="s">
        <v>1364</v>
      </c>
      <c r="E900" s="372">
        <v>10870926</v>
      </c>
      <c r="F900" s="402">
        <v>10870926</v>
      </c>
      <c r="G900" s="400">
        <f t="shared" si="13"/>
        <v>100</v>
      </c>
    </row>
    <row r="901" spans="1:7">
      <c r="A901" s="54" t="s">
        <v>1240</v>
      </c>
      <c r="B901" s="399" t="s">
        <v>832</v>
      </c>
      <c r="C901" s="399" t="s">
        <v>1505</v>
      </c>
      <c r="D901" s="399" t="s">
        <v>1241</v>
      </c>
      <c r="E901" s="372">
        <v>10870926</v>
      </c>
      <c r="F901" s="402">
        <v>10870926</v>
      </c>
      <c r="G901" s="400">
        <f t="shared" si="13"/>
        <v>100</v>
      </c>
    </row>
    <row r="902" spans="1:7" ht="102">
      <c r="A902" s="54" t="s">
        <v>675</v>
      </c>
      <c r="B902" s="399" t="s">
        <v>833</v>
      </c>
      <c r="C902" s="399" t="s">
        <v>1468</v>
      </c>
      <c r="D902" s="399" t="s">
        <v>1468</v>
      </c>
      <c r="E902" s="372">
        <v>187561</v>
      </c>
      <c r="F902" s="402">
        <v>187561</v>
      </c>
      <c r="G902" s="400">
        <f t="shared" si="13"/>
        <v>100</v>
      </c>
    </row>
    <row r="903" spans="1:7" ht="25.5">
      <c r="A903" s="54" t="s">
        <v>1763</v>
      </c>
      <c r="B903" s="399" t="s">
        <v>833</v>
      </c>
      <c r="C903" s="399" t="s">
        <v>1764</v>
      </c>
      <c r="D903" s="399" t="s">
        <v>1468</v>
      </c>
      <c r="E903" s="372">
        <v>187561</v>
      </c>
      <c r="F903" s="402">
        <v>187561</v>
      </c>
      <c r="G903" s="400">
        <f t="shared" si="13"/>
        <v>100</v>
      </c>
    </row>
    <row r="904" spans="1:7">
      <c r="A904" s="54" t="s">
        <v>1504</v>
      </c>
      <c r="B904" s="399" t="s">
        <v>833</v>
      </c>
      <c r="C904" s="399" t="s">
        <v>1505</v>
      </c>
      <c r="D904" s="399" t="s">
        <v>1468</v>
      </c>
      <c r="E904" s="372">
        <v>187561</v>
      </c>
      <c r="F904" s="402">
        <v>187561</v>
      </c>
      <c r="G904" s="400">
        <f t="shared" si="13"/>
        <v>100</v>
      </c>
    </row>
    <row r="905" spans="1:7">
      <c r="A905" s="54" t="s">
        <v>173</v>
      </c>
      <c r="B905" s="399" t="s">
        <v>833</v>
      </c>
      <c r="C905" s="399" t="s">
        <v>1505</v>
      </c>
      <c r="D905" s="399" t="s">
        <v>1364</v>
      </c>
      <c r="E905" s="372">
        <v>187561</v>
      </c>
      <c r="F905" s="402">
        <v>187561</v>
      </c>
      <c r="G905" s="400">
        <f t="shared" ref="G905:G968" si="14">F905/E905*100</f>
        <v>100</v>
      </c>
    </row>
    <row r="906" spans="1:7">
      <c r="A906" s="54" t="s">
        <v>1240</v>
      </c>
      <c r="B906" s="399" t="s">
        <v>833</v>
      </c>
      <c r="C906" s="399" t="s">
        <v>1505</v>
      </c>
      <c r="D906" s="399" t="s">
        <v>1241</v>
      </c>
      <c r="E906" s="372">
        <v>187561</v>
      </c>
      <c r="F906" s="402">
        <v>187561</v>
      </c>
      <c r="G906" s="400">
        <f t="shared" si="14"/>
        <v>100</v>
      </c>
    </row>
    <row r="907" spans="1:7" ht="102">
      <c r="A907" s="54" t="s">
        <v>605</v>
      </c>
      <c r="B907" s="399" t="s">
        <v>834</v>
      </c>
      <c r="C907" s="399" t="s">
        <v>1468</v>
      </c>
      <c r="D907" s="399" t="s">
        <v>1468</v>
      </c>
      <c r="E907" s="372">
        <v>1794718.96</v>
      </c>
      <c r="F907" s="400">
        <v>1786240.16</v>
      </c>
      <c r="G907" s="400">
        <f t="shared" si="14"/>
        <v>99.527569486422536</v>
      </c>
    </row>
    <row r="908" spans="1:7" ht="63.75">
      <c r="A908" s="54" t="s">
        <v>1754</v>
      </c>
      <c r="B908" s="399" t="s">
        <v>834</v>
      </c>
      <c r="C908" s="399" t="s">
        <v>322</v>
      </c>
      <c r="D908" s="399" t="s">
        <v>1468</v>
      </c>
      <c r="E908" s="372">
        <v>978185.6</v>
      </c>
      <c r="F908" s="400">
        <v>975745.6</v>
      </c>
      <c r="G908" s="400">
        <f t="shared" si="14"/>
        <v>99.750558585201006</v>
      </c>
    </row>
    <row r="909" spans="1:7">
      <c r="A909" s="54" t="s">
        <v>1487</v>
      </c>
      <c r="B909" s="399" t="s">
        <v>834</v>
      </c>
      <c r="C909" s="399" t="s">
        <v>165</v>
      </c>
      <c r="D909" s="399" t="s">
        <v>1468</v>
      </c>
      <c r="E909" s="372">
        <v>978185.6</v>
      </c>
      <c r="F909" s="400">
        <v>975745.6</v>
      </c>
      <c r="G909" s="400">
        <f t="shared" si="14"/>
        <v>99.750558585201006</v>
      </c>
    </row>
    <row r="910" spans="1:7">
      <c r="A910" s="54" t="s">
        <v>293</v>
      </c>
      <c r="B910" s="399" t="s">
        <v>834</v>
      </c>
      <c r="C910" s="399" t="s">
        <v>165</v>
      </c>
      <c r="D910" s="399" t="s">
        <v>1370</v>
      </c>
      <c r="E910" s="372">
        <v>978185.6</v>
      </c>
      <c r="F910" s="400">
        <v>975745.6</v>
      </c>
      <c r="G910" s="400">
        <f t="shared" si="14"/>
        <v>99.750558585201006</v>
      </c>
    </row>
    <row r="911" spans="1:7">
      <c r="A911" s="54" t="s">
        <v>0</v>
      </c>
      <c r="B911" s="399" t="s">
        <v>834</v>
      </c>
      <c r="C911" s="399" t="s">
        <v>165</v>
      </c>
      <c r="D911" s="399" t="s">
        <v>491</v>
      </c>
      <c r="E911" s="372">
        <v>978185.6</v>
      </c>
      <c r="F911" s="400">
        <v>975745.6</v>
      </c>
      <c r="G911" s="400">
        <f t="shared" si="14"/>
        <v>99.750558585201006</v>
      </c>
    </row>
    <row r="912" spans="1:7" ht="25.5">
      <c r="A912" s="54" t="s">
        <v>1763</v>
      </c>
      <c r="B912" s="399" t="s">
        <v>834</v>
      </c>
      <c r="C912" s="399" t="s">
        <v>1764</v>
      </c>
      <c r="D912" s="399" t="s">
        <v>1468</v>
      </c>
      <c r="E912" s="372">
        <v>816533.36</v>
      </c>
      <c r="F912" s="400">
        <v>810494.56</v>
      </c>
      <c r="G912" s="400">
        <f t="shared" si="14"/>
        <v>99.260434380782698</v>
      </c>
    </row>
    <row r="913" spans="1:7">
      <c r="A913" s="54" t="s">
        <v>1504</v>
      </c>
      <c r="B913" s="399" t="s">
        <v>834</v>
      </c>
      <c r="C913" s="399" t="s">
        <v>1505</v>
      </c>
      <c r="D913" s="399" t="s">
        <v>1468</v>
      </c>
      <c r="E913" s="372">
        <v>816533.36</v>
      </c>
      <c r="F913" s="400">
        <v>810494.56</v>
      </c>
      <c r="G913" s="400">
        <f t="shared" si="14"/>
        <v>99.260434380782698</v>
      </c>
    </row>
    <row r="914" spans="1:7">
      <c r="A914" s="54" t="s">
        <v>173</v>
      </c>
      <c r="B914" s="399" t="s">
        <v>834</v>
      </c>
      <c r="C914" s="399" t="s">
        <v>1505</v>
      </c>
      <c r="D914" s="399" t="s">
        <v>1364</v>
      </c>
      <c r="E914" s="372">
        <v>816533.36</v>
      </c>
      <c r="F914" s="400">
        <v>810494.56</v>
      </c>
      <c r="G914" s="400">
        <f t="shared" si="14"/>
        <v>99.260434380782698</v>
      </c>
    </row>
    <row r="915" spans="1:7">
      <c r="A915" s="54" t="s">
        <v>1240</v>
      </c>
      <c r="B915" s="399" t="s">
        <v>834</v>
      </c>
      <c r="C915" s="399" t="s">
        <v>1505</v>
      </c>
      <c r="D915" s="399" t="s">
        <v>1241</v>
      </c>
      <c r="E915" s="372">
        <v>816533.36</v>
      </c>
      <c r="F915" s="400">
        <v>810494.56</v>
      </c>
      <c r="G915" s="400">
        <f t="shared" si="14"/>
        <v>99.260434380782698</v>
      </c>
    </row>
    <row r="916" spans="1:7" ht="102">
      <c r="A916" s="54" t="s">
        <v>676</v>
      </c>
      <c r="B916" s="399" t="s">
        <v>835</v>
      </c>
      <c r="C916" s="399" t="s">
        <v>1468</v>
      </c>
      <c r="D916" s="399" t="s">
        <v>1468</v>
      </c>
      <c r="E916" s="372">
        <v>3404800</v>
      </c>
      <c r="F916" s="400">
        <v>3398629.71</v>
      </c>
      <c r="G916" s="400">
        <f t="shared" si="14"/>
        <v>99.818776726973681</v>
      </c>
    </row>
    <row r="917" spans="1:7" ht="25.5">
      <c r="A917" s="54" t="s">
        <v>1755</v>
      </c>
      <c r="B917" s="399" t="s">
        <v>835</v>
      </c>
      <c r="C917" s="399" t="s">
        <v>1756</v>
      </c>
      <c r="D917" s="399" t="s">
        <v>1468</v>
      </c>
      <c r="E917" s="372">
        <v>356000</v>
      </c>
      <c r="F917" s="400">
        <v>349829.71</v>
      </c>
      <c r="G917" s="400">
        <f t="shared" si="14"/>
        <v>98.266772471910116</v>
      </c>
    </row>
    <row r="918" spans="1:7" ht="25.5">
      <c r="A918" s="54" t="s">
        <v>1502</v>
      </c>
      <c r="B918" s="399" t="s">
        <v>835</v>
      </c>
      <c r="C918" s="399" t="s">
        <v>1503</v>
      </c>
      <c r="D918" s="399" t="s">
        <v>1468</v>
      </c>
      <c r="E918" s="372">
        <v>356000</v>
      </c>
      <c r="F918" s="400">
        <v>349829.71</v>
      </c>
      <c r="G918" s="400">
        <f t="shared" si="14"/>
        <v>98.266772471910116</v>
      </c>
    </row>
    <row r="919" spans="1:7">
      <c r="A919" s="54" t="s">
        <v>293</v>
      </c>
      <c r="B919" s="399" t="s">
        <v>835</v>
      </c>
      <c r="C919" s="399" t="s">
        <v>1503</v>
      </c>
      <c r="D919" s="399" t="s">
        <v>1370</v>
      </c>
      <c r="E919" s="372">
        <v>356000</v>
      </c>
      <c r="F919" s="400">
        <v>349829.71</v>
      </c>
      <c r="G919" s="400">
        <f t="shared" si="14"/>
        <v>98.266772471910116</v>
      </c>
    </row>
    <row r="920" spans="1:7">
      <c r="A920" s="54" t="s">
        <v>0</v>
      </c>
      <c r="B920" s="399" t="s">
        <v>835</v>
      </c>
      <c r="C920" s="399" t="s">
        <v>1503</v>
      </c>
      <c r="D920" s="399" t="s">
        <v>491</v>
      </c>
      <c r="E920" s="372">
        <v>356000</v>
      </c>
      <c r="F920" s="400">
        <v>349829.71</v>
      </c>
      <c r="G920" s="400">
        <f t="shared" si="14"/>
        <v>98.266772471910116</v>
      </c>
    </row>
    <row r="921" spans="1:7" ht="25.5">
      <c r="A921" s="54" t="s">
        <v>1763</v>
      </c>
      <c r="B921" s="399" t="s">
        <v>835</v>
      </c>
      <c r="C921" s="399" t="s">
        <v>1764</v>
      </c>
      <c r="D921" s="399" t="s">
        <v>1468</v>
      </c>
      <c r="E921" s="372">
        <v>3048800</v>
      </c>
      <c r="F921" s="402">
        <v>3048800</v>
      </c>
      <c r="G921" s="400">
        <f t="shared" si="14"/>
        <v>100</v>
      </c>
    </row>
    <row r="922" spans="1:7">
      <c r="A922" s="54" t="s">
        <v>1504</v>
      </c>
      <c r="B922" s="399" t="s">
        <v>835</v>
      </c>
      <c r="C922" s="399" t="s">
        <v>1505</v>
      </c>
      <c r="D922" s="399" t="s">
        <v>1468</v>
      </c>
      <c r="E922" s="372">
        <v>3048800</v>
      </c>
      <c r="F922" s="402">
        <v>3048800</v>
      </c>
      <c r="G922" s="400">
        <f t="shared" si="14"/>
        <v>100</v>
      </c>
    </row>
    <row r="923" spans="1:7">
      <c r="A923" s="54" t="s">
        <v>173</v>
      </c>
      <c r="B923" s="399" t="s">
        <v>835</v>
      </c>
      <c r="C923" s="399" t="s">
        <v>1505</v>
      </c>
      <c r="D923" s="399" t="s">
        <v>1364</v>
      </c>
      <c r="E923" s="372">
        <v>3048800</v>
      </c>
      <c r="F923" s="402">
        <v>3048800</v>
      </c>
      <c r="G923" s="400">
        <f t="shared" si="14"/>
        <v>100</v>
      </c>
    </row>
    <row r="924" spans="1:7">
      <c r="A924" s="54" t="s">
        <v>1240</v>
      </c>
      <c r="B924" s="399" t="s">
        <v>835</v>
      </c>
      <c r="C924" s="399" t="s">
        <v>1505</v>
      </c>
      <c r="D924" s="399" t="s">
        <v>1241</v>
      </c>
      <c r="E924" s="372">
        <v>3048800</v>
      </c>
      <c r="F924" s="402">
        <v>3048800</v>
      </c>
      <c r="G924" s="400">
        <f t="shared" si="14"/>
        <v>100</v>
      </c>
    </row>
    <row r="925" spans="1:7" ht="63.75">
      <c r="A925" s="54" t="s">
        <v>1093</v>
      </c>
      <c r="B925" s="399" t="s">
        <v>1094</v>
      </c>
      <c r="C925" s="399" t="s">
        <v>1468</v>
      </c>
      <c r="D925" s="399" t="s">
        <v>1468</v>
      </c>
      <c r="E925" s="372">
        <v>120000</v>
      </c>
      <c r="F925" s="402">
        <v>120000</v>
      </c>
      <c r="G925" s="400">
        <f t="shared" si="14"/>
        <v>100</v>
      </c>
    </row>
    <row r="926" spans="1:7" ht="25.5">
      <c r="A926" s="54" t="s">
        <v>1755</v>
      </c>
      <c r="B926" s="399" t="s">
        <v>1094</v>
      </c>
      <c r="C926" s="399" t="s">
        <v>1756</v>
      </c>
      <c r="D926" s="399" t="s">
        <v>1468</v>
      </c>
      <c r="E926" s="372">
        <v>120000</v>
      </c>
      <c r="F926" s="402">
        <v>120000</v>
      </c>
      <c r="G926" s="400">
        <f t="shared" si="14"/>
        <v>100</v>
      </c>
    </row>
    <row r="927" spans="1:7" ht="25.5">
      <c r="A927" s="54" t="s">
        <v>1502</v>
      </c>
      <c r="B927" s="399" t="s">
        <v>1094</v>
      </c>
      <c r="C927" s="399" t="s">
        <v>1503</v>
      </c>
      <c r="D927" s="399" t="s">
        <v>1468</v>
      </c>
      <c r="E927" s="372">
        <v>120000</v>
      </c>
      <c r="F927" s="402">
        <v>120000</v>
      </c>
      <c r="G927" s="400">
        <f t="shared" si="14"/>
        <v>100</v>
      </c>
    </row>
    <row r="928" spans="1:7">
      <c r="A928" s="54" t="s">
        <v>293</v>
      </c>
      <c r="B928" s="399" t="s">
        <v>1094</v>
      </c>
      <c r="C928" s="399" t="s">
        <v>1503</v>
      </c>
      <c r="D928" s="399" t="s">
        <v>1370</v>
      </c>
      <c r="E928" s="372">
        <v>120000</v>
      </c>
      <c r="F928" s="402">
        <v>120000</v>
      </c>
      <c r="G928" s="400">
        <f t="shared" si="14"/>
        <v>100</v>
      </c>
    </row>
    <row r="929" spans="1:7">
      <c r="A929" s="54" t="s">
        <v>0</v>
      </c>
      <c r="B929" s="399" t="s">
        <v>1094</v>
      </c>
      <c r="C929" s="399" t="s">
        <v>1503</v>
      </c>
      <c r="D929" s="399" t="s">
        <v>491</v>
      </c>
      <c r="E929" s="372">
        <v>120000</v>
      </c>
      <c r="F929" s="402">
        <v>120000</v>
      </c>
      <c r="G929" s="400">
        <f t="shared" si="14"/>
        <v>100</v>
      </c>
    </row>
    <row r="930" spans="1:7" ht="89.25">
      <c r="A930" s="54" t="s">
        <v>1087</v>
      </c>
      <c r="B930" s="399" t="s">
        <v>1088</v>
      </c>
      <c r="C930" s="399" t="s">
        <v>1468</v>
      </c>
      <c r="D930" s="399" t="s">
        <v>1468</v>
      </c>
      <c r="E930" s="372">
        <v>541500</v>
      </c>
      <c r="F930" s="402">
        <v>541500</v>
      </c>
      <c r="G930" s="400">
        <f t="shared" si="14"/>
        <v>100</v>
      </c>
    </row>
    <row r="931" spans="1:7" ht="25.5">
      <c r="A931" s="54" t="s">
        <v>1755</v>
      </c>
      <c r="B931" s="399" t="s">
        <v>1088</v>
      </c>
      <c r="C931" s="399" t="s">
        <v>1756</v>
      </c>
      <c r="D931" s="399" t="s">
        <v>1468</v>
      </c>
      <c r="E931" s="372">
        <v>210500</v>
      </c>
      <c r="F931" s="402">
        <v>210500</v>
      </c>
      <c r="G931" s="400">
        <f t="shared" si="14"/>
        <v>100</v>
      </c>
    </row>
    <row r="932" spans="1:7" ht="25.5">
      <c r="A932" s="54" t="s">
        <v>1502</v>
      </c>
      <c r="B932" s="399" t="s">
        <v>1088</v>
      </c>
      <c r="C932" s="399" t="s">
        <v>1503</v>
      </c>
      <c r="D932" s="399" t="s">
        <v>1468</v>
      </c>
      <c r="E932" s="372">
        <v>210500</v>
      </c>
      <c r="F932" s="402">
        <v>210500</v>
      </c>
      <c r="G932" s="400">
        <f t="shared" si="14"/>
        <v>100</v>
      </c>
    </row>
    <row r="933" spans="1:7">
      <c r="A933" s="54" t="s">
        <v>293</v>
      </c>
      <c r="B933" s="399" t="s">
        <v>1088</v>
      </c>
      <c r="C933" s="399" t="s">
        <v>1503</v>
      </c>
      <c r="D933" s="399" t="s">
        <v>1370</v>
      </c>
      <c r="E933" s="372">
        <v>210500</v>
      </c>
      <c r="F933" s="402">
        <v>210500</v>
      </c>
      <c r="G933" s="400">
        <f t="shared" si="14"/>
        <v>100</v>
      </c>
    </row>
    <row r="934" spans="1:7">
      <c r="A934" s="54" t="s">
        <v>0</v>
      </c>
      <c r="B934" s="399" t="s">
        <v>1088</v>
      </c>
      <c r="C934" s="399" t="s">
        <v>1503</v>
      </c>
      <c r="D934" s="399" t="s">
        <v>491</v>
      </c>
      <c r="E934" s="372">
        <v>210500</v>
      </c>
      <c r="F934" s="402">
        <v>210500</v>
      </c>
      <c r="G934" s="400">
        <f t="shared" si="14"/>
        <v>100</v>
      </c>
    </row>
    <row r="935" spans="1:7" ht="25.5">
      <c r="A935" s="54" t="s">
        <v>1763</v>
      </c>
      <c r="B935" s="399" t="s">
        <v>1088</v>
      </c>
      <c r="C935" s="399" t="s">
        <v>1764</v>
      </c>
      <c r="D935" s="399" t="s">
        <v>1468</v>
      </c>
      <c r="E935" s="372">
        <v>331000</v>
      </c>
      <c r="F935" s="402">
        <v>331000</v>
      </c>
      <c r="G935" s="400">
        <f t="shared" si="14"/>
        <v>100</v>
      </c>
    </row>
    <row r="936" spans="1:7">
      <c r="A936" s="54" t="s">
        <v>1504</v>
      </c>
      <c r="B936" s="399" t="s">
        <v>1088</v>
      </c>
      <c r="C936" s="399" t="s">
        <v>1505</v>
      </c>
      <c r="D936" s="399" t="s">
        <v>1468</v>
      </c>
      <c r="E936" s="372">
        <v>331000</v>
      </c>
      <c r="F936" s="402">
        <v>331000</v>
      </c>
      <c r="G936" s="400">
        <f t="shared" si="14"/>
        <v>100</v>
      </c>
    </row>
    <row r="937" spans="1:7">
      <c r="A937" s="54" t="s">
        <v>173</v>
      </c>
      <c r="B937" s="399" t="s">
        <v>1088</v>
      </c>
      <c r="C937" s="399" t="s">
        <v>1505</v>
      </c>
      <c r="D937" s="399" t="s">
        <v>1364</v>
      </c>
      <c r="E937" s="372">
        <v>331000</v>
      </c>
      <c r="F937" s="402">
        <v>331000</v>
      </c>
      <c r="G937" s="400">
        <f t="shared" si="14"/>
        <v>100</v>
      </c>
    </row>
    <row r="938" spans="1:7">
      <c r="A938" s="54" t="s">
        <v>1240</v>
      </c>
      <c r="B938" s="399" t="s">
        <v>1088</v>
      </c>
      <c r="C938" s="399" t="s">
        <v>1505</v>
      </c>
      <c r="D938" s="399" t="s">
        <v>1241</v>
      </c>
      <c r="E938" s="372">
        <v>331000</v>
      </c>
      <c r="F938" s="402">
        <v>331000</v>
      </c>
      <c r="G938" s="400">
        <f t="shared" si="14"/>
        <v>100</v>
      </c>
    </row>
    <row r="939" spans="1:7" ht="89.25">
      <c r="A939" s="54" t="s">
        <v>1916</v>
      </c>
      <c r="B939" s="399" t="s">
        <v>1917</v>
      </c>
      <c r="C939" s="399" t="s">
        <v>1468</v>
      </c>
      <c r="D939" s="399" t="s">
        <v>1468</v>
      </c>
      <c r="E939" s="372">
        <v>673200</v>
      </c>
      <c r="F939" s="402">
        <v>673200</v>
      </c>
      <c r="G939" s="400">
        <f t="shared" si="14"/>
        <v>100</v>
      </c>
    </row>
    <row r="940" spans="1:7" ht="25.5">
      <c r="A940" s="54" t="s">
        <v>1763</v>
      </c>
      <c r="B940" s="399" t="s">
        <v>1917</v>
      </c>
      <c r="C940" s="399" t="s">
        <v>1764</v>
      </c>
      <c r="D940" s="399" t="s">
        <v>1468</v>
      </c>
      <c r="E940" s="372">
        <v>673200</v>
      </c>
      <c r="F940" s="402">
        <v>673200</v>
      </c>
      <c r="G940" s="400">
        <f t="shared" si="14"/>
        <v>100</v>
      </c>
    </row>
    <row r="941" spans="1:7">
      <c r="A941" s="54" t="s">
        <v>1504</v>
      </c>
      <c r="B941" s="399" t="s">
        <v>1917</v>
      </c>
      <c r="C941" s="399" t="s">
        <v>1505</v>
      </c>
      <c r="D941" s="399" t="s">
        <v>1468</v>
      </c>
      <c r="E941" s="372">
        <v>673200</v>
      </c>
      <c r="F941" s="402">
        <v>673200</v>
      </c>
      <c r="G941" s="400">
        <f t="shared" si="14"/>
        <v>100</v>
      </c>
    </row>
    <row r="942" spans="1:7">
      <c r="A942" s="54" t="s">
        <v>173</v>
      </c>
      <c r="B942" s="399" t="s">
        <v>1917</v>
      </c>
      <c r="C942" s="399" t="s">
        <v>1505</v>
      </c>
      <c r="D942" s="399" t="s">
        <v>1364</v>
      </c>
      <c r="E942" s="372">
        <v>673200</v>
      </c>
      <c r="F942" s="402">
        <v>673200</v>
      </c>
      <c r="G942" s="400">
        <f t="shared" si="14"/>
        <v>100</v>
      </c>
    </row>
    <row r="943" spans="1:7">
      <c r="A943" s="54" t="s">
        <v>1240</v>
      </c>
      <c r="B943" s="399" t="s">
        <v>1917</v>
      </c>
      <c r="C943" s="399" t="s">
        <v>1505</v>
      </c>
      <c r="D943" s="399" t="s">
        <v>1241</v>
      </c>
      <c r="E943" s="372">
        <v>673200</v>
      </c>
      <c r="F943" s="402">
        <v>673200</v>
      </c>
      <c r="G943" s="400">
        <f t="shared" si="14"/>
        <v>100</v>
      </c>
    </row>
    <row r="944" spans="1:7" ht="89.25">
      <c r="A944" s="54" t="s">
        <v>1918</v>
      </c>
      <c r="B944" s="399" t="s">
        <v>1919</v>
      </c>
      <c r="C944" s="399" t="s">
        <v>1468</v>
      </c>
      <c r="D944" s="399" t="s">
        <v>1468</v>
      </c>
      <c r="E944" s="372">
        <v>358000</v>
      </c>
      <c r="F944" s="402">
        <v>358000</v>
      </c>
      <c r="G944" s="400">
        <f t="shared" si="14"/>
        <v>100</v>
      </c>
    </row>
    <row r="945" spans="1:7" ht="25.5">
      <c r="A945" s="54" t="s">
        <v>1763</v>
      </c>
      <c r="B945" s="399" t="s">
        <v>1919</v>
      </c>
      <c r="C945" s="399" t="s">
        <v>1764</v>
      </c>
      <c r="D945" s="399" t="s">
        <v>1468</v>
      </c>
      <c r="E945" s="372">
        <v>358000</v>
      </c>
      <c r="F945" s="402">
        <v>358000</v>
      </c>
      <c r="G945" s="400">
        <f t="shared" si="14"/>
        <v>100</v>
      </c>
    </row>
    <row r="946" spans="1:7">
      <c r="A946" s="54" t="s">
        <v>1504</v>
      </c>
      <c r="B946" s="399" t="s">
        <v>1919</v>
      </c>
      <c r="C946" s="399" t="s">
        <v>1505</v>
      </c>
      <c r="D946" s="399" t="s">
        <v>1468</v>
      </c>
      <c r="E946" s="372">
        <v>358000</v>
      </c>
      <c r="F946" s="402">
        <v>358000</v>
      </c>
      <c r="G946" s="400">
        <f t="shared" si="14"/>
        <v>100</v>
      </c>
    </row>
    <row r="947" spans="1:7">
      <c r="A947" s="54" t="s">
        <v>173</v>
      </c>
      <c r="B947" s="399" t="s">
        <v>1919</v>
      </c>
      <c r="C947" s="399" t="s">
        <v>1505</v>
      </c>
      <c r="D947" s="399" t="s">
        <v>1364</v>
      </c>
      <c r="E947" s="372">
        <v>200000</v>
      </c>
      <c r="F947" s="402">
        <v>200000</v>
      </c>
      <c r="G947" s="400">
        <f t="shared" si="14"/>
        <v>100</v>
      </c>
    </row>
    <row r="948" spans="1:7">
      <c r="A948" s="54" t="s">
        <v>1240</v>
      </c>
      <c r="B948" s="399" t="s">
        <v>1919</v>
      </c>
      <c r="C948" s="399" t="s">
        <v>1505</v>
      </c>
      <c r="D948" s="399" t="s">
        <v>1241</v>
      </c>
      <c r="E948" s="372">
        <v>200000</v>
      </c>
      <c r="F948" s="402">
        <v>200000</v>
      </c>
      <c r="G948" s="400">
        <f t="shared" si="14"/>
        <v>100</v>
      </c>
    </row>
    <row r="949" spans="1:7">
      <c r="A949" s="54" t="s">
        <v>293</v>
      </c>
      <c r="B949" s="399" t="s">
        <v>1919</v>
      </c>
      <c r="C949" s="399" t="s">
        <v>1505</v>
      </c>
      <c r="D949" s="399" t="s">
        <v>1370</v>
      </c>
      <c r="E949" s="372">
        <v>158000</v>
      </c>
      <c r="F949" s="402">
        <v>158000</v>
      </c>
      <c r="G949" s="400">
        <f t="shared" si="14"/>
        <v>100</v>
      </c>
    </row>
    <row r="950" spans="1:7">
      <c r="A950" s="54" t="s">
        <v>250</v>
      </c>
      <c r="B950" s="399" t="s">
        <v>1919</v>
      </c>
      <c r="C950" s="399" t="s">
        <v>1505</v>
      </c>
      <c r="D950" s="399" t="s">
        <v>480</v>
      </c>
      <c r="E950" s="372">
        <v>158000</v>
      </c>
      <c r="F950" s="402">
        <v>158000</v>
      </c>
      <c r="G950" s="400">
        <f t="shared" si="14"/>
        <v>100</v>
      </c>
    </row>
    <row r="951" spans="1:7" ht="63.75">
      <c r="A951" s="54" t="s">
        <v>1026</v>
      </c>
      <c r="B951" s="399" t="s">
        <v>1025</v>
      </c>
      <c r="C951" s="399" t="s">
        <v>1468</v>
      </c>
      <c r="D951" s="399" t="s">
        <v>1468</v>
      </c>
      <c r="E951" s="372">
        <v>1195000</v>
      </c>
      <c r="F951" s="402">
        <v>1195000</v>
      </c>
      <c r="G951" s="400">
        <f t="shared" si="14"/>
        <v>100</v>
      </c>
    </row>
    <row r="952" spans="1:7" ht="25.5">
      <c r="A952" s="54" t="s">
        <v>1763</v>
      </c>
      <c r="B952" s="399" t="s">
        <v>1025</v>
      </c>
      <c r="C952" s="399" t="s">
        <v>1764</v>
      </c>
      <c r="D952" s="399" t="s">
        <v>1468</v>
      </c>
      <c r="E952" s="372">
        <v>1195000</v>
      </c>
      <c r="F952" s="402">
        <v>1195000</v>
      </c>
      <c r="G952" s="400">
        <f t="shared" si="14"/>
        <v>100</v>
      </c>
    </row>
    <row r="953" spans="1:7">
      <c r="A953" s="54" t="s">
        <v>1504</v>
      </c>
      <c r="B953" s="399" t="s">
        <v>1025</v>
      </c>
      <c r="C953" s="399" t="s">
        <v>1505</v>
      </c>
      <c r="D953" s="399" t="s">
        <v>1468</v>
      </c>
      <c r="E953" s="372">
        <v>1195000</v>
      </c>
      <c r="F953" s="402">
        <v>1195000</v>
      </c>
      <c r="G953" s="400">
        <f t="shared" si="14"/>
        <v>100</v>
      </c>
    </row>
    <row r="954" spans="1:7">
      <c r="A954" s="54" t="s">
        <v>293</v>
      </c>
      <c r="B954" s="399" t="s">
        <v>1025</v>
      </c>
      <c r="C954" s="399" t="s">
        <v>1505</v>
      </c>
      <c r="D954" s="399" t="s">
        <v>1370</v>
      </c>
      <c r="E954" s="372">
        <v>1195000</v>
      </c>
      <c r="F954" s="402">
        <v>1195000</v>
      </c>
      <c r="G954" s="400">
        <f t="shared" si="14"/>
        <v>100</v>
      </c>
    </row>
    <row r="955" spans="1:7">
      <c r="A955" s="54" t="s">
        <v>250</v>
      </c>
      <c r="B955" s="399" t="s">
        <v>1025</v>
      </c>
      <c r="C955" s="399" t="s">
        <v>1505</v>
      </c>
      <c r="D955" s="399" t="s">
        <v>480</v>
      </c>
      <c r="E955" s="372">
        <v>1195000</v>
      </c>
      <c r="F955" s="402">
        <v>1195000</v>
      </c>
      <c r="G955" s="400">
        <f t="shared" si="14"/>
        <v>100</v>
      </c>
    </row>
    <row r="956" spans="1:7" ht="76.5">
      <c r="A956" s="54" t="s">
        <v>1928</v>
      </c>
      <c r="B956" s="399" t="s">
        <v>1929</v>
      </c>
      <c r="C956" s="399" t="s">
        <v>1468</v>
      </c>
      <c r="D956" s="399" t="s">
        <v>1468</v>
      </c>
      <c r="E956" s="372">
        <v>90000</v>
      </c>
      <c r="F956" s="402">
        <v>89950</v>
      </c>
      <c r="G956" s="400">
        <f t="shared" si="14"/>
        <v>99.944444444444443</v>
      </c>
    </row>
    <row r="957" spans="1:7" s="124" customFormat="1" ht="25.5">
      <c r="A957" s="9" t="s">
        <v>1763</v>
      </c>
      <c r="B957" s="403" t="s">
        <v>1929</v>
      </c>
      <c r="C957" s="403" t="s">
        <v>1764</v>
      </c>
      <c r="D957" s="403" t="s">
        <v>1468</v>
      </c>
      <c r="E957" s="370">
        <v>90000</v>
      </c>
      <c r="F957" s="401">
        <v>89950</v>
      </c>
      <c r="G957" s="404">
        <f t="shared" si="14"/>
        <v>99.944444444444443</v>
      </c>
    </row>
    <row r="958" spans="1:7">
      <c r="A958" s="54" t="s">
        <v>1504</v>
      </c>
      <c r="B958" s="399" t="s">
        <v>1929</v>
      </c>
      <c r="C958" s="399" t="s">
        <v>1505</v>
      </c>
      <c r="D958" s="399" t="s">
        <v>1468</v>
      </c>
      <c r="E958" s="372">
        <v>90000</v>
      </c>
      <c r="F958" s="402">
        <v>89950</v>
      </c>
      <c r="G958" s="400">
        <f t="shared" si="14"/>
        <v>99.944444444444443</v>
      </c>
    </row>
    <row r="959" spans="1:7">
      <c r="A959" s="54" t="s">
        <v>293</v>
      </c>
      <c r="B959" s="399" t="s">
        <v>1929</v>
      </c>
      <c r="C959" s="399" t="s">
        <v>1505</v>
      </c>
      <c r="D959" s="399" t="s">
        <v>1370</v>
      </c>
      <c r="E959" s="372">
        <v>90000</v>
      </c>
      <c r="F959" s="402">
        <v>89950</v>
      </c>
      <c r="G959" s="400">
        <f t="shared" si="14"/>
        <v>99.944444444444443</v>
      </c>
    </row>
    <row r="960" spans="1:7">
      <c r="A960" s="54" t="s">
        <v>250</v>
      </c>
      <c r="B960" s="399" t="s">
        <v>1929</v>
      </c>
      <c r="C960" s="399" t="s">
        <v>1505</v>
      </c>
      <c r="D960" s="399" t="s">
        <v>480</v>
      </c>
      <c r="E960" s="372">
        <v>90000</v>
      </c>
      <c r="F960" s="402">
        <v>89950</v>
      </c>
      <c r="G960" s="400">
        <f t="shared" si="14"/>
        <v>99.944444444444443</v>
      </c>
    </row>
    <row r="961" spans="1:7" ht="89.25">
      <c r="A961" s="54" t="s">
        <v>1930</v>
      </c>
      <c r="B961" s="399" t="s">
        <v>1931</v>
      </c>
      <c r="C961" s="399" t="s">
        <v>1468</v>
      </c>
      <c r="D961" s="399" t="s">
        <v>1468</v>
      </c>
      <c r="E961" s="372">
        <v>2239446</v>
      </c>
      <c r="F961" s="402">
        <v>2239446</v>
      </c>
      <c r="G961" s="400">
        <f t="shared" si="14"/>
        <v>100</v>
      </c>
    </row>
    <row r="962" spans="1:7" ht="25.5">
      <c r="A962" s="54" t="s">
        <v>1763</v>
      </c>
      <c r="B962" s="399" t="s">
        <v>1931</v>
      </c>
      <c r="C962" s="399" t="s">
        <v>1764</v>
      </c>
      <c r="D962" s="399" t="s">
        <v>1468</v>
      </c>
      <c r="E962" s="372">
        <v>2239446</v>
      </c>
      <c r="F962" s="402">
        <v>2239446</v>
      </c>
      <c r="G962" s="400">
        <f t="shared" si="14"/>
        <v>100</v>
      </c>
    </row>
    <row r="963" spans="1:7">
      <c r="A963" s="54" t="s">
        <v>1504</v>
      </c>
      <c r="B963" s="399" t="s">
        <v>1931</v>
      </c>
      <c r="C963" s="399" t="s">
        <v>1505</v>
      </c>
      <c r="D963" s="399" t="s">
        <v>1468</v>
      </c>
      <c r="E963" s="372">
        <v>2239446</v>
      </c>
      <c r="F963" s="402">
        <v>2239446</v>
      </c>
      <c r="G963" s="400">
        <f t="shared" si="14"/>
        <v>100</v>
      </c>
    </row>
    <row r="964" spans="1:7">
      <c r="A964" s="54" t="s">
        <v>293</v>
      </c>
      <c r="B964" s="399" t="s">
        <v>1931</v>
      </c>
      <c r="C964" s="399" t="s">
        <v>1505</v>
      </c>
      <c r="D964" s="399" t="s">
        <v>1370</v>
      </c>
      <c r="E964" s="372">
        <v>2239446</v>
      </c>
      <c r="F964" s="402">
        <v>2239446</v>
      </c>
      <c r="G964" s="400">
        <f t="shared" si="14"/>
        <v>100</v>
      </c>
    </row>
    <row r="965" spans="1:7">
      <c r="A965" s="54" t="s">
        <v>250</v>
      </c>
      <c r="B965" s="399" t="s">
        <v>1931</v>
      </c>
      <c r="C965" s="399" t="s">
        <v>1505</v>
      </c>
      <c r="D965" s="399" t="s">
        <v>480</v>
      </c>
      <c r="E965" s="372">
        <v>2239446</v>
      </c>
      <c r="F965" s="402">
        <v>2239446</v>
      </c>
      <c r="G965" s="400">
        <f t="shared" si="14"/>
        <v>100</v>
      </c>
    </row>
    <row r="966" spans="1:7" ht="76.5">
      <c r="A966" s="54" t="s">
        <v>1932</v>
      </c>
      <c r="B966" s="399" t="s">
        <v>1933</v>
      </c>
      <c r="C966" s="399" t="s">
        <v>1468</v>
      </c>
      <c r="D966" s="399" t="s">
        <v>1468</v>
      </c>
      <c r="E966" s="372">
        <v>100000</v>
      </c>
      <c r="F966" s="402">
        <v>100000</v>
      </c>
      <c r="G966" s="400">
        <f t="shared" si="14"/>
        <v>100</v>
      </c>
    </row>
    <row r="967" spans="1:7" ht="25.5">
      <c r="A967" s="54" t="s">
        <v>1763</v>
      </c>
      <c r="B967" s="399" t="s">
        <v>1933</v>
      </c>
      <c r="C967" s="399" t="s">
        <v>1764</v>
      </c>
      <c r="D967" s="399" t="s">
        <v>1468</v>
      </c>
      <c r="E967" s="372">
        <v>100000</v>
      </c>
      <c r="F967" s="402">
        <v>100000</v>
      </c>
      <c r="G967" s="400">
        <f t="shared" si="14"/>
        <v>100</v>
      </c>
    </row>
    <row r="968" spans="1:7">
      <c r="A968" s="54" t="s">
        <v>1504</v>
      </c>
      <c r="B968" s="399" t="s">
        <v>1933</v>
      </c>
      <c r="C968" s="399" t="s">
        <v>1505</v>
      </c>
      <c r="D968" s="399" t="s">
        <v>1468</v>
      </c>
      <c r="E968" s="372">
        <v>100000</v>
      </c>
      <c r="F968" s="402">
        <v>100000</v>
      </c>
      <c r="G968" s="400">
        <f t="shared" si="14"/>
        <v>100</v>
      </c>
    </row>
    <row r="969" spans="1:7">
      <c r="A969" s="54" t="s">
        <v>293</v>
      </c>
      <c r="B969" s="399" t="s">
        <v>1933</v>
      </c>
      <c r="C969" s="399" t="s">
        <v>1505</v>
      </c>
      <c r="D969" s="399" t="s">
        <v>1370</v>
      </c>
      <c r="E969" s="372">
        <v>100000</v>
      </c>
      <c r="F969" s="402">
        <v>100000</v>
      </c>
      <c r="G969" s="400">
        <f t="shared" ref="G969:G1032" si="15">F969/E969*100</f>
        <v>100</v>
      </c>
    </row>
    <row r="970" spans="1:7">
      <c r="A970" s="54" t="s">
        <v>250</v>
      </c>
      <c r="B970" s="399" t="s">
        <v>1933</v>
      </c>
      <c r="C970" s="399" t="s">
        <v>1505</v>
      </c>
      <c r="D970" s="399" t="s">
        <v>480</v>
      </c>
      <c r="E970" s="372">
        <v>100000</v>
      </c>
      <c r="F970" s="402">
        <v>100000</v>
      </c>
      <c r="G970" s="400">
        <f t="shared" si="15"/>
        <v>100</v>
      </c>
    </row>
    <row r="971" spans="1:7" ht="102">
      <c r="A971" s="54" t="s">
        <v>1920</v>
      </c>
      <c r="B971" s="399" t="s">
        <v>1921</v>
      </c>
      <c r="C971" s="399" t="s">
        <v>1468</v>
      </c>
      <c r="D971" s="399" t="s">
        <v>1468</v>
      </c>
      <c r="E971" s="372">
        <v>6800</v>
      </c>
      <c r="F971" s="402">
        <v>6800</v>
      </c>
      <c r="G971" s="400">
        <f t="shared" si="15"/>
        <v>100</v>
      </c>
    </row>
    <row r="972" spans="1:7" ht="25.5">
      <c r="A972" s="54" t="s">
        <v>1763</v>
      </c>
      <c r="B972" s="399" t="s">
        <v>1921</v>
      </c>
      <c r="C972" s="399" t="s">
        <v>1764</v>
      </c>
      <c r="D972" s="399" t="s">
        <v>1468</v>
      </c>
      <c r="E972" s="372">
        <v>6800</v>
      </c>
      <c r="F972" s="402">
        <v>6800</v>
      </c>
      <c r="G972" s="400">
        <f t="shared" si="15"/>
        <v>100</v>
      </c>
    </row>
    <row r="973" spans="1:7">
      <c r="A973" s="54" t="s">
        <v>1504</v>
      </c>
      <c r="B973" s="399" t="s">
        <v>1921</v>
      </c>
      <c r="C973" s="399" t="s">
        <v>1505</v>
      </c>
      <c r="D973" s="399" t="s">
        <v>1468</v>
      </c>
      <c r="E973" s="372">
        <v>6800</v>
      </c>
      <c r="F973" s="402">
        <v>6800</v>
      </c>
      <c r="G973" s="400">
        <f t="shared" si="15"/>
        <v>100</v>
      </c>
    </row>
    <row r="974" spans="1:7">
      <c r="A974" s="54" t="s">
        <v>173</v>
      </c>
      <c r="B974" s="399" t="s">
        <v>1921</v>
      </c>
      <c r="C974" s="399" t="s">
        <v>1505</v>
      </c>
      <c r="D974" s="399" t="s">
        <v>1364</v>
      </c>
      <c r="E974" s="372">
        <v>6800</v>
      </c>
      <c r="F974" s="402">
        <v>6800</v>
      </c>
      <c r="G974" s="400">
        <f t="shared" si="15"/>
        <v>100</v>
      </c>
    </row>
    <row r="975" spans="1:7">
      <c r="A975" s="54" t="s">
        <v>1240</v>
      </c>
      <c r="B975" s="399" t="s">
        <v>1921</v>
      </c>
      <c r="C975" s="399" t="s">
        <v>1505</v>
      </c>
      <c r="D975" s="399" t="s">
        <v>1241</v>
      </c>
      <c r="E975" s="372">
        <v>6800</v>
      </c>
      <c r="F975" s="402">
        <v>6800</v>
      </c>
      <c r="G975" s="400">
        <f t="shared" si="15"/>
        <v>100</v>
      </c>
    </row>
    <row r="976" spans="1:7" ht="102">
      <c r="A976" s="54" t="s">
        <v>1922</v>
      </c>
      <c r="B976" s="399" t="s">
        <v>1923</v>
      </c>
      <c r="C976" s="399" t="s">
        <v>1468</v>
      </c>
      <c r="D976" s="399" t="s">
        <v>1468</v>
      </c>
      <c r="E976" s="372">
        <v>12200</v>
      </c>
      <c r="F976" s="402">
        <v>12200</v>
      </c>
      <c r="G976" s="400">
        <f t="shared" si="15"/>
        <v>100</v>
      </c>
    </row>
    <row r="977" spans="1:7" ht="25.5">
      <c r="A977" s="54" t="s">
        <v>1763</v>
      </c>
      <c r="B977" s="399" t="s">
        <v>1923</v>
      </c>
      <c r="C977" s="399" t="s">
        <v>1764</v>
      </c>
      <c r="D977" s="399" t="s">
        <v>1468</v>
      </c>
      <c r="E977" s="372">
        <v>12200</v>
      </c>
      <c r="F977" s="402">
        <v>12200</v>
      </c>
      <c r="G977" s="400">
        <f t="shared" si="15"/>
        <v>100</v>
      </c>
    </row>
    <row r="978" spans="1:7">
      <c r="A978" s="54" t="s">
        <v>1504</v>
      </c>
      <c r="B978" s="399" t="s">
        <v>1923</v>
      </c>
      <c r="C978" s="399" t="s">
        <v>1505</v>
      </c>
      <c r="D978" s="399" t="s">
        <v>1468</v>
      </c>
      <c r="E978" s="372">
        <v>12200</v>
      </c>
      <c r="F978" s="402">
        <v>12200</v>
      </c>
      <c r="G978" s="400">
        <f t="shared" si="15"/>
        <v>100</v>
      </c>
    </row>
    <row r="979" spans="1:7">
      <c r="A979" s="54" t="s">
        <v>173</v>
      </c>
      <c r="B979" s="399" t="s">
        <v>1923</v>
      </c>
      <c r="C979" s="399" t="s">
        <v>1505</v>
      </c>
      <c r="D979" s="399" t="s">
        <v>1364</v>
      </c>
      <c r="E979" s="372">
        <v>10000</v>
      </c>
      <c r="F979" s="402">
        <v>10000</v>
      </c>
      <c r="G979" s="400">
        <f t="shared" si="15"/>
        <v>100</v>
      </c>
    </row>
    <row r="980" spans="1:7">
      <c r="A980" s="54" t="s">
        <v>1240</v>
      </c>
      <c r="B980" s="399" t="s">
        <v>1923</v>
      </c>
      <c r="C980" s="399" t="s">
        <v>1505</v>
      </c>
      <c r="D980" s="399" t="s">
        <v>1241</v>
      </c>
      <c r="E980" s="372">
        <v>10000</v>
      </c>
      <c r="F980" s="402">
        <v>10000</v>
      </c>
      <c r="G980" s="400">
        <f t="shared" si="15"/>
        <v>100</v>
      </c>
    </row>
    <row r="981" spans="1:7">
      <c r="A981" s="54" t="s">
        <v>293</v>
      </c>
      <c r="B981" s="399" t="s">
        <v>1923</v>
      </c>
      <c r="C981" s="399" t="s">
        <v>1505</v>
      </c>
      <c r="D981" s="399" t="s">
        <v>1370</v>
      </c>
      <c r="E981" s="372">
        <v>2200</v>
      </c>
      <c r="F981" s="402">
        <v>2200</v>
      </c>
      <c r="G981" s="400">
        <f t="shared" si="15"/>
        <v>100</v>
      </c>
    </row>
    <row r="982" spans="1:7">
      <c r="A982" s="54" t="s">
        <v>250</v>
      </c>
      <c r="B982" s="399" t="s">
        <v>1923</v>
      </c>
      <c r="C982" s="399" t="s">
        <v>1505</v>
      </c>
      <c r="D982" s="399" t="s">
        <v>480</v>
      </c>
      <c r="E982" s="372">
        <v>2200</v>
      </c>
      <c r="F982" s="402">
        <v>2200</v>
      </c>
      <c r="G982" s="400">
        <f t="shared" si="15"/>
        <v>100</v>
      </c>
    </row>
    <row r="983" spans="1:7" ht="63.75">
      <c r="A983" s="54" t="s">
        <v>2002</v>
      </c>
      <c r="B983" s="399" t="s">
        <v>2007</v>
      </c>
      <c r="C983" s="399" t="s">
        <v>1468</v>
      </c>
      <c r="D983" s="399" t="s">
        <v>1468</v>
      </c>
      <c r="E983" s="372">
        <v>700000</v>
      </c>
      <c r="F983" s="402">
        <v>700000</v>
      </c>
      <c r="G983" s="400">
        <f t="shared" si="15"/>
        <v>100</v>
      </c>
    </row>
    <row r="984" spans="1:7" ht="25.5">
      <c r="A984" s="54" t="s">
        <v>1763</v>
      </c>
      <c r="B984" s="399" t="s">
        <v>2007</v>
      </c>
      <c r="C984" s="399" t="s">
        <v>1764</v>
      </c>
      <c r="D984" s="399" t="s">
        <v>1468</v>
      </c>
      <c r="E984" s="372">
        <v>700000</v>
      </c>
      <c r="F984" s="402">
        <v>700000</v>
      </c>
      <c r="G984" s="400">
        <f t="shared" si="15"/>
        <v>100</v>
      </c>
    </row>
    <row r="985" spans="1:7">
      <c r="A985" s="54" t="s">
        <v>1504</v>
      </c>
      <c r="B985" s="399" t="s">
        <v>2007</v>
      </c>
      <c r="C985" s="399" t="s">
        <v>1505</v>
      </c>
      <c r="D985" s="399" t="s">
        <v>1468</v>
      </c>
      <c r="E985" s="372">
        <v>700000</v>
      </c>
      <c r="F985" s="402">
        <v>700000</v>
      </c>
      <c r="G985" s="400">
        <f t="shared" si="15"/>
        <v>100</v>
      </c>
    </row>
    <row r="986" spans="1:7">
      <c r="A986" s="54" t="s">
        <v>293</v>
      </c>
      <c r="B986" s="399" t="s">
        <v>2007</v>
      </c>
      <c r="C986" s="399" t="s">
        <v>1505</v>
      </c>
      <c r="D986" s="399" t="s">
        <v>1370</v>
      </c>
      <c r="E986" s="372">
        <v>700000</v>
      </c>
      <c r="F986" s="402">
        <v>700000</v>
      </c>
      <c r="G986" s="400">
        <f t="shared" si="15"/>
        <v>100</v>
      </c>
    </row>
    <row r="987" spans="1:7">
      <c r="A987" s="54" t="s">
        <v>250</v>
      </c>
      <c r="B987" s="399" t="s">
        <v>2007</v>
      </c>
      <c r="C987" s="399" t="s">
        <v>1505</v>
      </c>
      <c r="D987" s="399" t="s">
        <v>480</v>
      </c>
      <c r="E987" s="372">
        <v>700000</v>
      </c>
      <c r="F987" s="402">
        <v>700000</v>
      </c>
      <c r="G987" s="400">
        <f t="shared" si="15"/>
        <v>100</v>
      </c>
    </row>
    <row r="988" spans="1:7" ht="63.75">
      <c r="A988" s="54" t="s">
        <v>606</v>
      </c>
      <c r="B988" s="399" t="s">
        <v>859</v>
      </c>
      <c r="C988" s="399" t="s">
        <v>1468</v>
      </c>
      <c r="D988" s="399" t="s">
        <v>1468</v>
      </c>
      <c r="E988" s="372">
        <v>786605</v>
      </c>
      <c r="F988" s="400">
        <v>778505</v>
      </c>
      <c r="G988" s="400">
        <f t="shared" si="15"/>
        <v>98.97025826177051</v>
      </c>
    </row>
    <row r="989" spans="1:7" ht="25.5">
      <c r="A989" s="54" t="s">
        <v>1763</v>
      </c>
      <c r="B989" s="399" t="s">
        <v>859</v>
      </c>
      <c r="C989" s="399" t="s">
        <v>1764</v>
      </c>
      <c r="D989" s="399" t="s">
        <v>1468</v>
      </c>
      <c r="E989" s="372">
        <v>786605</v>
      </c>
      <c r="F989" s="400">
        <v>778505</v>
      </c>
      <c r="G989" s="400">
        <f t="shared" si="15"/>
        <v>98.97025826177051</v>
      </c>
    </row>
    <row r="990" spans="1:7">
      <c r="A990" s="54" t="s">
        <v>1504</v>
      </c>
      <c r="B990" s="399" t="s">
        <v>859</v>
      </c>
      <c r="C990" s="399" t="s">
        <v>1505</v>
      </c>
      <c r="D990" s="399" t="s">
        <v>1468</v>
      </c>
      <c r="E990" s="372">
        <v>786605</v>
      </c>
      <c r="F990" s="400">
        <v>778505</v>
      </c>
      <c r="G990" s="400">
        <f t="shared" si="15"/>
        <v>98.97025826177051</v>
      </c>
    </row>
    <row r="991" spans="1:7">
      <c r="A991" s="54" t="s">
        <v>173</v>
      </c>
      <c r="B991" s="399" t="s">
        <v>859</v>
      </c>
      <c r="C991" s="399" t="s">
        <v>1505</v>
      </c>
      <c r="D991" s="399" t="s">
        <v>1364</v>
      </c>
      <c r="E991" s="372">
        <v>134400</v>
      </c>
      <c r="F991" s="400">
        <v>126300</v>
      </c>
      <c r="G991" s="400">
        <f t="shared" si="15"/>
        <v>93.973214285714292</v>
      </c>
    </row>
    <row r="992" spans="1:7">
      <c r="A992" s="54" t="s">
        <v>1240</v>
      </c>
      <c r="B992" s="399" t="s">
        <v>859</v>
      </c>
      <c r="C992" s="399" t="s">
        <v>1505</v>
      </c>
      <c r="D992" s="399" t="s">
        <v>1241</v>
      </c>
      <c r="E992" s="372">
        <v>134400</v>
      </c>
      <c r="F992" s="400">
        <v>126300</v>
      </c>
      <c r="G992" s="400">
        <f t="shared" si="15"/>
        <v>93.973214285714292</v>
      </c>
    </row>
    <row r="993" spans="1:7">
      <c r="A993" s="54" t="s">
        <v>293</v>
      </c>
      <c r="B993" s="399" t="s">
        <v>859</v>
      </c>
      <c r="C993" s="399" t="s">
        <v>1505</v>
      </c>
      <c r="D993" s="399" t="s">
        <v>1370</v>
      </c>
      <c r="E993" s="372">
        <v>652205</v>
      </c>
      <c r="F993" s="402">
        <v>652205</v>
      </c>
      <c r="G993" s="400">
        <f t="shared" si="15"/>
        <v>100</v>
      </c>
    </row>
    <row r="994" spans="1:7">
      <c r="A994" s="54" t="s">
        <v>250</v>
      </c>
      <c r="B994" s="399" t="s">
        <v>859</v>
      </c>
      <c r="C994" s="399" t="s">
        <v>1505</v>
      </c>
      <c r="D994" s="399" t="s">
        <v>480</v>
      </c>
      <c r="E994" s="372">
        <v>652205</v>
      </c>
      <c r="F994" s="402">
        <v>652205</v>
      </c>
      <c r="G994" s="400">
        <f t="shared" si="15"/>
        <v>100</v>
      </c>
    </row>
    <row r="995" spans="1:7">
      <c r="A995" s="54" t="s">
        <v>559</v>
      </c>
      <c r="B995" s="399" t="s">
        <v>1124</v>
      </c>
      <c r="C995" s="399" t="s">
        <v>1468</v>
      </c>
      <c r="D995" s="399" t="s">
        <v>1468</v>
      </c>
      <c r="E995" s="372">
        <v>15747664.029999999</v>
      </c>
      <c r="F995" s="400">
        <v>15675760.85</v>
      </c>
      <c r="G995" s="400">
        <f t="shared" si="15"/>
        <v>99.543404152749133</v>
      </c>
    </row>
    <row r="996" spans="1:7" ht="25.5">
      <c r="A996" s="54" t="s">
        <v>560</v>
      </c>
      <c r="B996" s="399" t="s">
        <v>1125</v>
      </c>
      <c r="C996" s="399" t="s">
        <v>1468</v>
      </c>
      <c r="D996" s="399" t="s">
        <v>1468</v>
      </c>
      <c r="E996" s="372">
        <v>2710503.85</v>
      </c>
      <c r="F996" s="400">
        <v>2710427.85</v>
      </c>
      <c r="G996" s="400">
        <f t="shared" si="15"/>
        <v>99.997196093265089</v>
      </c>
    </row>
    <row r="997" spans="1:7" ht="51">
      <c r="A997" s="54" t="s">
        <v>1085</v>
      </c>
      <c r="B997" s="399" t="s">
        <v>1086</v>
      </c>
      <c r="C997" s="399" t="s">
        <v>1468</v>
      </c>
      <c r="D997" s="399" t="s">
        <v>1468</v>
      </c>
      <c r="E997" s="372">
        <v>354260</v>
      </c>
      <c r="F997" s="400">
        <v>354184</v>
      </c>
      <c r="G997" s="400">
        <f t="shared" si="15"/>
        <v>99.978546830011865</v>
      </c>
    </row>
    <row r="998" spans="1:7" ht="25.5">
      <c r="A998" s="54" t="s">
        <v>1763</v>
      </c>
      <c r="B998" s="399" t="s">
        <v>1086</v>
      </c>
      <c r="C998" s="399" t="s">
        <v>1764</v>
      </c>
      <c r="D998" s="399" t="s">
        <v>1468</v>
      </c>
      <c r="E998" s="372">
        <v>354260</v>
      </c>
      <c r="F998" s="400">
        <v>354184</v>
      </c>
      <c r="G998" s="400">
        <f t="shared" si="15"/>
        <v>99.978546830011865</v>
      </c>
    </row>
    <row r="999" spans="1:7">
      <c r="A999" s="54" t="s">
        <v>1504</v>
      </c>
      <c r="B999" s="399" t="s">
        <v>1086</v>
      </c>
      <c r="C999" s="399" t="s">
        <v>1505</v>
      </c>
      <c r="D999" s="399" t="s">
        <v>1468</v>
      </c>
      <c r="E999" s="372">
        <v>354260</v>
      </c>
      <c r="F999" s="400">
        <v>354184</v>
      </c>
      <c r="G999" s="400">
        <f t="shared" si="15"/>
        <v>99.978546830011865</v>
      </c>
    </row>
    <row r="1000" spans="1:7">
      <c r="A1000" s="54" t="s">
        <v>173</v>
      </c>
      <c r="B1000" s="399" t="s">
        <v>1086</v>
      </c>
      <c r="C1000" s="399" t="s">
        <v>1505</v>
      </c>
      <c r="D1000" s="399" t="s">
        <v>1364</v>
      </c>
      <c r="E1000" s="372">
        <v>354260</v>
      </c>
      <c r="F1000" s="400">
        <v>354184</v>
      </c>
      <c r="G1000" s="400">
        <f t="shared" si="15"/>
        <v>99.978546830011865</v>
      </c>
    </row>
    <row r="1001" spans="1:7">
      <c r="A1001" s="54" t="s">
        <v>1238</v>
      </c>
      <c r="B1001" s="399" t="s">
        <v>1086</v>
      </c>
      <c r="C1001" s="399" t="s">
        <v>1505</v>
      </c>
      <c r="D1001" s="399" t="s">
        <v>453</v>
      </c>
      <c r="E1001" s="372">
        <v>354260</v>
      </c>
      <c r="F1001" s="400">
        <v>354184</v>
      </c>
      <c r="G1001" s="400">
        <f t="shared" si="15"/>
        <v>99.978546830011865</v>
      </c>
    </row>
    <row r="1002" spans="1:7" ht="76.5">
      <c r="A1002" s="54" t="s">
        <v>456</v>
      </c>
      <c r="B1002" s="399" t="s">
        <v>810</v>
      </c>
      <c r="C1002" s="399" t="s">
        <v>1468</v>
      </c>
      <c r="D1002" s="399" t="s">
        <v>1468</v>
      </c>
      <c r="E1002" s="372">
        <v>212480</v>
      </c>
      <c r="F1002" s="402">
        <v>212480</v>
      </c>
      <c r="G1002" s="400">
        <f t="shared" si="15"/>
        <v>100</v>
      </c>
    </row>
    <row r="1003" spans="1:7" ht="25.5">
      <c r="A1003" s="54" t="s">
        <v>1763</v>
      </c>
      <c r="B1003" s="399" t="s">
        <v>810</v>
      </c>
      <c r="C1003" s="399" t="s">
        <v>1764</v>
      </c>
      <c r="D1003" s="399" t="s">
        <v>1468</v>
      </c>
      <c r="E1003" s="372">
        <v>212480</v>
      </c>
      <c r="F1003" s="402">
        <v>212480</v>
      </c>
      <c r="G1003" s="400">
        <f t="shared" si="15"/>
        <v>100</v>
      </c>
    </row>
    <row r="1004" spans="1:7">
      <c r="A1004" s="54" t="s">
        <v>1504</v>
      </c>
      <c r="B1004" s="399" t="s">
        <v>810</v>
      </c>
      <c r="C1004" s="399" t="s">
        <v>1505</v>
      </c>
      <c r="D1004" s="399" t="s">
        <v>1468</v>
      </c>
      <c r="E1004" s="372">
        <v>212480</v>
      </c>
      <c r="F1004" s="402">
        <v>212480</v>
      </c>
      <c r="G1004" s="400">
        <f t="shared" si="15"/>
        <v>100</v>
      </c>
    </row>
    <row r="1005" spans="1:7">
      <c r="A1005" s="54" t="s">
        <v>173</v>
      </c>
      <c r="B1005" s="399" t="s">
        <v>810</v>
      </c>
      <c r="C1005" s="399" t="s">
        <v>1505</v>
      </c>
      <c r="D1005" s="399" t="s">
        <v>1364</v>
      </c>
      <c r="E1005" s="372">
        <v>212480</v>
      </c>
      <c r="F1005" s="402">
        <v>212480</v>
      </c>
      <c r="G1005" s="400">
        <f t="shared" si="15"/>
        <v>100</v>
      </c>
    </row>
    <row r="1006" spans="1:7">
      <c r="A1006" s="54" t="s">
        <v>1238</v>
      </c>
      <c r="B1006" s="399" t="s">
        <v>810</v>
      </c>
      <c r="C1006" s="399" t="s">
        <v>1505</v>
      </c>
      <c r="D1006" s="399" t="s">
        <v>453</v>
      </c>
      <c r="E1006" s="372">
        <v>212480</v>
      </c>
      <c r="F1006" s="402">
        <v>212480</v>
      </c>
      <c r="G1006" s="400">
        <f t="shared" si="15"/>
        <v>100</v>
      </c>
    </row>
    <row r="1007" spans="1:7" ht="76.5">
      <c r="A1007" s="54" t="s">
        <v>525</v>
      </c>
      <c r="B1007" s="399" t="s">
        <v>927</v>
      </c>
      <c r="C1007" s="399" t="s">
        <v>1468</v>
      </c>
      <c r="D1007" s="399" t="s">
        <v>1468</v>
      </c>
      <c r="E1007" s="372">
        <v>2143763.85</v>
      </c>
      <c r="F1007" s="402">
        <v>2143763.85</v>
      </c>
      <c r="G1007" s="400">
        <f t="shared" si="15"/>
        <v>100</v>
      </c>
    </row>
    <row r="1008" spans="1:7">
      <c r="A1008" s="54" t="s">
        <v>1765</v>
      </c>
      <c r="B1008" s="399" t="s">
        <v>927</v>
      </c>
      <c r="C1008" s="399" t="s">
        <v>1766</v>
      </c>
      <c r="D1008" s="399" t="s">
        <v>1468</v>
      </c>
      <c r="E1008" s="372">
        <v>2143763.85</v>
      </c>
      <c r="F1008" s="402">
        <v>2143763.85</v>
      </c>
      <c r="G1008" s="400">
        <f t="shared" si="15"/>
        <v>100</v>
      </c>
    </row>
    <row r="1009" spans="1:7">
      <c r="A1009" s="54" t="s">
        <v>94</v>
      </c>
      <c r="B1009" s="399" t="s">
        <v>927</v>
      </c>
      <c r="C1009" s="399" t="s">
        <v>519</v>
      </c>
      <c r="D1009" s="399" t="s">
        <v>1468</v>
      </c>
      <c r="E1009" s="372">
        <v>2143763.85</v>
      </c>
      <c r="F1009" s="402">
        <v>2143763.85</v>
      </c>
      <c r="G1009" s="400">
        <f t="shared" si="15"/>
        <v>100</v>
      </c>
    </row>
    <row r="1010" spans="1:7">
      <c r="A1010" s="54" t="s">
        <v>173</v>
      </c>
      <c r="B1010" s="399" t="s">
        <v>927</v>
      </c>
      <c r="C1010" s="399" t="s">
        <v>519</v>
      </c>
      <c r="D1010" s="399" t="s">
        <v>1364</v>
      </c>
      <c r="E1010" s="372">
        <v>2143763.85</v>
      </c>
      <c r="F1010" s="402">
        <v>2143763.85</v>
      </c>
      <c r="G1010" s="400">
        <f t="shared" si="15"/>
        <v>100</v>
      </c>
    </row>
    <row r="1011" spans="1:7">
      <c r="A1011" s="54" t="s">
        <v>1238</v>
      </c>
      <c r="B1011" s="399" t="s">
        <v>927</v>
      </c>
      <c r="C1011" s="399" t="s">
        <v>519</v>
      </c>
      <c r="D1011" s="399" t="s">
        <v>453</v>
      </c>
      <c r="E1011" s="372">
        <v>2143763.85</v>
      </c>
      <c r="F1011" s="402">
        <v>2143763.85</v>
      </c>
      <c r="G1011" s="400">
        <f t="shared" si="15"/>
        <v>100</v>
      </c>
    </row>
    <row r="1012" spans="1:7" ht="25.5">
      <c r="A1012" s="54" t="s">
        <v>562</v>
      </c>
      <c r="B1012" s="399" t="s">
        <v>1246</v>
      </c>
      <c r="C1012" s="399" t="s">
        <v>1468</v>
      </c>
      <c r="D1012" s="399" t="s">
        <v>1468</v>
      </c>
      <c r="E1012" s="372">
        <v>389974.69</v>
      </c>
      <c r="F1012" s="400">
        <v>365782.68</v>
      </c>
      <c r="G1012" s="400">
        <f t="shared" si="15"/>
        <v>93.796517922740065</v>
      </c>
    </row>
    <row r="1013" spans="1:7" ht="63.75">
      <c r="A1013" s="54" t="s">
        <v>1959</v>
      </c>
      <c r="B1013" s="399" t="s">
        <v>1960</v>
      </c>
      <c r="C1013" s="399" t="s">
        <v>1468</v>
      </c>
      <c r="D1013" s="399" t="s">
        <v>1468</v>
      </c>
      <c r="E1013" s="372">
        <v>75675.679999999993</v>
      </c>
      <c r="F1013" s="400">
        <v>75675.679999999993</v>
      </c>
      <c r="G1013" s="400">
        <f t="shared" si="15"/>
        <v>100</v>
      </c>
    </row>
    <row r="1014" spans="1:7" ht="25.5">
      <c r="A1014" s="54" t="s">
        <v>1763</v>
      </c>
      <c r="B1014" s="399" t="s">
        <v>1960</v>
      </c>
      <c r="C1014" s="399" t="s">
        <v>1764</v>
      </c>
      <c r="D1014" s="399" t="s">
        <v>1468</v>
      </c>
      <c r="E1014" s="372">
        <v>75675.679999999993</v>
      </c>
      <c r="F1014" s="400">
        <v>75675.679999999993</v>
      </c>
      <c r="G1014" s="400">
        <f t="shared" si="15"/>
        <v>100</v>
      </c>
    </row>
    <row r="1015" spans="1:7">
      <c r="A1015" s="54" t="s">
        <v>1504</v>
      </c>
      <c r="B1015" s="399" t="s">
        <v>1960</v>
      </c>
      <c r="C1015" s="399" t="s">
        <v>1505</v>
      </c>
      <c r="D1015" s="399" t="s">
        <v>1468</v>
      </c>
      <c r="E1015" s="372">
        <v>75675.679999999993</v>
      </c>
      <c r="F1015" s="400">
        <v>75675.679999999993</v>
      </c>
      <c r="G1015" s="400">
        <f t="shared" si="15"/>
        <v>100</v>
      </c>
    </row>
    <row r="1016" spans="1:7">
      <c r="A1016" s="54" t="s">
        <v>173</v>
      </c>
      <c r="B1016" s="399" t="s">
        <v>1960</v>
      </c>
      <c r="C1016" s="399" t="s">
        <v>1505</v>
      </c>
      <c r="D1016" s="399" t="s">
        <v>1364</v>
      </c>
      <c r="E1016" s="372">
        <v>75675.679999999993</v>
      </c>
      <c r="F1016" s="400">
        <v>75675.679999999993</v>
      </c>
      <c r="G1016" s="400">
        <f t="shared" si="15"/>
        <v>100</v>
      </c>
    </row>
    <row r="1017" spans="1:7">
      <c r="A1017" s="54" t="s">
        <v>1238</v>
      </c>
      <c r="B1017" s="399" t="s">
        <v>1960</v>
      </c>
      <c r="C1017" s="399" t="s">
        <v>1505</v>
      </c>
      <c r="D1017" s="399" t="s">
        <v>453</v>
      </c>
      <c r="E1017" s="372">
        <v>75675.679999999993</v>
      </c>
      <c r="F1017" s="400">
        <v>75675.679999999993</v>
      </c>
      <c r="G1017" s="400">
        <f t="shared" si="15"/>
        <v>100</v>
      </c>
    </row>
    <row r="1018" spans="1:7" ht="51">
      <c r="A1018" s="54" t="s">
        <v>457</v>
      </c>
      <c r="B1018" s="399" t="s">
        <v>811</v>
      </c>
      <c r="C1018" s="399" t="s">
        <v>1468</v>
      </c>
      <c r="D1018" s="399" t="s">
        <v>1468</v>
      </c>
      <c r="E1018" s="372">
        <v>304299.01</v>
      </c>
      <c r="F1018" s="400">
        <v>280107</v>
      </c>
      <c r="G1018" s="400">
        <f t="shared" si="15"/>
        <v>92.049921555775029</v>
      </c>
    </row>
    <row r="1019" spans="1:7" ht="25.5">
      <c r="A1019" s="54" t="s">
        <v>1763</v>
      </c>
      <c r="B1019" s="399" t="s">
        <v>811</v>
      </c>
      <c r="C1019" s="399" t="s">
        <v>1764</v>
      </c>
      <c r="D1019" s="399" t="s">
        <v>1468</v>
      </c>
      <c r="E1019" s="372">
        <v>304299.01</v>
      </c>
      <c r="F1019" s="400">
        <v>280107</v>
      </c>
      <c r="G1019" s="400">
        <f t="shared" si="15"/>
        <v>92.049921555775029</v>
      </c>
    </row>
    <row r="1020" spans="1:7">
      <c r="A1020" s="54" t="s">
        <v>1504</v>
      </c>
      <c r="B1020" s="399" t="s">
        <v>811</v>
      </c>
      <c r="C1020" s="399" t="s">
        <v>1505</v>
      </c>
      <c r="D1020" s="399" t="s">
        <v>1468</v>
      </c>
      <c r="E1020" s="372">
        <v>304299.01</v>
      </c>
      <c r="F1020" s="400">
        <v>280107</v>
      </c>
      <c r="G1020" s="400">
        <f t="shared" si="15"/>
        <v>92.049921555775029</v>
      </c>
    </row>
    <row r="1021" spans="1:7">
      <c r="A1021" s="54" t="s">
        <v>173</v>
      </c>
      <c r="B1021" s="399" t="s">
        <v>811</v>
      </c>
      <c r="C1021" s="399" t="s">
        <v>1505</v>
      </c>
      <c r="D1021" s="399" t="s">
        <v>1364</v>
      </c>
      <c r="E1021" s="372">
        <v>304299.01</v>
      </c>
      <c r="F1021" s="400">
        <v>280107</v>
      </c>
      <c r="G1021" s="400">
        <f t="shared" si="15"/>
        <v>92.049921555775029</v>
      </c>
    </row>
    <row r="1022" spans="1:7">
      <c r="A1022" s="54" t="s">
        <v>1238</v>
      </c>
      <c r="B1022" s="399" t="s">
        <v>811</v>
      </c>
      <c r="C1022" s="399" t="s">
        <v>1505</v>
      </c>
      <c r="D1022" s="399" t="s">
        <v>453</v>
      </c>
      <c r="E1022" s="372">
        <v>304299.01</v>
      </c>
      <c r="F1022" s="400">
        <v>280107</v>
      </c>
      <c r="G1022" s="400">
        <f t="shared" si="15"/>
        <v>92.049921555775029</v>
      </c>
    </row>
    <row r="1023" spans="1:7" ht="89.25">
      <c r="A1023" s="54" t="s">
        <v>2036</v>
      </c>
      <c r="B1023" s="399" t="s">
        <v>2045</v>
      </c>
      <c r="C1023" s="399" t="s">
        <v>1468</v>
      </c>
      <c r="D1023" s="399" t="s">
        <v>1468</v>
      </c>
      <c r="E1023" s="372">
        <v>10000</v>
      </c>
      <c r="F1023" s="402">
        <v>10000</v>
      </c>
      <c r="G1023" s="400">
        <f t="shared" si="15"/>
        <v>100</v>
      </c>
    </row>
    <row r="1024" spans="1:7" ht="25.5">
      <c r="A1024" s="54" t="s">
        <v>1763</v>
      </c>
      <c r="B1024" s="399" t="s">
        <v>2045</v>
      </c>
      <c r="C1024" s="399" t="s">
        <v>1764</v>
      </c>
      <c r="D1024" s="399" t="s">
        <v>1468</v>
      </c>
      <c r="E1024" s="372">
        <v>10000</v>
      </c>
      <c r="F1024" s="402">
        <v>10000</v>
      </c>
      <c r="G1024" s="400">
        <f t="shared" si="15"/>
        <v>100</v>
      </c>
    </row>
    <row r="1025" spans="1:7">
      <c r="A1025" s="54" t="s">
        <v>1504</v>
      </c>
      <c r="B1025" s="399" t="s">
        <v>2045</v>
      </c>
      <c r="C1025" s="399" t="s">
        <v>1505</v>
      </c>
      <c r="D1025" s="399" t="s">
        <v>1468</v>
      </c>
      <c r="E1025" s="372">
        <v>10000</v>
      </c>
      <c r="F1025" s="402">
        <v>10000</v>
      </c>
      <c r="G1025" s="400">
        <f t="shared" si="15"/>
        <v>100</v>
      </c>
    </row>
    <row r="1026" spans="1:7">
      <c r="A1026" s="54" t="s">
        <v>173</v>
      </c>
      <c r="B1026" s="399" t="s">
        <v>2045</v>
      </c>
      <c r="C1026" s="399" t="s">
        <v>1505</v>
      </c>
      <c r="D1026" s="399" t="s">
        <v>1364</v>
      </c>
      <c r="E1026" s="372">
        <v>10000</v>
      </c>
      <c r="F1026" s="402">
        <v>10000</v>
      </c>
      <c r="G1026" s="400">
        <f t="shared" si="15"/>
        <v>100</v>
      </c>
    </row>
    <row r="1027" spans="1:7">
      <c r="A1027" s="54" t="s">
        <v>1238</v>
      </c>
      <c r="B1027" s="399" t="s">
        <v>2045</v>
      </c>
      <c r="C1027" s="399" t="s">
        <v>1505</v>
      </c>
      <c r="D1027" s="399" t="s">
        <v>453</v>
      </c>
      <c r="E1027" s="372">
        <v>10000</v>
      </c>
      <c r="F1027" s="402">
        <v>10000</v>
      </c>
      <c r="G1027" s="400">
        <f t="shared" si="15"/>
        <v>100</v>
      </c>
    </row>
    <row r="1028" spans="1:7" ht="25.5">
      <c r="A1028" s="54" t="s">
        <v>564</v>
      </c>
      <c r="B1028" s="399" t="s">
        <v>1126</v>
      </c>
      <c r="C1028" s="399" t="s">
        <v>1468</v>
      </c>
      <c r="D1028" s="399" t="s">
        <v>1468</v>
      </c>
      <c r="E1028" s="372">
        <v>2834092.8</v>
      </c>
      <c r="F1028" s="402">
        <v>2834092.8</v>
      </c>
      <c r="G1028" s="400">
        <f t="shared" si="15"/>
        <v>100</v>
      </c>
    </row>
    <row r="1029" spans="1:7" ht="76.5">
      <c r="A1029" s="54" t="s">
        <v>1934</v>
      </c>
      <c r="B1029" s="399" t="s">
        <v>1607</v>
      </c>
      <c r="C1029" s="399" t="s">
        <v>1468</v>
      </c>
      <c r="D1029" s="399" t="s">
        <v>1468</v>
      </c>
      <c r="E1029" s="372">
        <v>2834092.8</v>
      </c>
      <c r="F1029" s="402">
        <v>2834092.8</v>
      </c>
      <c r="G1029" s="400">
        <f t="shared" si="15"/>
        <v>100</v>
      </c>
    </row>
    <row r="1030" spans="1:7">
      <c r="A1030" s="54" t="s">
        <v>1759</v>
      </c>
      <c r="B1030" s="399" t="s">
        <v>1607</v>
      </c>
      <c r="C1030" s="399" t="s">
        <v>1760</v>
      </c>
      <c r="D1030" s="399" t="s">
        <v>1468</v>
      </c>
      <c r="E1030" s="372">
        <v>2834092.8</v>
      </c>
      <c r="F1030" s="402">
        <v>2834092.8</v>
      </c>
      <c r="G1030" s="400">
        <f t="shared" si="15"/>
        <v>100</v>
      </c>
    </row>
    <row r="1031" spans="1:7" ht="25.5">
      <c r="A1031" s="54" t="s">
        <v>1506</v>
      </c>
      <c r="B1031" s="399" t="s">
        <v>1607</v>
      </c>
      <c r="C1031" s="399" t="s">
        <v>666</v>
      </c>
      <c r="D1031" s="399" t="s">
        <v>1468</v>
      </c>
      <c r="E1031" s="372">
        <v>2834092.8</v>
      </c>
      <c r="F1031" s="402">
        <v>2834092.8</v>
      </c>
      <c r="G1031" s="400">
        <f t="shared" si="15"/>
        <v>100</v>
      </c>
    </row>
    <row r="1032" spans="1:7">
      <c r="A1032" s="54" t="s">
        <v>174</v>
      </c>
      <c r="B1032" s="399" t="s">
        <v>1607</v>
      </c>
      <c r="C1032" s="399" t="s">
        <v>666</v>
      </c>
      <c r="D1032" s="399" t="s">
        <v>1365</v>
      </c>
      <c r="E1032" s="372">
        <v>2834092.8</v>
      </c>
      <c r="F1032" s="402">
        <v>2834092.8</v>
      </c>
      <c r="G1032" s="400">
        <f t="shared" si="15"/>
        <v>100</v>
      </c>
    </row>
    <row r="1033" spans="1:7">
      <c r="A1033" s="54" t="s">
        <v>127</v>
      </c>
      <c r="B1033" s="399" t="s">
        <v>1607</v>
      </c>
      <c r="C1033" s="399" t="s">
        <v>666</v>
      </c>
      <c r="D1033" s="399" t="s">
        <v>466</v>
      </c>
      <c r="E1033" s="372">
        <v>2834092.8</v>
      </c>
      <c r="F1033" s="402">
        <v>2834092.8</v>
      </c>
      <c r="G1033" s="400">
        <f t="shared" ref="G1033:G1096" si="16">F1033/E1033*100</f>
        <v>100</v>
      </c>
    </row>
    <row r="1034" spans="1:7" ht="25.5">
      <c r="A1034" s="54" t="s">
        <v>540</v>
      </c>
      <c r="B1034" s="399" t="s">
        <v>1127</v>
      </c>
      <c r="C1034" s="399" t="s">
        <v>1468</v>
      </c>
      <c r="D1034" s="399" t="s">
        <v>1468</v>
      </c>
      <c r="E1034" s="372">
        <v>9813092.6899999995</v>
      </c>
      <c r="F1034" s="400">
        <f>F1035+F1040+F1045+F1050+F1055+F1060+F1065+F1070</f>
        <v>9765457.5199999996</v>
      </c>
      <c r="G1034" s="400">
        <f t="shared" si="16"/>
        <v>99.514575358606947</v>
      </c>
    </row>
    <row r="1035" spans="1:7" ht="102">
      <c r="A1035" s="54" t="s">
        <v>459</v>
      </c>
      <c r="B1035" s="399" t="s">
        <v>813</v>
      </c>
      <c r="C1035" s="399" t="s">
        <v>1468</v>
      </c>
      <c r="D1035" s="399" t="s">
        <v>1468</v>
      </c>
      <c r="E1035" s="372">
        <v>5800150</v>
      </c>
      <c r="F1035" s="402">
        <v>5800150</v>
      </c>
      <c r="G1035" s="400">
        <f t="shared" si="16"/>
        <v>100</v>
      </c>
    </row>
    <row r="1036" spans="1:7" ht="25.5">
      <c r="A1036" s="54" t="s">
        <v>1763</v>
      </c>
      <c r="B1036" s="399" t="s">
        <v>813</v>
      </c>
      <c r="C1036" s="399" t="s">
        <v>1764</v>
      </c>
      <c r="D1036" s="399" t="s">
        <v>1468</v>
      </c>
      <c r="E1036" s="372">
        <v>5800150</v>
      </c>
      <c r="F1036" s="402">
        <v>5800150</v>
      </c>
      <c r="G1036" s="400">
        <f t="shared" si="16"/>
        <v>100</v>
      </c>
    </row>
    <row r="1037" spans="1:7">
      <c r="A1037" s="54" t="s">
        <v>1504</v>
      </c>
      <c r="B1037" s="399" t="s">
        <v>813</v>
      </c>
      <c r="C1037" s="399" t="s">
        <v>1505</v>
      </c>
      <c r="D1037" s="399" t="s">
        <v>1468</v>
      </c>
      <c r="E1037" s="372">
        <v>5800150</v>
      </c>
      <c r="F1037" s="402">
        <v>5800150</v>
      </c>
      <c r="G1037" s="400">
        <f t="shared" si="16"/>
        <v>100</v>
      </c>
    </row>
    <row r="1038" spans="1:7">
      <c r="A1038" s="54" t="s">
        <v>173</v>
      </c>
      <c r="B1038" s="399" t="s">
        <v>813</v>
      </c>
      <c r="C1038" s="399" t="s">
        <v>1505</v>
      </c>
      <c r="D1038" s="399" t="s">
        <v>1364</v>
      </c>
      <c r="E1038" s="372">
        <v>5800150</v>
      </c>
      <c r="F1038" s="402">
        <v>5800150</v>
      </c>
      <c r="G1038" s="400">
        <f t="shared" si="16"/>
        <v>100</v>
      </c>
    </row>
    <row r="1039" spans="1:7">
      <c r="A1039" s="54" t="s">
        <v>1238</v>
      </c>
      <c r="B1039" s="399" t="s">
        <v>813</v>
      </c>
      <c r="C1039" s="399" t="s">
        <v>1505</v>
      </c>
      <c r="D1039" s="399" t="s">
        <v>453</v>
      </c>
      <c r="E1039" s="372">
        <v>5800150</v>
      </c>
      <c r="F1039" s="402">
        <v>5800150</v>
      </c>
      <c r="G1039" s="400">
        <f t="shared" si="16"/>
        <v>100</v>
      </c>
    </row>
    <row r="1040" spans="1:7" ht="127.5">
      <c r="A1040" s="54" t="s">
        <v>460</v>
      </c>
      <c r="B1040" s="399" t="s">
        <v>814</v>
      </c>
      <c r="C1040" s="399" t="s">
        <v>1468</v>
      </c>
      <c r="D1040" s="399" t="s">
        <v>1468</v>
      </c>
      <c r="E1040" s="372">
        <v>1680000</v>
      </c>
      <c r="F1040" s="402">
        <v>1680000</v>
      </c>
      <c r="G1040" s="400">
        <f t="shared" si="16"/>
        <v>100</v>
      </c>
    </row>
    <row r="1041" spans="1:7" ht="25.5">
      <c r="A1041" s="54" t="s">
        <v>1763</v>
      </c>
      <c r="B1041" s="399" t="s">
        <v>814</v>
      </c>
      <c r="C1041" s="399" t="s">
        <v>1764</v>
      </c>
      <c r="D1041" s="399" t="s">
        <v>1468</v>
      </c>
      <c r="E1041" s="372">
        <v>1680000</v>
      </c>
      <c r="F1041" s="402">
        <v>1680000</v>
      </c>
      <c r="G1041" s="400">
        <f t="shared" si="16"/>
        <v>100</v>
      </c>
    </row>
    <row r="1042" spans="1:7">
      <c r="A1042" s="54" t="s">
        <v>1504</v>
      </c>
      <c r="B1042" s="399" t="s">
        <v>814</v>
      </c>
      <c r="C1042" s="399" t="s">
        <v>1505</v>
      </c>
      <c r="D1042" s="399" t="s">
        <v>1468</v>
      </c>
      <c r="E1042" s="372">
        <v>1680000</v>
      </c>
      <c r="F1042" s="402">
        <v>1680000</v>
      </c>
      <c r="G1042" s="400">
        <f t="shared" si="16"/>
        <v>100</v>
      </c>
    </row>
    <row r="1043" spans="1:7">
      <c r="A1043" s="54" t="s">
        <v>173</v>
      </c>
      <c r="B1043" s="399" t="s">
        <v>814</v>
      </c>
      <c r="C1043" s="399" t="s">
        <v>1505</v>
      </c>
      <c r="D1043" s="399" t="s">
        <v>1364</v>
      </c>
      <c r="E1043" s="372">
        <v>1680000</v>
      </c>
      <c r="F1043" s="402">
        <v>1680000</v>
      </c>
      <c r="G1043" s="400">
        <f t="shared" si="16"/>
        <v>100</v>
      </c>
    </row>
    <row r="1044" spans="1:7">
      <c r="A1044" s="54" t="s">
        <v>1238</v>
      </c>
      <c r="B1044" s="399" t="s">
        <v>814</v>
      </c>
      <c r="C1044" s="399" t="s">
        <v>1505</v>
      </c>
      <c r="D1044" s="399" t="s">
        <v>453</v>
      </c>
      <c r="E1044" s="372">
        <v>1680000</v>
      </c>
      <c r="F1044" s="402">
        <v>1680000</v>
      </c>
      <c r="G1044" s="400">
        <f t="shared" si="16"/>
        <v>100</v>
      </c>
    </row>
    <row r="1045" spans="1:7" ht="89.25">
      <c r="A1045" s="54" t="s">
        <v>1035</v>
      </c>
      <c r="B1045" s="399" t="s">
        <v>1034</v>
      </c>
      <c r="C1045" s="399" t="s">
        <v>1468</v>
      </c>
      <c r="D1045" s="399" t="s">
        <v>1468</v>
      </c>
      <c r="E1045" s="372">
        <v>51073.7</v>
      </c>
      <c r="F1045" s="402">
        <v>51073.7</v>
      </c>
      <c r="G1045" s="400">
        <f t="shared" si="16"/>
        <v>100</v>
      </c>
    </row>
    <row r="1046" spans="1:7" ht="25.5">
      <c r="A1046" s="54" t="s">
        <v>1763</v>
      </c>
      <c r="B1046" s="399" t="s">
        <v>1034</v>
      </c>
      <c r="C1046" s="399" t="s">
        <v>1764</v>
      </c>
      <c r="D1046" s="399" t="s">
        <v>1468</v>
      </c>
      <c r="E1046" s="372">
        <v>51073.7</v>
      </c>
      <c r="F1046" s="402">
        <v>51073.7</v>
      </c>
      <c r="G1046" s="400">
        <f t="shared" si="16"/>
        <v>100</v>
      </c>
    </row>
    <row r="1047" spans="1:7">
      <c r="A1047" s="54" t="s">
        <v>1504</v>
      </c>
      <c r="B1047" s="399" t="s">
        <v>1034</v>
      </c>
      <c r="C1047" s="399" t="s">
        <v>1505</v>
      </c>
      <c r="D1047" s="399" t="s">
        <v>1468</v>
      </c>
      <c r="E1047" s="372">
        <v>51073.7</v>
      </c>
      <c r="F1047" s="402">
        <v>51073.7</v>
      </c>
      <c r="G1047" s="400">
        <f t="shared" si="16"/>
        <v>100</v>
      </c>
    </row>
    <row r="1048" spans="1:7">
      <c r="A1048" s="54" t="s">
        <v>173</v>
      </c>
      <c r="B1048" s="399" t="s">
        <v>1034</v>
      </c>
      <c r="C1048" s="399" t="s">
        <v>1505</v>
      </c>
      <c r="D1048" s="399" t="s">
        <v>1364</v>
      </c>
      <c r="E1048" s="372">
        <v>51073.7</v>
      </c>
      <c r="F1048" s="402">
        <v>51073.7</v>
      </c>
      <c r="G1048" s="400">
        <f t="shared" si="16"/>
        <v>100</v>
      </c>
    </row>
    <row r="1049" spans="1:7">
      <c r="A1049" s="54" t="s">
        <v>1238</v>
      </c>
      <c r="B1049" s="399" t="s">
        <v>1034</v>
      </c>
      <c r="C1049" s="399" t="s">
        <v>1505</v>
      </c>
      <c r="D1049" s="399" t="s">
        <v>453</v>
      </c>
      <c r="E1049" s="372">
        <v>51073.7</v>
      </c>
      <c r="F1049" s="402">
        <v>51073.7</v>
      </c>
      <c r="G1049" s="400">
        <f t="shared" si="16"/>
        <v>100</v>
      </c>
    </row>
    <row r="1050" spans="1:7" ht="76.5">
      <c r="A1050" s="54" t="s">
        <v>1553</v>
      </c>
      <c r="B1050" s="399" t="s">
        <v>1554</v>
      </c>
      <c r="C1050" s="399" t="s">
        <v>1468</v>
      </c>
      <c r="D1050" s="399" t="s">
        <v>1468</v>
      </c>
      <c r="E1050" s="372">
        <v>996700</v>
      </c>
      <c r="F1050" s="402">
        <v>996700</v>
      </c>
      <c r="G1050" s="400">
        <f t="shared" si="16"/>
        <v>100</v>
      </c>
    </row>
    <row r="1051" spans="1:7" ht="25.5">
      <c r="A1051" s="54" t="s">
        <v>1763</v>
      </c>
      <c r="B1051" s="399" t="s">
        <v>1554</v>
      </c>
      <c r="C1051" s="399" t="s">
        <v>1764</v>
      </c>
      <c r="D1051" s="399" t="s">
        <v>1468</v>
      </c>
      <c r="E1051" s="372">
        <v>996700</v>
      </c>
      <c r="F1051" s="402">
        <v>996700</v>
      </c>
      <c r="G1051" s="400">
        <f t="shared" si="16"/>
        <v>100</v>
      </c>
    </row>
    <row r="1052" spans="1:7">
      <c r="A1052" s="54" t="s">
        <v>1504</v>
      </c>
      <c r="B1052" s="399" t="s">
        <v>1554</v>
      </c>
      <c r="C1052" s="399" t="s">
        <v>1505</v>
      </c>
      <c r="D1052" s="399" t="s">
        <v>1468</v>
      </c>
      <c r="E1052" s="372">
        <v>996700</v>
      </c>
      <c r="F1052" s="402">
        <v>996700</v>
      </c>
      <c r="G1052" s="400">
        <f t="shared" si="16"/>
        <v>100</v>
      </c>
    </row>
    <row r="1053" spans="1:7">
      <c r="A1053" s="54" t="s">
        <v>173</v>
      </c>
      <c r="B1053" s="399" t="s">
        <v>1554</v>
      </c>
      <c r="C1053" s="399" t="s">
        <v>1505</v>
      </c>
      <c r="D1053" s="399" t="s">
        <v>1364</v>
      </c>
      <c r="E1053" s="372">
        <v>996700</v>
      </c>
      <c r="F1053" s="402">
        <v>996700</v>
      </c>
      <c r="G1053" s="400">
        <f t="shared" si="16"/>
        <v>100</v>
      </c>
    </row>
    <row r="1054" spans="1:7">
      <c r="A1054" s="54" t="s">
        <v>1238</v>
      </c>
      <c r="B1054" s="399" t="s">
        <v>1554</v>
      </c>
      <c r="C1054" s="399" t="s">
        <v>1505</v>
      </c>
      <c r="D1054" s="399" t="s">
        <v>453</v>
      </c>
      <c r="E1054" s="372">
        <v>996700</v>
      </c>
      <c r="F1054" s="402">
        <v>996700</v>
      </c>
      <c r="G1054" s="400">
        <f t="shared" si="16"/>
        <v>100</v>
      </c>
    </row>
    <row r="1055" spans="1:7" ht="63.75">
      <c r="A1055" s="54" t="s">
        <v>1555</v>
      </c>
      <c r="B1055" s="399" t="s">
        <v>1556</v>
      </c>
      <c r="C1055" s="399" t="s">
        <v>1468</v>
      </c>
      <c r="D1055" s="399" t="s">
        <v>1468</v>
      </c>
      <c r="E1055" s="372">
        <v>155000</v>
      </c>
      <c r="F1055" s="402">
        <v>155000</v>
      </c>
      <c r="G1055" s="400">
        <f t="shared" si="16"/>
        <v>100</v>
      </c>
    </row>
    <row r="1056" spans="1:7" ht="25.5">
      <c r="A1056" s="54" t="s">
        <v>1763</v>
      </c>
      <c r="B1056" s="399" t="s">
        <v>1556</v>
      </c>
      <c r="C1056" s="399" t="s">
        <v>1764</v>
      </c>
      <c r="D1056" s="399" t="s">
        <v>1468</v>
      </c>
      <c r="E1056" s="372">
        <v>155000</v>
      </c>
      <c r="F1056" s="402">
        <v>155000</v>
      </c>
      <c r="G1056" s="400">
        <f t="shared" si="16"/>
        <v>100</v>
      </c>
    </row>
    <row r="1057" spans="1:7">
      <c r="A1057" s="54" t="s">
        <v>1504</v>
      </c>
      <c r="B1057" s="399" t="s">
        <v>1556</v>
      </c>
      <c r="C1057" s="399" t="s">
        <v>1505</v>
      </c>
      <c r="D1057" s="399" t="s">
        <v>1468</v>
      </c>
      <c r="E1057" s="372">
        <v>155000</v>
      </c>
      <c r="F1057" s="402">
        <v>155000</v>
      </c>
      <c r="G1057" s="400">
        <f t="shared" si="16"/>
        <v>100</v>
      </c>
    </row>
    <row r="1058" spans="1:7">
      <c r="A1058" s="54" t="s">
        <v>173</v>
      </c>
      <c r="B1058" s="399" t="s">
        <v>1556</v>
      </c>
      <c r="C1058" s="399" t="s">
        <v>1505</v>
      </c>
      <c r="D1058" s="399" t="s">
        <v>1364</v>
      </c>
      <c r="E1058" s="372">
        <v>155000</v>
      </c>
      <c r="F1058" s="402">
        <v>155000</v>
      </c>
      <c r="G1058" s="400">
        <f t="shared" si="16"/>
        <v>100</v>
      </c>
    </row>
    <row r="1059" spans="1:7">
      <c r="A1059" s="54" t="s">
        <v>1238</v>
      </c>
      <c r="B1059" s="399" t="s">
        <v>1556</v>
      </c>
      <c r="C1059" s="399" t="s">
        <v>1505</v>
      </c>
      <c r="D1059" s="399" t="s">
        <v>453</v>
      </c>
      <c r="E1059" s="372">
        <v>155000</v>
      </c>
      <c r="F1059" s="402">
        <v>155000</v>
      </c>
      <c r="G1059" s="400">
        <f t="shared" si="16"/>
        <v>100</v>
      </c>
    </row>
    <row r="1060" spans="1:7" ht="63.75">
      <c r="A1060" s="54" t="s">
        <v>458</v>
      </c>
      <c r="B1060" s="399" t="s">
        <v>812</v>
      </c>
      <c r="C1060" s="399" t="s">
        <v>1468</v>
      </c>
      <c r="D1060" s="399" t="s">
        <v>1468</v>
      </c>
      <c r="E1060" s="372">
        <v>1062400</v>
      </c>
      <c r="F1060" s="400">
        <v>1015464.83</v>
      </c>
      <c r="G1060" s="400">
        <f t="shared" si="16"/>
        <v>95.582156438253008</v>
      </c>
    </row>
    <row r="1061" spans="1:7" ht="25.5">
      <c r="A1061" s="54" t="s">
        <v>1763</v>
      </c>
      <c r="B1061" s="399" t="s">
        <v>812</v>
      </c>
      <c r="C1061" s="399" t="s">
        <v>1764</v>
      </c>
      <c r="D1061" s="399" t="s">
        <v>1468</v>
      </c>
      <c r="E1061" s="372">
        <v>1062400</v>
      </c>
      <c r="F1061" s="400">
        <v>1015464.83</v>
      </c>
      <c r="G1061" s="400">
        <f t="shared" si="16"/>
        <v>95.582156438253008</v>
      </c>
    </row>
    <row r="1062" spans="1:7">
      <c r="A1062" s="54" t="s">
        <v>1504</v>
      </c>
      <c r="B1062" s="399" t="s">
        <v>812</v>
      </c>
      <c r="C1062" s="399" t="s">
        <v>1505</v>
      </c>
      <c r="D1062" s="399" t="s">
        <v>1468</v>
      </c>
      <c r="E1062" s="372">
        <v>1062400</v>
      </c>
      <c r="F1062" s="400">
        <v>1015464.83</v>
      </c>
      <c r="G1062" s="400">
        <f t="shared" si="16"/>
        <v>95.582156438253008</v>
      </c>
    </row>
    <row r="1063" spans="1:7">
      <c r="A1063" s="54" t="s">
        <v>173</v>
      </c>
      <c r="B1063" s="399" t="s">
        <v>812</v>
      </c>
      <c r="C1063" s="399" t="s">
        <v>1505</v>
      </c>
      <c r="D1063" s="399" t="s">
        <v>1364</v>
      </c>
      <c r="E1063" s="372">
        <v>1062400</v>
      </c>
      <c r="F1063" s="400">
        <v>1015464.83</v>
      </c>
      <c r="G1063" s="400">
        <f t="shared" si="16"/>
        <v>95.582156438253008</v>
      </c>
    </row>
    <row r="1064" spans="1:7">
      <c r="A1064" s="54" t="s">
        <v>1238</v>
      </c>
      <c r="B1064" s="399" t="s">
        <v>812</v>
      </c>
      <c r="C1064" s="399" t="s">
        <v>1505</v>
      </c>
      <c r="D1064" s="399" t="s">
        <v>453</v>
      </c>
      <c r="E1064" s="372">
        <v>1062400</v>
      </c>
      <c r="F1064" s="400">
        <v>1015464.83</v>
      </c>
      <c r="G1064" s="400">
        <f t="shared" si="16"/>
        <v>95.582156438253008</v>
      </c>
    </row>
    <row r="1065" spans="1:7" ht="51">
      <c r="A1065" s="54" t="s">
        <v>1961</v>
      </c>
      <c r="B1065" s="399" t="s">
        <v>1962</v>
      </c>
      <c r="C1065" s="399" t="s">
        <v>1468</v>
      </c>
      <c r="D1065" s="399" t="s">
        <v>1468</v>
      </c>
      <c r="E1065" s="372">
        <v>56768.99</v>
      </c>
      <c r="F1065" s="402">
        <v>56768.99</v>
      </c>
      <c r="G1065" s="400">
        <f t="shared" si="16"/>
        <v>100</v>
      </c>
    </row>
    <row r="1066" spans="1:7" ht="25.5">
      <c r="A1066" s="54" t="s">
        <v>1763</v>
      </c>
      <c r="B1066" s="399" t="s">
        <v>1962</v>
      </c>
      <c r="C1066" s="399" t="s">
        <v>1764</v>
      </c>
      <c r="D1066" s="399" t="s">
        <v>1468</v>
      </c>
      <c r="E1066" s="372">
        <v>56768.99</v>
      </c>
      <c r="F1066" s="402">
        <v>56768.99</v>
      </c>
      <c r="G1066" s="400">
        <f t="shared" si="16"/>
        <v>100</v>
      </c>
    </row>
    <row r="1067" spans="1:7">
      <c r="A1067" s="54" t="s">
        <v>1504</v>
      </c>
      <c r="B1067" s="399" t="s">
        <v>1962</v>
      </c>
      <c r="C1067" s="399" t="s">
        <v>1505</v>
      </c>
      <c r="D1067" s="399" t="s">
        <v>1468</v>
      </c>
      <c r="E1067" s="372">
        <v>56768.99</v>
      </c>
      <c r="F1067" s="402">
        <v>56768.99</v>
      </c>
      <c r="G1067" s="400">
        <f t="shared" si="16"/>
        <v>100</v>
      </c>
    </row>
    <row r="1068" spans="1:7">
      <c r="A1068" s="54" t="s">
        <v>173</v>
      </c>
      <c r="B1068" s="399" t="s">
        <v>1962</v>
      </c>
      <c r="C1068" s="399" t="s">
        <v>1505</v>
      </c>
      <c r="D1068" s="399" t="s">
        <v>1364</v>
      </c>
      <c r="E1068" s="372">
        <v>56768.99</v>
      </c>
      <c r="F1068" s="402">
        <v>56768.99</v>
      </c>
      <c r="G1068" s="400">
        <f t="shared" si="16"/>
        <v>100</v>
      </c>
    </row>
    <row r="1069" spans="1:7">
      <c r="A1069" s="54" t="s">
        <v>1238</v>
      </c>
      <c r="B1069" s="399" t="s">
        <v>1962</v>
      </c>
      <c r="C1069" s="399" t="s">
        <v>1505</v>
      </c>
      <c r="D1069" s="399" t="s">
        <v>453</v>
      </c>
      <c r="E1069" s="372">
        <v>56768.99</v>
      </c>
      <c r="F1069" s="402">
        <v>56768.99</v>
      </c>
      <c r="G1069" s="400">
        <f t="shared" si="16"/>
        <v>100</v>
      </c>
    </row>
    <row r="1070" spans="1:7" ht="63.75">
      <c r="A1070" s="54" t="s">
        <v>1924</v>
      </c>
      <c r="B1070" s="399" t="s">
        <v>1925</v>
      </c>
      <c r="C1070" s="399" t="s">
        <v>1468</v>
      </c>
      <c r="D1070" s="399" t="s">
        <v>1468</v>
      </c>
      <c r="E1070" s="372">
        <v>11000</v>
      </c>
      <c r="F1070" s="400">
        <v>10300</v>
      </c>
      <c r="G1070" s="400">
        <f t="shared" si="16"/>
        <v>93.63636363636364</v>
      </c>
    </row>
    <row r="1071" spans="1:7" ht="25.5">
      <c r="A1071" s="54" t="s">
        <v>1763</v>
      </c>
      <c r="B1071" s="399" t="s">
        <v>1925</v>
      </c>
      <c r="C1071" s="399" t="s">
        <v>1764</v>
      </c>
      <c r="D1071" s="399" t="s">
        <v>1468</v>
      </c>
      <c r="E1071" s="372">
        <v>11000</v>
      </c>
      <c r="F1071" s="400">
        <v>10300</v>
      </c>
      <c r="G1071" s="400">
        <f t="shared" si="16"/>
        <v>93.63636363636364</v>
      </c>
    </row>
    <row r="1072" spans="1:7">
      <c r="A1072" s="54" t="s">
        <v>1504</v>
      </c>
      <c r="B1072" s="399" t="s">
        <v>1925</v>
      </c>
      <c r="C1072" s="399" t="s">
        <v>1505</v>
      </c>
      <c r="D1072" s="399" t="s">
        <v>1468</v>
      </c>
      <c r="E1072" s="372">
        <v>11000</v>
      </c>
      <c r="F1072" s="400">
        <v>10300</v>
      </c>
      <c r="G1072" s="400">
        <f t="shared" si="16"/>
        <v>93.63636363636364</v>
      </c>
    </row>
    <row r="1073" spans="1:7">
      <c r="A1073" s="54" t="s">
        <v>173</v>
      </c>
      <c r="B1073" s="399" t="s">
        <v>1925</v>
      </c>
      <c r="C1073" s="399" t="s">
        <v>1505</v>
      </c>
      <c r="D1073" s="399" t="s">
        <v>1364</v>
      </c>
      <c r="E1073" s="372">
        <v>11000</v>
      </c>
      <c r="F1073" s="400">
        <v>10300</v>
      </c>
      <c r="G1073" s="400">
        <f t="shared" si="16"/>
        <v>93.63636363636364</v>
      </c>
    </row>
    <row r="1074" spans="1:7">
      <c r="A1074" s="54" t="s">
        <v>1238</v>
      </c>
      <c r="B1074" s="399" t="s">
        <v>1925</v>
      </c>
      <c r="C1074" s="399" t="s">
        <v>1505</v>
      </c>
      <c r="D1074" s="399" t="s">
        <v>453</v>
      </c>
      <c r="E1074" s="372">
        <v>11000</v>
      </c>
      <c r="F1074" s="400">
        <v>10300</v>
      </c>
      <c r="G1074" s="400">
        <f t="shared" si="16"/>
        <v>93.63636363636364</v>
      </c>
    </row>
    <row r="1075" spans="1:7" ht="25.5">
      <c r="A1075" s="54" t="s">
        <v>1913</v>
      </c>
      <c r="B1075" s="399" t="s">
        <v>1128</v>
      </c>
      <c r="C1075" s="399" t="s">
        <v>1468</v>
      </c>
      <c r="D1075" s="399" t="s">
        <v>1468</v>
      </c>
      <c r="E1075" s="372">
        <v>14292586.1</v>
      </c>
      <c r="F1075" s="400">
        <v>14275896.52</v>
      </c>
      <c r="G1075" s="400">
        <f t="shared" si="16"/>
        <v>99.883229109950918</v>
      </c>
    </row>
    <row r="1076" spans="1:7" ht="25.5">
      <c r="A1076" s="54" t="s">
        <v>568</v>
      </c>
      <c r="B1076" s="399" t="s">
        <v>1129</v>
      </c>
      <c r="C1076" s="399" t="s">
        <v>1468</v>
      </c>
      <c r="D1076" s="399" t="s">
        <v>1468</v>
      </c>
      <c r="E1076" s="372">
        <v>14092586.1</v>
      </c>
      <c r="F1076" s="400">
        <v>14089607.82</v>
      </c>
      <c r="G1076" s="400">
        <f t="shared" si="16"/>
        <v>99.978866334547362</v>
      </c>
    </row>
    <row r="1077" spans="1:7" ht="102">
      <c r="A1077" s="54" t="s">
        <v>1471</v>
      </c>
      <c r="B1077" s="399" t="s">
        <v>1472</v>
      </c>
      <c r="C1077" s="399" t="s">
        <v>1468</v>
      </c>
      <c r="D1077" s="399" t="s">
        <v>1468</v>
      </c>
      <c r="E1077" s="372">
        <v>6220026.8499999996</v>
      </c>
      <c r="F1077" s="400">
        <v>6220026.8499999996</v>
      </c>
      <c r="G1077" s="400">
        <f t="shared" si="16"/>
        <v>100</v>
      </c>
    </row>
    <row r="1078" spans="1:7" ht="25.5">
      <c r="A1078" s="54" t="s">
        <v>1763</v>
      </c>
      <c r="B1078" s="399" t="s">
        <v>1472</v>
      </c>
      <c r="C1078" s="399" t="s">
        <v>1764</v>
      </c>
      <c r="D1078" s="399" t="s">
        <v>1468</v>
      </c>
      <c r="E1078" s="372">
        <v>6220026.8499999996</v>
      </c>
      <c r="F1078" s="400">
        <v>6220026.8499999996</v>
      </c>
      <c r="G1078" s="400">
        <f t="shared" si="16"/>
        <v>100</v>
      </c>
    </row>
    <row r="1079" spans="1:7">
      <c r="A1079" s="54" t="s">
        <v>1504</v>
      </c>
      <c r="B1079" s="399" t="s">
        <v>1472</v>
      </c>
      <c r="C1079" s="399" t="s">
        <v>1505</v>
      </c>
      <c r="D1079" s="399" t="s">
        <v>1468</v>
      </c>
      <c r="E1079" s="372">
        <v>6220026.8499999996</v>
      </c>
      <c r="F1079" s="400">
        <v>6220026.8499999996</v>
      </c>
      <c r="G1079" s="400">
        <f t="shared" si="16"/>
        <v>100</v>
      </c>
    </row>
    <row r="1080" spans="1:7">
      <c r="A1080" s="54" t="s">
        <v>292</v>
      </c>
      <c r="B1080" s="399" t="s">
        <v>1472</v>
      </c>
      <c r="C1080" s="399" t="s">
        <v>1505</v>
      </c>
      <c r="D1080" s="399" t="s">
        <v>1366</v>
      </c>
      <c r="E1080" s="372">
        <v>6220026.8499999996</v>
      </c>
      <c r="F1080" s="400">
        <v>6220026.8499999996</v>
      </c>
      <c r="G1080" s="400">
        <f t="shared" si="16"/>
        <v>100</v>
      </c>
    </row>
    <row r="1081" spans="1:7">
      <c r="A1081" s="54" t="s">
        <v>1588</v>
      </c>
      <c r="B1081" s="399" t="s">
        <v>1472</v>
      </c>
      <c r="C1081" s="399" t="s">
        <v>1505</v>
      </c>
      <c r="D1081" s="399" t="s">
        <v>1589</v>
      </c>
      <c r="E1081" s="372">
        <v>5512042.25</v>
      </c>
      <c r="F1081" s="402">
        <v>5512042.25</v>
      </c>
      <c r="G1081" s="400">
        <f t="shared" si="16"/>
        <v>100</v>
      </c>
    </row>
    <row r="1082" spans="1:7">
      <c r="A1082" s="54" t="s">
        <v>254</v>
      </c>
      <c r="B1082" s="399" t="s">
        <v>1472</v>
      </c>
      <c r="C1082" s="399" t="s">
        <v>1505</v>
      </c>
      <c r="D1082" s="399" t="s">
        <v>469</v>
      </c>
      <c r="E1082" s="372">
        <v>707984.6</v>
      </c>
      <c r="F1082" s="402">
        <v>707984.6</v>
      </c>
      <c r="G1082" s="400">
        <f t="shared" si="16"/>
        <v>100</v>
      </c>
    </row>
    <row r="1083" spans="1:7" ht="127.5">
      <c r="A1083" s="54" t="s">
        <v>1473</v>
      </c>
      <c r="B1083" s="399" t="s">
        <v>1474</v>
      </c>
      <c r="C1083" s="399" t="s">
        <v>1468</v>
      </c>
      <c r="D1083" s="399" t="s">
        <v>1468</v>
      </c>
      <c r="E1083" s="372">
        <v>1659152.15</v>
      </c>
      <c r="F1083" s="402">
        <v>1659152.15</v>
      </c>
      <c r="G1083" s="400">
        <f t="shared" si="16"/>
        <v>100</v>
      </c>
    </row>
    <row r="1084" spans="1:7" ht="25.5">
      <c r="A1084" s="54" t="s">
        <v>1763</v>
      </c>
      <c r="B1084" s="399" t="s">
        <v>1474</v>
      </c>
      <c r="C1084" s="399" t="s">
        <v>1764</v>
      </c>
      <c r="D1084" s="399" t="s">
        <v>1468</v>
      </c>
      <c r="E1084" s="372">
        <v>1659152.15</v>
      </c>
      <c r="F1084" s="402">
        <v>1659152.15</v>
      </c>
      <c r="G1084" s="400">
        <f t="shared" si="16"/>
        <v>100</v>
      </c>
    </row>
    <row r="1085" spans="1:7">
      <c r="A1085" s="54" t="s">
        <v>1504</v>
      </c>
      <c r="B1085" s="399" t="s">
        <v>1474</v>
      </c>
      <c r="C1085" s="399" t="s">
        <v>1505</v>
      </c>
      <c r="D1085" s="399" t="s">
        <v>1468</v>
      </c>
      <c r="E1085" s="372">
        <v>1659152.15</v>
      </c>
      <c r="F1085" s="402">
        <v>1659152.15</v>
      </c>
      <c r="G1085" s="400">
        <f t="shared" si="16"/>
        <v>100</v>
      </c>
    </row>
    <row r="1086" spans="1:7">
      <c r="A1086" s="54" t="s">
        <v>292</v>
      </c>
      <c r="B1086" s="399" t="s">
        <v>1474</v>
      </c>
      <c r="C1086" s="399" t="s">
        <v>1505</v>
      </c>
      <c r="D1086" s="399" t="s">
        <v>1366</v>
      </c>
      <c r="E1086" s="372">
        <v>1659152.15</v>
      </c>
      <c r="F1086" s="402">
        <v>1659152.15</v>
      </c>
      <c r="G1086" s="400">
        <f t="shared" si="16"/>
        <v>100</v>
      </c>
    </row>
    <row r="1087" spans="1:7">
      <c r="A1087" s="54" t="s">
        <v>1588</v>
      </c>
      <c r="B1087" s="399" t="s">
        <v>1474</v>
      </c>
      <c r="C1087" s="399" t="s">
        <v>1505</v>
      </c>
      <c r="D1087" s="399" t="s">
        <v>1589</v>
      </c>
      <c r="E1087" s="372">
        <v>1659152.15</v>
      </c>
      <c r="F1087" s="402">
        <v>1659152.15</v>
      </c>
      <c r="G1087" s="400">
        <f t="shared" si="16"/>
        <v>100</v>
      </c>
    </row>
    <row r="1088" spans="1:7" ht="102">
      <c r="A1088" s="54" t="s">
        <v>1475</v>
      </c>
      <c r="B1088" s="399" t="s">
        <v>1476</v>
      </c>
      <c r="C1088" s="399" t="s">
        <v>1468</v>
      </c>
      <c r="D1088" s="399" t="s">
        <v>1468</v>
      </c>
      <c r="E1088" s="372">
        <v>24381.1</v>
      </c>
      <c r="F1088" s="402">
        <v>24381.1</v>
      </c>
      <c r="G1088" s="400">
        <f t="shared" si="16"/>
        <v>100</v>
      </c>
    </row>
    <row r="1089" spans="1:7" ht="25.5">
      <c r="A1089" s="54" t="s">
        <v>1763</v>
      </c>
      <c r="B1089" s="399" t="s">
        <v>1476</v>
      </c>
      <c r="C1089" s="399" t="s">
        <v>1764</v>
      </c>
      <c r="D1089" s="399" t="s">
        <v>1468</v>
      </c>
      <c r="E1089" s="372">
        <v>24381.1</v>
      </c>
      <c r="F1089" s="402">
        <v>24381.1</v>
      </c>
      <c r="G1089" s="400">
        <f t="shared" si="16"/>
        <v>100</v>
      </c>
    </row>
    <row r="1090" spans="1:7">
      <c r="A1090" s="54" t="s">
        <v>1504</v>
      </c>
      <c r="B1090" s="399" t="s">
        <v>1476</v>
      </c>
      <c r="C1090" s="399" t="s">
        <v>1505</v>
      </c>
      <c r="D1090" s="399" t="s">
        <v>1468</v>
      </c>
      <c r="E1090" s="372">
        <v>24381.1</v>
      </c>
      <c r="F1090" s="402">
        <v>24381.1</v>
      </c>
      <c r="G1090" s="400">
        <f t="shared" si="16"/>
        <v>100</v>
      </c>
    </row>
    <row r="1091" spans="1:7">
      <c r="A1091" s="54" t="s">
        <v>292</v>
      </c>
      <c r="B1091" s="399" t="s">
        <v>1476</v>
      </c>
      <c r="C1091" s="399" t="s">
        <v>1505</v>
      </c>
      <c r="D1091" s="399" t="s">
        <v>1366</v>
      </c>
      <c r="E1091" s="372">
        <v>24381.1</v>
      </c>
      <c r="F1091" s="402">
        <v>24381.1</v>
      </c>
      <c r="G1091" s="400">
        <f t="shared" si="16"/>
        <v>100</v>
      </c>
    </row>
    <row r="1092" spans="1:7">
      <c r="A1092" s="54" t="s">
        <v>1588</v>
      </c>
      <c r="B1092" s="399" t="s">
        <v>1476</v>
      </c>
      <c r="C1092" s="399" t="s">
        <v>1505</v>
      </c>
      <c r="D1092" s="399" t="s">
        <v>1589</v>
      </c>
      <c r="E1092" s="372">
        <v>24381.1</v>
      </c>
      <c r="F1092" s="402">
        <v>24381.1</v>
      </c>
      <c r="G1092" s="400">
        <f t="shared" si="16"/>
        <v>100</v>
      </c>
    </row>
    <row r="1093" spans="1:7" ht="102">
      <c r="A1093" s="54" t="s">
        <v>1477</v>
      </c>
      <c r="B1093" s="399" t="s">
        <v>1478</v>
      </c>
      <c r="C1093" s="399" t="s">
        <v>1468</v>
      </c>
      <c r="D1093" s="399" t="s">
        <v>1468</v>
      </c>
      <c r="E1093" s="372">
        <v>556400</v>
      </c>
      <c r="F1093" s="402">
        <v>556400</v>
      </c>
      <c r="G1093" s="400">
        <f t="shared" si="16"/>
        <v>100</v>
      </c>
    </row>
    <row r="1094" spans="1:7" ht="25.5">
      <c r="A1094" s="54" t="s">
        <v>1763</v>
      </c>
      <c r="B1094" s="399" t="s">
        <v>1478</v>
      </c>
      <c r="C1094" s="399" t="s">
        <v>1764</v>
      </c>
      <c r="D1094" s="399" t="s">
        <v>1468</v>
      </c>
      <c r="E1094" s="372">
        <v>556400</v>
      </c>
      <c r="F1094" s="402">
        <v>556400</v>
      </c>
      <c r="G1094" s="400">
        <f t="shared" si="16"/>
        <v>100</v>
      </c>
    </row>
    <row r="1095" spans="1:7">
      <c r="A1095" s="54" t="s">
        <v>1504</v>
      </c>
      <c r="B1095" s="399" t="s">
        <v>1478</v>
      </c>
      <c r="C1095" s="399" t="s">
        <v>1505</v>
      </c>
      <c r="D1095" s="399" t="s">
        <v>1468</v>
      </c>
      <c r="E1095" s="372">
        <v>556400</v>
      </c>
      <c r="F1095" s="402">
        <v>556400</v>
      </c>
      <c r="G1095" s="400">
        <f t="shared" si="16"/>
        <v>100</v>
      </c>
    </row>
    <row r="1096" spans="1:7">
      <c r="A1096" s="54" t="s">
        <v>292</v>
      </c>
      <c r="B1096" s="399" t="s">
        <v>1478</v>
      </c>
      <c r="C1096" s="399" t="s">
        <v>1505</v>
      </c>
      <c r="D1096" s="399" t="s">
        <v>1366</v>
      </c>
      <c r="E1096" s="372">
        <v>556400</v>
      </c>
      <c r="F1096" s="402">
        <v>556400</v>
      </c>
      <c r="G1096" s="400">
        <f t="shared" si="16"/>
        <v>100</v>
      </c>
    </row>
    <row r="1097" spans="1:7">
      <c r="A1097" s="54" t="s">
        <v>1588</v>
      </c>
      <c r="B1097" s="399" t="s">
        <v>1478</v>
      </c>
      <c r="C1097" s="399" t="s">
        <v>1505</v>
      </c>
      <c r="D1097" s="399" t="s">
        <v>1589</v>
      </c>
      <c r="E1097" s="372">
        <v>556400</v>
      </c>
      <c r="F1097" s="402">
        <v>556400</v>
      </c>
      <c r="G1097" s="400">
        <f t="shared" ref="G1097:G1160" si="17">F1097/E1097*100</f>
        <v>100</v>
      </c>
    </row>
    <row r="1098" spans="1:7" ht="89.25">
      <c r="A1098" s="54" t="s">
        <v>1479</v>
      </c>
      <c r="B1098" s="399" t="s">
        <v>1480</v>
      </c>
      <c r="C1098" s="399" t="s">
        <v>1468</v>
      </c>
      <c r="D1098" s="399" t="s">
        <v>1468</v>
      </c>
      <c r="E1098" s="372">
        <v>503000</v>
      </c>
      <c r="F1098" s="402">
        <v>503000</v>
      </c>
      <c r="G1098" s="400">
        <f t="shared" si="17"/>
        <v>100</v>
      </c>
    </row>
    <row r="1099" spans="1:7" ht="25.5">
      <c r="A1099" s="54" t="s">
        <v>1763</v>
      </c>
      <c r="B1099" s="399" t="s">
        <v>1480</v>
      </c>
      <c r="C1099" s="399" t="s">
        <v>1764</v>
      </c>
      <c r="D1099" s="399" t="s">
        <v>1468</v>
      </c>
      <c r="E1099" s="372">
        <v>503000</v>
      </c>
      <c r="F1099" s="402">
        <v>503000</v>
      </c>
      <c r="G1099" s="400">
        <f t="shared" si="17"/>
        <v>100</v>
      </c>
    </row>
    <row r="1100" spans="1:7">
      <c r="A1100" s="54" t="s">
        <v>1504</v>
      </c>
      <c r="B1100" s="399" t="s">
        <v>1480</v>
      </c>
      <c r="C1100" s="399" t="s">
        <v>1505</v>
      </c>
      <c r="D1100" s="399" t="s">
        <v>1468</v>
      </c>
      <c r="E1100" s="372">
        <v>503000</v>
      </c>
      <c r="F1100" s="402">
        <v>503000</v>
      </c>
      <c r="G1100" s="400">
        <f t="shared" si="17"/>
        <v>100</v>
      </c>
    </row>
    <row r="1101" spans="1:7">
      <c r="A1101" s="54" t="s">
        <v>292</v>
      </c>
      <c r="B1101" s="399" t="s">
        <v>1480</v>
      </c>
      <c r="C1101" s="399" t="s">
        <v>1505</v>
      </c>
      <c r="D1101" s="399" t="s">
        <v>1366</v>
      </c>
      <c r="E1101" s="372">
        <v>503000</v>
      </c>
      <c r="F1101" s="402">
        <v>503000</v>
      </c>
      <c r="G1101" s="400">
        <f t="shared" si="17"/>
        <v>100</v>
      </c>
    </row>
    <row r="1102" spans="1:7">
      <c r="A1102" s="54" t="s">
        <v>1588</v>
      </c>
      <c r="B1102" s="399" t="s">
        <v>1480</v>
      </c>
      <c r="C1102" s="399" t="s">
        <v>1505</v>
      </c>
      <c r="D1102" s="399" t="s">
        <v>1589</v>
      </c>
      <c r="E1102" s="372">
        <v>503000</v>
      </c>
      <c r="F1102" s="402">
        <v>503000</v>
      </c>
      <c r="G1102" s="400">
        <f t="shared" si="17"/>
        <v>100</v>
      </c>
    </row>
    <row r="1103" spans="1:7" ht="76.5">
      <c r="A1103" s="54" t="s">
        <v>471</v>
      </c>
      <c r="B1103" s="399" t="s">
        <v>817</v>
      </c>
      <c r="C1103" s="399" t="s">
        <v>1468</v>
      </c>
      <c r="D1103" s="399" t="s">
        <v>1468</v>
      </c>
      <c r="E1103" s="372">
        <v>516026</v>
      </c>
      <c r="F1103" s="400">
        <v>513047.72</v>
      </c>
      <c r="G1103" s="400">
        <f t="shared" si="17"/>
        <v>99.42284303504087</v>
      </c>
    </row>
    <row r="1104" spans="1:7" ht="25.5">
      <c r="A1104" s="54" t="s">
        <v>1763</v>
      </c>
      <c r="B1104" s="399" t="s">
        <v>817</v>
      </c>
      <c r="C1104" s="399" t="s">
        <v>1764</v>
      </c>
      <c r="D1104" s="399" t="s">
        <v>1468</v>
      </c>
      <c r="E1104" s="372">
        <v>516026</v>
      </c>
      <c r="F1104" s="400">
        <v>513047.72</v>
      </c>
      <c r="G1104" s="400">
        <f t="shared" si="17"/>
        <v>99.42284303504087</v>
      </c>
    </row>
    <row r="1105" spans="1:7">
      <c r="A1105" s="54" t="s">
        <v>1504</v>
      </c>
      <c r="B1105" s="399" t="s">
        <v>817</v>
      </c>
      <c r="C1105" s="399" t="s">
        <v>1505</v>
      </c>
      <c r="D1105" s="399" t="s">
        <v>1468</v>
      </c>
      <c r="E1105" s="372">
        <v>516026</v>
      </c>
      <c r="F1105" s="400">
        <v>513047.72</v>
      </c>
      <c r="G1105" s="400">
        <f t="shared" si="17"/>
        <v>99.42284303504087</v>
      </c>
    </row>
    <row r="1106" spans="1:7">
      <c r="A1106" s="54" t="s">
        <v>292</v>
      </c>
      <c r="B1106" s="399" t="s">
        <v>817</v>
      </c>
      <c r="C1106" s="399" t="s">
        <v>1505</v>
      </c>
      <c r="D1106" s="399" t="s">
        <v>1366</v>
      </c>
      <c r="E1106" s="372">
        <v>516026</v>
      </c>
      <c r="F1106" s="400">
        <v>513047.72</v>
      </c>
      <c r="G1106" s="400">
        <f t="shared" si="17"/>
        <v>99.42284303504087</v>
      </c>
    </row>
    <row r="1107" spans="1:7">
      <c r="A1107" s="54" t="s">
        <v>254</v>
      </c>
      <c r="B1107" s="399" t="s">
        <v>817</v>
      </c>
      <c r="C1107" s="399" t="s">
        <v>1505</v>
      </c>
      <c r="D1107" s="399" t="s">
        <v>469</v>
      </c>
      <c r="E1107" s="372">
        <v>516026</v>
      </c>
      <c r="F1107" s="400">
        <v>513047.72</v>
      </c>
      <c r="G1107" s="400">
        <f t="shared" si="17"/>
        <v>99.42284303504087</v>
      </c>
    </row>
    <row r="1108" spans="1:7" ht="63.75">
      <c r="A1108" s="54" t="s">
        <v>1557</v>
      </c>
      <c r="B1108" s="399" t="s">
        <v>1558</v>
      </c>
      <c r="C1108" s="399" t="s">
        <v>1468</v>
      </c>
      <c r="D1108" s="399" t="s">
        <v>1468</v>
      </c>
      <c r="E1108" s="372">
        <v>217600</v>
      </c>
      <c r="F1108" s="402">
        <v>217600</v>
      </c>
      <c r="G1108" s="400">
        <f t="shared" si="17"/>
        <v>100</v>
      </c>
    </row>
    <row r="1109" spans="1:7" ht="25.5">
      <c r="A1109" s="54" t="s">
        <v>1763</v>
      </c>
      <c r="B1109" s="399" t="s">
        <v>1558</v>
      </c>
      <c r="C1109" s="399" t="s">
        <v>1764</v>
      </c>
      <c r="D1109" s="399" t="s">
        <v>1468</v>
      </c>
      <c r="E1109" s="372">
        <v>217600</v>
      </c>
      <c r="F1109" s="402">
        <v>217600</v>
      </c>
      <c r="G1109" s="400">
        <f t="shared" si="17"/>
        <v>100</v>
      </c>
    </row>
    <row r="1110" spans="1:7">
      <c r="A1110" s="54" t="s">
        <v>1504</v>
      </c>
      <c r="B1110" s="399" t="s">
        <v>1558</v>
      </c>
      <c r="C1110" s="399" t="s">
        <v>1505</v>
      </c>
      <c r="D1110" s="399" t="s">
        <v>1468</v>
      </c>
      <c r="E1110" s="372">
        <v>217600</v>
      </c>
      <c r="F1110" s="402">
        <v>217600</v>
      </c>
      <c r="G1110" s="400">
        <f t="shared" si="17"/>
        <v>100</v>
      </c>
    </row>
    <row r="1111" spans="1:7">
      <c r="A1111" s="54" t="s">
        <v>292</v>
      </c>
      <c r="B1111" s="399" t="s">
        <v>1558</v>
      </c>
      <c r="C1111" s="399" t="s">
        <v>1505</v>
      </c>
      <c r="D1111" s="399" t="s">
        <v>1366</v>
      </c>
      <c r="E1111" s="372">
        <v>217600</v>
      </c>
      <c r="F1111" s="402">
        <v>217600</v>
      </c>
      <c r="G1111" s="400">
        <f t="shared" si="17"/>
        <v>100</v>
      </c>
    </row>
    <row r="1112" spans="1:7">
      <c r="A1112" s="54" t="s">
        <v>254</v>
      </c>
      <c r="B1112" s="399" t="s">
        <v>1558</v>
      </c>
      <c r="C1112" s="399" t="s">
        <v>1505</v>
      </c>
      <c r="D1112" s="399" t="s">
        <v>469</v>
      </c>
      <c r="E1112" s="372">
        <v>217600</v>
      </c>
      <c r="F1112" s="402">
        <v>217600</v>
      </c>
      <c r="G1112" s="400">
        <f t="shared" si="17"/>
        <v>100</v>
      </c>
    </row>
    <row r="1113" spans="1:7" ht="63.75">
      <c r="A1113" s="54" t="s">
        <v>2004</v>
      </c>
      <c r="B1113" s="399" t="s">
        <v>2009</v>
      </c>
      <c r="C1113" s="399" t="s">
        <v>1468</v>
      </c>
      <c r="D1113" s="399" t="s">
        <v>1468</v>
      </c>
      <c r="E1113" s="372">
        <v>375000</v>
      </c>
      <c r="F1113" s="402">
        <v>375000</v>
      </c>
      <c r="G1113" s="400">
        <f t="shared" si="17"/>
        <v>100</v>
      </c>
    </row>
    <row r="1114" spans="1:7" ht="25.5">
      <c r="A1114" s="54" t="s">
        <v>1763</v>
      </c>
      <c r="B1114" s="399" t="s">
        <v>2009</v>
      </c>
      <c r="C1114" s="399" t="s">
        <v>1764</v>
      </c>
      <c r="D1114" s="399" t="s">
        <v>1468</v>
      </c>
      <c r="E1114" s="372">
        <v>375000</v>
      </c>
      <c r="F1114" s="402">
        <v>375000</v>
      </c>
      <c r="G1114" s="400">
        <f t="shared" si="17"/>
        <v>100</v>
      </c>
    </row>
    <row r="1115" spans="1:7">
      <c r="A1115" s="54" t="s">
        <v>1504</v>
      </c>
      <c r="B1115" s="399" t="s">
        <v>2009</v>
      </c>
      <c r="C1115" s="399" t="s">
        <v>1505</v>
      </c>
      <c r="D1115" s="399" t="s">
        <v>1468</v>
      </c>
      <c r="E1115" s="372">
        <v>375000</v>
      </c>
      <c r="F1115" s="402">
        <v>375000</v>
      </c>
      <c r="G1115" s="400">
        <f t="shared" si="17"/>
        <v>100</v>
      </c>
    </row>
    <row r="1116" spans="1:7">
      <c r="A1116" s="54" t="s">
        <v>292</v>
      </c>
      <c r="B1116" s="399" t="s">
        <v>2009</v>
      </c>
      <c r="C1116" s="399" t="s">
        <v>1505</v>
      </c>
      <c r="D1116" s="399" t="s">
        <v>1366</v>
      </c>
      <c r="E1116" s="372">
        <v>375000</v>
      </c>
      <c r="F1116" s="402">
        <v>375000</v>
      </c>
      <c r="G1116" s="400">
        <f t="shared" si="17"/>
        <v>100</v>
      </c>
    </row>
    <row r="1117" spans="1:7">
      <c r="A1117" s="54" t="s">
        <v>254</v>
      </c>
      <c r="B1117" s="399" t="s">
        <v>2009</v>
      </c>
      <c r="C1117" s="399" t="s">
        <v>1505</v>
      </c>
      <c r="D1117" s="399" t="s">
        <v>469</v>
      </c>
      <c r="E1117" s="372">
        <v>375000</v>
      </c>
      <c r="F1117" s="402">
        <v>375000</v>
      </c>
      <c r="G1117" s="400">
        <f t="shared" si="17"/>
        <v>100</v>
      </c>
    </row>
    <row r="1118" spans="1:7" ht="76.5">
      <c r="A1118" s="54" t="s">
        <v>1481</v>
      </c>
      <c r="B1118" s="399" t="s">
        <v>1482</v>
      </c>
      <c r="C1118" s="399" t="s">
        <v>1468</v>
      </c>
      <c r="D1118" s="399" t="s">
        <v>1468</v>
      </c>
      <c r="E1118" s="372">
        <v>688000</v>
      </c>
      <c r="F1118" s="402">
        <v>688000</v>
      </c>
      <c r="G1118" s="400">
        <f t="shared" si="17"/>
        <v>100</v>
      </c>
    </row>
    <row r="1119" spans="1:7" ht="25.5">
      <c r="A1119" s="54" t="s">
        <v>1763</v>
      </c>
      <c r="B1119" s="399" t="s">
        <v>1482</v>
      </c>
      <c r="C1119" s="399" t="s">
        <v>1764</v>
      </c>
      <c r="D1119" s="399" t="s">
        <v>1468</v>
      </c>
      <c r="E1119" s="372">
        <v>688000</v>
      </c>
      <c r="F1119" s="402">
        <v>688000</v>
      </c>
      <c r="G1119" s="400">
        <f t="shared" si="17"/>
        <v>100</v>
      </c>
    </row>
    <row r="1120" spans="1:7">
      <c r="A1120" s="54" t="s">
        <v>1504</v>
      </c>
      <c r="B1120" s="399" t="s">
        <v>1482</v>
      </c>
      <c r="C1120" s="399" t="s">
        <v>1505</v>
      </c>
      <c r="D1120" s="399" t="s">
        <v>1468</v>
      </c>
      <c r="E1120" s="372">
        <v>688000</v>
      </c>
      <c r="F1120" s="402">
        <v>688000</v>
      </c>
      <c r="G1120" s="400">
        <f t="shared" si="17"/>
        <v>100</v>
      </c>
    </row>
    <row r="1121" spans="1:7">
      <c r="A1121" s="54" t="s">
        <v>292</v>
      </c>
      <c r="B1121" s="399" t="s">
        <v>1482</v>
      </c>
      <c r="C1121" s="399" t="s">
        <v>1505</v>
      </c>
      <c r="D1121" s="399" t="s">
        <v>1366</v>
      </c>
      <c r="E1121" s="372">
        <v>688000</v>
      </c>
      <c r="F1121" s="402">
        <v>688000</v>
      </c>
      <c r="G1121" s="400">
        <f t="shared" si="17"/>
        <v>100</v>
      </c>
    </row>
    <row r="1122" spans="1:7">
      <c r="A1122" s="54" t="s">
        <v>1588</v>
      </c>
      <c r="B1122" s="399" t="s">
        <v>1482</v>
      </c>
      <c r="C1122" s="399" t="s">
        <v>1505</v>
      </c>
      <c r="D1122" s="399" t="s">
        <v>1589</v>
      </c>
      <c r="E1122" s="372">
        <v>688000</v>
      </c>
      <c r="F1122" s="402">
        <v>688000</v>
      </c>
      <c r="G1122" s="400">
        <f t="shared" si="17"/>
        <v>100</v>
      </c>
    </row>
    <row r="1123" spans="1:7" ht="89.25">
      <c r="A1123" s="54" t="s">
        <v>1914</v>
      </c>
      <c r="B1123" s="399" t="s">
        <v>1876</v>
      </c>
      <c r="C1123" s="399" t="s">
        <v>1468</v>
      </c>
      <c r="D1123" s="399" t="s">
        <v>1468</v>
      </c>
      <c r="E1123" s="372">
        <v>3333000</v>
      </c>
      <c r="F1123" s="402">
        <v>3333000</v>
      </c>
      <c r="G1123" s="400">
        <f t="shared" si="17"/>
        <v>100</v>
      </c>
    </row>
    <row r="1124" spans="1:7" ht="25.5">
      <c r="A1124" s="54" t="s">
        <v>1755</v>
      </c>
      <c r="B1124" s="399" t="s">
        <v>1876</v>
      </c>
      <c r="C1124" s="399" t="s">
        <v>1756</v>
      </c>
      <c r="D1124" s="399" t="s">
        <v>1468</v>
      </c>
      <c r="E1124" s="372">
        <v>3333000</v>
      </c>
      <c r="F1124" s="402">
        <v>3333000</v>
      </c>
      <c r="G1124" s="400">
        <f t="shared" si="17"/>
        <v>100</v>
      </c>
    </row>
    <row r="1125" spans="1:7" ht="25.5">
      <c r="A1125" s="54" t="s">
        <v>1502</v>
      </c>
      <c r="B1125" s="399" t="s">
        <v>1876</v>
      </c>
      <c r="C1125" s="399" t="s">
        <v>1503</v>
      </c>
      <c r="D1125" s="399" t="s">
        <v>1468</v>
      </c>
      <c r="E1125" s="372">
        <v>3333000</v>
      </c>
      <c r="F1125" s="402">
        <v>3333000</v>
      </c>
      <c r="G1125" s="400">
        <f t="shared" si="17"/>
        <v>100</v>
      </c>
    </row>
    <row r="1126" spans="1:7">
      <c r="A1126" s="54" t="s">
        <v>292</v>
      </c>
      <c r="B1126" s="399" t="s">
        <v>1876</v>
      </c>
      <c r="C1126" s="399" t="s">
        <v>1503</v>
      </c>
      <c r="D1126" s="399" t="s">
        <v>1366</v>
      </c>
      <c r="E1126" s="372">
        <v>3333000</v>
      </c>
      <c r="F1126" s="402">
        <v>3333000</v>
      </c>
      <c r="G1126" s="400">
        <f t="shared" si="17"/>
        <v>100</v>
      </c>
    </row>
    <row r="1127" spans="1:7">
      <c r="A1127" s="54" t="s">
        <v>254</v>
      </c>
      <c r="B1127" s="399" t="s">
        <v>1876</v>
      </c>
      <c r="C1127" s="399" t="s">
        <v>1503</v>
      </c>
      <c r="D1127" s="399" t="s">
        <v>469</v>
      </c>
      <c r="E1127" s="372">
        <v>3333000</v>
      </c>
      <c r="F1127" s="402">
        <v>3333000</v>
      </c>
      <c r="G1127" s="400">
        <f t="shared" si="17"/>
        <v>100</v>
      </c>
    </row>
    <row r="1128" spans="1:7" ht="25.5">
      <c r="A1128" s="54" t="s">
        <v>570</v>
      </c>
      <c r="B1128" s="399" t="s">
        <v>1130</v>
      </c>
      <c r="C1128" s="399" t="s">
        <v>1468</v>
      </c>
      <c r="D1128" s="399" t="s">
        <v>1468</v>
      </c>
      <c r="E1128" s="372">
        <v>200000</v>
      </c>
      <c r="F1128" s="400">
        <v>186288.7</v>
      </c>
      <c r="G1128" s="400">
        <f t="shared" si="17"/>
        <v>93.144350000000003</v>
      </c>
    </row>
    <row r="1129" spans="1:7" ht="76.5">
      <c r="A1129" s="54" t="s">
        <v>598</v>
      </c>
      <c r="B1129" s="399" t="s">
        <v>818</v>
      </c>
      <c r="C1129" s="399" t="s">
        <v>1468</v>
      </c>
      <c r="D1129" s="399" t="s">
        <v>1468</v>
      </c>
      <c r="E1129" s="372">
        <v>16900</v>
      </c>
      <c r="F1129" s="400">
        <v>10000</v>
      </c>
      <c r="G1129" s="400">
        <f t="shared" si="17"/>
        <v>59.171597633136095</v>
      </c>
    </row>
    <row r="1130" spans="1:7" ht="25.5">
      <c r="A1130" s="54" t="s">
        <v>1763</v>
      </c>
      <c r="B1130" s="399" t="s">
        <v>818</v>
      </c>
      <c r="C1130" s="399" t="s">
        <v>1764</v>
      </c>
      <c r="D1130" s="399" t="s">
        <v>1468</v>
      </c>
      <c r="E1130" s="372">
        <v>16900</v>
      </c>
      <c r="F1130" s="400">
        <v>10000</v>
      </c>
      <c r="G1130" s="400">
        <f t="shared" si="17"/>
        <v>59.171597633136095</v>
      </c>
    </row>
    <row r="1131" spans="1:7">
      <c r="A1131" s="54" t="s">
        <v>1504</v>
      </c>
      <c r="B1131" s="399" t="s">
        <v>818</v>
      </c>
      <c r="C1131" s="399" t="s">
        <v>1505</v>
      </c>
      <c r="D1131" s="399" t="s">
        <v>1468</v>
      </c>
      <c r="E1131" s="372">
        <v>16900</v>
      </c>
      <c r="F1131" s="400">
        <v>10000</v>
      </c>
      <c r="G1131" s="400">
        <f t="shared" si="17"/>
        <v>59.171597633136095</v>
      </c>
    </row>
    <row r="1132" spans="1:7">
      <c r="A1132" s="54" t="s">
        <v>292</v>
      </c>
      <c r="B1132" s="399" t="s">
        <v>818</v>
      </c>
      <c r="C1132" s="399" t="s">
        <v>1505</v>
      </c>
      <c r="D1132" s="399" t="s">
        <v>1366</v>
      </c>
      <c r="E1132" s="372">
        <v>16900</v>
      </c>
      <c r="F1132" s="400">
        <v>10000</v>
      </c>
      <c r="G1132" s="400">
        <f t="shared" si="17"/>
        <v>59.171597633136095</v>
      </c>
    </row>
    <row r="1133" spans="1:7">
      <c r="A1133" s="54" t="s">
        <v>254</v>
      </c>
      <c r="B1133" s="399" t="s">
        <v>818</v>
      </c>
      <c r="C1133" s="399" t="s">
        <v>1505</v>
      </c>
      <c r="D1133" s="399" t="s">
        <v>469</v>
      </c>
      <c r="E1133" s="372">
        <v>16900</v>
      </c>
      <c r="F1133" s="400">
        <v>10000</v>
      </c>
      <c r="G1133" s="400">
        <f t="shared" si="17"/>
        <v>59.171597633136095</v>
      </c>
    </row>
    <row r="1134" spans="1:7" ht="63.75">
      <c r="A1134" s="54" t="s">
        <v>472</v>
      </c>
      <c r="B1134" s="399" t="s">
        <v>819</v>
      </c>
      <c r="C1134" s="399" t="s">
        <v>1468</v>
      </c>
      <c r="D1134" s="399" t="s">
        <v>1468</v>
      </c>
      <c r="E1134" s="372">
        <v>176400</v>
      </c>
      <c r="F1134" s="400">
        <v>176288.7</v>
      </c>
      <c r="G1134" s="400">
        <f t="shared" si="17"/>
        <v>99.936904761904771</v>
      </c>
    </row>
    <row r="1135" spans="1:7" ht="25.5">
      <c r="A1135" s="54" t="s">
        <v>1763</v>
      </c>
      <c r="B1135" s="399" t="s">
        <v>819</v>
      </c>
      <c r="C1135" s="399" t="s">
        <v>1764</v>
      </c>
      <c r="D1135" s="399" t="s">
        <v>1468</v>
      </c>
      <c r="E1135" s="372">
        <v>176400</v>
      </c>
      <c r="F1135" s="400">
        <v>176288.7</v>
      </c>
      <c r="G1135" s="400">
        <f t="shared" si="17"/>
        <v>99.936904761904771</v>
      </c>
    </row>
    <row r="1136" spans="1:7">
      <c r="A1136" s="54" t="s">
        <v>1504</v>
      </c>
      <c r="B1136" s="399" t="s">
        <v>819</v>
      </c>
      <c r="C1136" s="399" t="s">
        <v>1505</v>
      </c>
      <c r="D1136" s="399" t="s">
        <v>1468</v>
      </c>
      <c r="E1136" s="372">
        <v>176400</v>
      </c>
      <c r="F1136" s="400">
        <v>176288.7</v>
      </c>
      <c r="G1136" s="400">
        <f t="shared" si="17"/>
        <v>99.936904761904771</v>
      </c>
    </row>
    <row r="1137" spans="1:7">
      <c r="A1137" s="54" t="s">
        <v>292</v>
      </c>
      <c r="B1137" s="399" t="s">
        <v>819</v>
      </c>
      <c r="C1137" s="399" t="s">
        <v>1505</v>
      </c>
      <c r="D1137" s="399" t="s">
        <v>1366</v>
      </c>
      <c r="E1137" s="372">
        <v>176400</v>
      </c>
      <c r="F1137" s="400">
        <v>176288.7</v>
      </c>
      <c r="G1137" s="400">
        <f t="shared" si="17"/>
        <v>99.936904761904771</v>
      </c>
    </row>
    <row r="1138" spans="1:7">
      <c r="A1138" s="54" t="s">
        <v>254</v>
      </c>
      <c r="B1138" s="399" t="s">
        <v>819</v>
      </c>
      <c r="C1138" s="399" t="s">
        <v>1505</v>
      </c>
      <c r="D1138" s="399" t="s">
        <v>469</v>
      </c>
      <c r="E1138" s="372">
        <v>176400</v>
      </c>
      <c r="F1138" s="400">
        <v>176288.7</v>
      </c>
      <c r="G1138" s="400">
        <f t="shared" si="17"/>
        <v>99.936904761904771</v>
      </c>
    </row>
    <row r="1139" spans="1:7" ht="89.25">
      <c r="A1139" s="54" t="s">
        <v>473</v>
      </c>
      <c r="B1139" s="399" t="s">
        <v>820</v>
      </c>
      <c r="C1139" s="399" t="s">
        <v>1468</v>
      </c>
      <c r="D1139" s="399" t="s">
        <v>1468</v>
      </c>
      <c r="E1139" s="372">
        <v>6700</v>
      </c>
      <c r="F1139" s="400">
        <v>0</v>
      </c>
      <c r="G1139" s="400">
        <f t="shared" si="17"/>
        <v>0</v>
      </c>
    </row>
    <row r="1140" spans="1:7" ht="25.5">
      <c r="A1140" s="54" t="s">
        <v>1763</v>
      </c>
      <c r="B1140" s="399" t="s">
        <v>820</v>
      </c>
      <c r="C1140" s="399" t="s">
        <v>1764</v>
      </c>
      <c r="D1140" s="399" t="s">
        <v>1468</v>
      </c>
      <c r="E1140" s="372">
        <v>6700</v>
      </c>
      <c r="F1140" s="400">
        <v>0</v>
      </c>
      <c r="G1140" s="400">
        <f t="shared" si="17"/>
        <v>0</v>
      </c>
    </row>
    <row r="1141" spans="1:7">
      <c r="A1141" s="54" t="s">
        <v>1504</v>
      </c>
      <c r="B1141" s="399" t="s">
        <v>820</v>
      </c>
      <c r="C1141" s="399" t="s">
        <v>1505</v>
      </c>
      <c r="D1141" s="399" t="s">
        <v>1468</v>
      </c>
      <c r="E1141" s="372">
        <v>6700</v>
      </c>
      <c r="F1141" s="400">
        <v>0</v>
      </c>
      <c r="G1141" s="400">
        <f t="shared" si="17"/>
        <v>0</v>
      </c>
    </row>
    <row r="1142" spans="1:7">
      <c r="A1142" s="54" t="s">
        <v>292</v>
      </c>
      <c r="B1142" s="399" t="s">
        <v>820</v>
      </c>
      <c r="C1142" s="399" t="s">
        <v>1505</v>
      </c>
      <c r="D1142" s="399" t="s">
        <v>1366</v>
      </c>
      <c r="E1142" s="372">
        <v>6700</v>
      </c>
      <c r="F1142" s="400">
        <v>0</v>
      </c>
      <c r="G1142" s="400">
        <f t="shared" si="17"/>
        <v>0</v>
      </c>
    </row>
    <row r="1143" spans="1:7">
      <c r="A1143" s="54" t="s">
        <v>254</v>
      </c>
      <c r="B1143" s="399" t="s">
        <v>820</v>
      </c>
      <c r="C1143" s="399" t="s">
        <v>1505</v>
      </c>
      <c r="D1143" s="399" t="s">
        <v>469</v>
      </c>
      <c r="E1143" s="372">
        <v>6700</v>
      </c>
      <c r="F1143" s="400">
        <v>0</v>
      </c>
      <c r="G1143" s="400">
        <f t="shared" si="17"/>
        <v>0</v>
      </c>
    </row>
    <row r="1144" spans="1:7" ht="51">
      <c r="A1144" s="54" t="s">
        <v>1624</v>
      </c>
      <c r="B1144" s="399" t="s">
        <v>1131</v>
      </c>
      <c r="C1144" s="399" t="s">
        <v>1468</v>
      </c>
      <c r="D1144" s="399" t="s">
        <v>1468</v>
      </c>
      <c r="E1144" s="372">
        <v>16210936.869999999</v>
      </c>
      <c r="F1144" s="402">
        <v>16210936.869999999</v>
      </c>
      <c r="G1144" s="400">
        <f t="shared" si="17"/>
        <v>100</v>
      </c>
    </row>
    <row r="1145" spans="1:7" ht="25.5">
      <c r="A1145" s="54" t="s">
        <v>573</v>
      </c>
      <c r="B1145" s="399" t="s">
        <v>1132</v>
      </c>
      <c r="C1145" s="399" t="s">
        <v>1468</v>
      </c>
      <c r="D1145" s="399" t="s">
        <v>1468</v>
      </c>
      <c r="E1145" s="372">
        <v>16207936.869999999</v>
      </c>
      <c r="F1145" s="402">
        <v>16207936.869999999</v>
      </c>
      <c r="G1145" s="400">
        <f t="shared" si="17"/>
        <v>100</v>
      </c>
    </row>
    <row r="1146" spans="1:7" ht="127.5">
      <c r="A1146" s="54" t="s">
        <v>1906</v>
      </c>
      <c r="B1146" s="399" t="s">
        <v>1036</v>
      </c>
      <c r="C1146" s="399" t="s">
        <v>1468</v>
      </c>
      <c r="D1146" s="399" t="s">
        <v>1468</v>
      </c>
      <c r="E1146" s="372">
        <v>15388040</v>
      </c>
      <c r="F1146" s="402">
        <v>15388040</v>
      </c>
      <c r="G1146" s="400">
        <f t="shared" si="17"/>
        <v>100</v>
      </c>
    </row>
    <row r="1147" spans="1:7">
      <c r="A1147" s="54" t="s">
        <v>1757</v>
      </c>
      <c r="B1147" s="399" t="s">
        <v>1036</v>
      </c>
      <c r="C1147" s="399" t="s">
        <v>1758</v>
      </c>
      <c r="D1147" s="399" t="s">
        <v>1468</v>
      </c>
      <c r="E1147" s="372">
        <v>15388040</v>
      </c>
      <c r="F1147" s="402">
        <v>15388040</v>
      </c>
      <c r="G1147" s="400">
        <f t="shared" si="17"/>
        <v>100</v>
      </c>
    </row>
    <row r="1148" spans="1:7" ht="51">
      <c r="A1148" s="54" t="s">
        <v>1512</v>
      </c>
      <c r="B1148" s="399" t="s">
        <v>1036</v>
      </c>
      <c r="C1148" s="399" t="s">
        <v>442</v>
      </c>
      <c r="D1148" s="399" t="s">
        <v>1468</v>
      </c>
      <c r="E1148" s="372">
        <v>15388040</v>
      </c>
      <c r="F1148" s="402">
        <v>15388040</v>
      </c>
      <c r="G1148" s="400">
        <f t="shared" si="17"/>
        <v>100</v>
      </c>
    </row>
    <row r="1149" spans="1:7">
      <c r="A1149" s="54" t="s">
        <v>218</v>
      </c>
      <c r="B1149" s="399" t="s">
        <v>1036</v>
      </c>
      <c r="C1149" s="399" t="s">
        <v>442</v>
      </c>
      <c r="D1149" s="399" t="s">
        <v>1362</v>
      </c>
      <c r="E1149" s="372">
        <v>15388040</v>
      </c>
      <c r="F1149" s="402">
        <v>15388040</v>
      </c>
      <c r="G1149" s="400">
        <f t="shared" si="17"/>
        <v>100</v>
      </c>
    </row>
    <row r="1150" spans="1:7">
      <c r="A1150" s="54" t="s">
        <v>179</v>
      </c>
      <c r="B1150" s="399" t="s">
        <v>1036</v>
      </c>
      <c r="C1150" s="399" t="s">
        <v>442</v>
      </c>
      <c r="D1150" s="399" t="s">
        <v>448</v>
      </c>
      <c r="E1150" s="372">
        <v>15388040</v>
      </c>
      <c r="F1150" s="402">
        <v>15388040</v>
      </c>
      <c r="G1150" s="400">
        <f t="shared" si="17"/>
        <v>100</v>
      </c>
    </row>
    <row r="1151" spans="1:7" ht="114.75">
      <c r="A1151" s="54" t="s">
        <v>1742</v>
      </c>
      <c r="B1151" s="399" t="s">
        <v>800</v>
      </c>
      <c r="C1151" s="399" t="s">
        <v>1468</v>
      </c>
      <c r="D1151" s="399" t="s">
        <v>1468</v>
      </c>
      <c r="E1151" s="372">
        <v>10000</v>
      </c>
      <c r="F1151" s="402">
        <v>10000</v>
      </c>
      <c r="G1151" s="400">
        <f t="shared" si="17"/>
        <v>100</v>
      </c>
    </row>
    <row r="1152" spans="1:7" ht="25.5">
      <c r="A1152" s="54" t="s">
        <v>1755</v>
      </c>
      <c r="B1152" s="399" t="s">
        <v>800</v>
      </c>
      <c r="C1152" s="399" t="s">
        <v>1756</v>
      </c>
      <c r="D1152" s="399" t="s">
        <v>1468</v>
      </c>
      <c r="E1152" s="372">
        <v>10000</v>
      </c>
      <c r="F1152" s="402">
        <v>10000</v>
      </c>
      <c r="G1152" s="400">
        <f t="shared" si="17"/>
        <v>100</v>
      </c>
    </row>
    <row r="1153" spans="1:7" ht="25.5">
      <c r="A1153" s="54" t="s">
        <v>1502</v>
      </c>
      <c r="B1153" s="399" t="s">
        <v>800</v>
      </c>
      <c r="C1153" s="399" t="s">
        <v>1503</v>
      </c>
      <c r="D1153" s="399" t="s">
        <v>1468</v>
      </c>
      <c r="E1153" s="372">
        <v>10000</v>
      </c>
      <c r="F1153" s="402">
        <v>10000</v>
      </c>
      <c r="G1153" s="400">
        <f t="shared" si="17"/>
        <v>100</v>
      </c>
    </row>
    <row r="1154" spans="1:7">
      <c r="A1154" s="54" t="s">
        <v>218</v>
      </c>
      <c r="B1154" s="399" t="s">
        <v>800</v>
      </c>
      <c r="C1154" s="399" t="s">
        <v>1503</v>
      </c>
      <c r="D1154" s="399" t="s">
        <v>1362</v>
      </c>
      <c r="E1154" s="372">
        <v>10000</v>
      </c>
      <c r="F1154" s="402">
        <v>10000</v>
      </c>
      <c r="G1154" s="400">
        <f t="shared" si="17"/>
        <v>100</v>
      </c>
    </row>
    <row r="1155" spans="1:7">
      <c r="A1155" s="54" t="s">
        <v>179</v>
      </c>
      <c r="B1155" s="399" t="s">
        <v>800</v>
      </c>
      <c r="C1155" s="399" t="s">
        <v>1503</v>
      </c>
      <c r="D1155" s="399" t="s">
        <v>448</v>
      </c>
      <c r="E1155" s="372">
        <v>10000</v>
      </c>
      <c r="F1155" s="402">
        <v>10000</v>
      </c>
      <c r="G1155" s="400">
        <f t="shared" si="17"/>
        <v>100</v>
      </c>
    </row>
    <row r="1156" spans="1:7" ht="127.5">
      <c r="A1156" s="54" t="s">
        <v>1907</v>
      </c>
      <c r="B1156" s="399" t="s">
        <v>1908</v>
      </c>
      <c r="C1156" s="399" t="s">
        <v>1468</v>
      </c>
      <c r="D1156" s="399" t="s">
        <v>1468</v>
      </c>
      <c r="E1156" s="372">
        <v>809896.87</v>
      </c>
      <c r="F1156" s="402">
        <v>809896.87</v>
      </c>
      <c r="G1156" s="400">
        <f t="shared" si="17"/>
        <v>100</v>
      </c>
    </row>
    <row r="1157" spans="1:7">
      <c r="A1157" s="54" t="s">
        <v>1757</v>
      </c>
      <c r="B1157" s="399" t="s">
        <v>1908</v>
      </c>
      <c r="C1157" s="399" t="s">
        <v>1758</v>
      </c>
      <c r="D1157" s="399" t="s">
        <v>1468</v>
      </c>
      <c r="E1157" s="372">
        <v>809896.87</v>
      </c>
      <c r="F1157" s="402">
        <v>809896.87</v>
      </c>
      <c r="G1157" s="400">
        <f t="shared" si="17"/>
        <v>100</v>
      </c>
    </row>
    <row r="1158" spans="1:7" ht="51">
      <c r="A1158" s="54" t="s">
        <v>1512</v>
      </c>
      <c r="B1158" s="399" t="s">
        <v>1908</v>
      </c>
      <c r="C1158" s="399" t="s">
        <v>442</v>
      </c>
      <c r="D1158" s="399" t="s">
        <v>1468</v>
      </c>
      <c r="E1158" s="372">
        <v>809896.87</v>
      </c>
      <c r="F1158" s="402">
        <v>809896.87</v>
      </c>
      <c r="G1158" s="400">
        <f t="shared" si="17"/>
        <v>100</v>
      </c>
    </row>
    <row r="1159" spans="1:7">
      <c r="A1159" s="54" t="s">
        <v>218</v>
      </c>
      <c r="B1159" s="399" t="s">
        <v>1908</v>
      </c>
      <c r="C1159" s="399" t="s">
        <v>442</v>
      </c>
      <c r="D1159" s="399" t="s">
        <v>1362</v>
      </c>
      <c r="E1159" s="372">
        <v>809896.87</v>
      </c>
      <c r="F1159" s="402">
        <v>809896.87</v>
      </c>
      <c r="G1159" s="400">
        <f t="shared" si="17"/>
        <v>100</v>
      </c>
    </row>
    <row r="1160" spans="1:7">
      <c r="A1160" s="54" t="s">
        <v>179</v>
      </c>
      <c r="B1160" s="399" t="s">
        <v>1908</v>
      </c>
      <c r="C1160" s="399" t="s">
        <v>442</v>
      </c>
      <c r="D1160" s="399" t="s">
        <v>448</v>
      </c>
      <c r="E1160" s="372">
        <v>809896.87</v>
      </c>
      <c r="F1160" s="402">
        <v>809896.87</v>
      </c>
      <c r="G1160" s="400">
        <f t="shared" si="17"/>
        <v>100</v>
      </c>
    </row>
    <row r="1161" spans="1:7" ht="25.5">
      <c r="A1161" s="54" t="s">
        <v>540</v>
      </c>
      <c r="B1161" s="399" t="s">
        <v>1743</v>
      </c>
      <c r="C1161" s="399" t="s">
        <v>1468</v>
      </c>
      <c r="D1161" s="399" t="s">
        <v>1468</v>
      </c>
      <c r="E1161" s="372">
        <v>3000</v>
      </c>
      <c r="F1161" s="402">
        <v>3000</v>
      </c>
      <c r="G1161" s="400">
        <f t="shared" ref="G1161:G1224" si="18">F1161/E1161*100</f>
        <v>100</v>
      </c>
    </row>
    <row r="1162" spans="1:7" ht="102">
      <c r="A1162" s="54" t="s">
        <v>1744</v>
      </c>
      <c r="B1162" s="399" t="s">
        <v>1745</v>
      </c>
      <c r="C1162" s="399" t="s">
        <v>1468</v>
      </c>
      <c r="D1162" s="399" t="s">
        <v>1468</v>
      </c>
      <c r="E1162" s="372">
        <v>3000</v>
      </c>
      <c r="F1162" s="402">
        <v>3000</v>
      </c>
      <c r="G1162" s="400">
        <f t="shared" si="18"/>
        <v>100</v>
      </c>
    </row>
    <row r="1163" spans="1:7" ht="25.5">
      <c r="A1163" s="54" t="s">
        <v>1755</v>
      </c>
      <c r="B1163" s="399" t="s">
        <v>1745</v>
      </c>
      <c r="C1163" s="399" t="s">
        <v>1756</v>
      </c>
      <c r="D1163" s="399" t="s">
        <v>1468</v>
      </c>
      <c r="E1163" s="372">
        <v>3000</v>
      </c>
      <c r="F1163" s="402">
        <v>3000</v>
      </c>
      <c r="G1163" s="400">
        <f t="shared" si="18"/>
        <v>100</v>
      </c>
    </row>
    <row r="1164" spans="1:7" ht="25.5">
      <c r="A1164" s="54" t="s">
        <v>1502</v>
      </c>
      <c r="B1164" s="399" t="s">
        <v>1745</v>
      </c>
      <c r="C1164" s="399" t="s">
        <v>1503</v>
      </c>
      <c r="D1164" s="399" t="s">
        <v>1468</v>
      </c>
      <c r="E1164" s="372">
        <v>3000</v>
      </c>
      <c r="F1164" s="402">
        <v>3000</v>
      </c>
      <c r="G1164" s="400">
        <f t="shared" si="18"/>
        <v>100</v>
      </c>
    </row>
    <row r="1165" spans="1:7">
      <c r="A1165" s="54" t="s">
        <v>218</v>
      </c>
      <c r="B1165" s="399" t="s">
        <v>1745</v>
      </c>
      <c r="C1165" s="399" t="s">
        <v>1503</v>
      </c>
      <c r="D1165" s="399" t="s">
        <v>1362</v>
      </c>
      <c r="E1165" s="372">
        <v>3000</v>
      </c>
      <c r="F1165" s="402">
        <v>3000</v>
      </c>
      <c r="G1165" s="400">
        <f t="shared" si="18"/>
        <v>100</v>
      </c>
    </row>
    <row r="1166" spans="1:7">
      <c r="A1166" s="54" t="s">
        <v>179</v>
      </c>
      <c r="B1166" s="399" t="s">
        <v>1745</v>
      </c>
      <c r="C1166" s="399" t="s">
        <v>1503</v>
      </c>
      <c r="D1166" s="399" t="s">
        <v>448</v>
      </c>
      <c r="E1166" s="372">
        <v>3000</v>
      </c>
      <c r="F1166" s="402">
        <v>3000</v>
      </c>
      <c r="G1166" s="400">
        <f t="shared" si="18"/>
        <v>100</v>
      </c>
    </row>
    <row r="1167" spans="1:7" ht="25.5">
      <c r="A1167" s="54" t="s">
        <v>576</v>
      </c>
      <c r="B1167" s="399" t="s">
        <v>1133</v>
      </c>
      <c r="C1167" s="399" t="s">
        <v>1468</v>
      </c>
      <c r="D1167" s="399" t="s">
        <v>1468</v>
      </c>
      <c r="E1167" s="372">
        <v>86589624.700000003</v>
      </c>
      <c r="F1167" s="400">
        <v>86589624.280000001</v>
      </c>
      <c r="G1167" s="400">
        <f t="shared" si="18"/>
        <v>99.99999951495343</v>
      </c>
    </row>
    <row r="1168" spans="1:7">
      <c r="A1168" s="54" t="s">
        <v>577</v>
      </c>
      <c r="B1168" s="399" t="s">
        <v>1134</v>
      </c>
      <c r="C1168" s="399" t="s">
        <v>1468</v>
      </c>
      <c r="D1168" s="399" t="s">
        <v>1468</v>
      </c>
      <c r="E1168" s="372">
        <v>29408780</v>
      </c>
      <c r="F1168" s="400">
        <v>29408779.579999998</v>
      </c>
      <c r="G1168" s="400">
        <f t="shared" si="18"/>
        <v>99.999998571855059</v>
      </c>
    </row>
    <row r="1169" spans="1:7" ht="76.5">
      <c r="A1169" s="54" t="s">
        <v>1952</v>
      </c>
      <c r="B1169" s="399" t="s">
        <v>1038</v>
      </c>
      <c r="C1169" s="399" t="s">
        <v>1468</v>
      </c>
      <c r="D1169" s="399" t="s">
        <v>1468</v>
      </c>
      <c r="E1169" s="372">
        <v>7923900</v>
      </c>
      <c r="F1169" s="402">
        <v>7923900</v>
      </c>
      <c r="G1169" s="400">
        <f t="shared" si="18"/>
        <v>100</v>
      </c>
    </row>
    <row r="1170" spans="1:7" ht="25.5">
      <c r="A1170" s="54" t="s">
        <v>1755</v>
      </c>
      <c r="B1170" s="353" t="s">
        <v>1038</v>
      </c>
      <c r="C1170" s="6" t="s">
        <v>1756</v>
      </c>
      <c r="D1170" s="6" t="s">
        <v>1468</v>
      </c>
      <c r="E1170" s="372">
        <v>140000</v>
      </c>
      <c r="F1170" s="402">
        <v>140000</v>
      </c>
      <c r="G1170" s="400">
        <f t="shared" si="18"/>
        <v>100</v>
      </c>
    </row>
    <row r="1171" spans="1:7" ht="25.5">
      <c r="A1171" s="54" t="s">
        <v>1502</v>
      </c>
      <c r="B1171" s="353" t="s">
        <v>1038</v>
      </c>
      <c r="C1171" s="6" t="s">
        <v>1503</v>
      </c>
      <c r="D1171" s="6" t="s">
        <v>1468</v>
      </c>
      <c r="E1171" s="372">
        <v>140000</v>
      </c>
      <c r="F1171" s="402">
        <v>140000</v>
      </c>
      <c r="G1171" s="400">
        <f t="shared" si="18"/>
        <v>100</v>
      </c>
    </row>
    <row r="1172" spans="1:7">
      <c r="A1172" s="54" t="s">
        <v>218</v>
      </c>
      <c r="B1172" s="353" t="s">
        <v>1038</v>
      </c>
      <c r="C1172" s="6" t="s">
        <v>1503</v>
      </c>
      <c r="D1172" s="6" t="s">
        <v>1362</v>
      </c>
      <c r="E1172" s="372">
        <v>140000</v>
      </c>
      <c r="F1172" s="402">
        <v>140000</v>
      </c>
      <c r="G1172" s="400">
        <f t="shared" si="18"/>
        <v>100</v>
      </c>
    </row>
    <row r="1173" spans="1:7">
      <c r="A1173" s="54" t="s">
        <v>298</v>
      </c>
      <c r="B1173" s="353" t="s">
        <v>1038</v>
      </c>
      <c r="C1173" s="6" t="s">
        <v>1503</v>
      </c>
      <c r="D1173" s="6" t="s">
        <v>446</v>
      </c>
      <c r="E1173" s="372">
        <v>140000</v>
      </c>
      <c r="F1173" s="402">
        <v>140000</v>
      </c>
      <c r="G1173" s="400">
        <f t="shared" si="18"/>
        <v>100</v>
      </c>
    </row>
    <row r="1174" spans="1:7">
      <c r="A1174" s="54" t="s">
        <v>1765</v>
      </c>
      <c r="B1174" s="353" t="s">
        <v>1038</v>
      </c>
      <c r="C1174" s="6" t="s">
        <v>1766</v>
      </c>
      <c r="D1174" s="6" t="s">
        <v>1468</v>
      </c>
      <c r="E1174" s="372">
        <v>7783900</v>
      </c>
      <c r="F1174" s="402">
        <v>7783900</v>
      </c>
      <c r="G1174" s="400">
        <f t="shared" si="18"/>
        <v>100</v>
      </c>
    </row>
    <row r="1175" spans="1:7">
      <c r="A1175" s="54" t="s">
        <v>94</v>
      </c>
      <c r="B1175" s="353" t="s">
        <v>1038</v>
      </c>
      <c r="C1175" s="6" t="s">
        <v>519</v>
      </c>
      <c r="D1175" s="6" t="s">
        <v>1468</v>
      </c>
      <c r="E1175" s="372">
        <v>7783900</v>
      </c>
      <c r="F1175" s="402">
        <v>7783900</v>
      </c>
      <c r="G1175" s="400">
        <f t="shared" si="18"/>
        <v>100</v>
      </c>
    </row>
    <row r="1176" spans="1:7">
      <c r="A1176" s="54" t="s">
        <v>218</v>
      </c>
      <c r="B1176" s="353" t="s">
        <v>1038</v>
      </c>
      <c r="C1176" s="6" t="s">
        <v>519</v>
      </c>
      <c r="D1176" s="6" t="s">
        <v>1362</v>
      </c>
      <c r="E1176" s="372">
        <v>7783900</v>
      </c>
      <c r="F1176" s="402">
        <v>7783900</v>
      </c>
      <c r="G1176" s="400">
        <f t="shared" si="18"/>
        <v>100</v>
      </c>
    </row>
    <row r="1177" spans="1:7">
      <c r="A1177" s="54" t="s">
        <v>298</v>
      </c>
      <c r="B1177" s="353" t="s">
        <v>1038</v>
      </c>
      <c r="C1177" s="6" t="s">
        <v>519</v>
      </c>
      <c r="D1177" s="6" t="s">
        <v>446</v>
      </c>
      <c r="E1177" s="372">
        <v>7783900</v>
      </c>
      <c r="F1177" s="402">
        <v>7783900</v>
      </c>
      <c r="G1177" s="400">
        <f t="shared" si="18"/>
        <v>100</v>
      </c>
    </row>
    <row r="1178" spans="1:7" ht="89.25">
      <c r="A1178" s="54" t="s">
        <v>1877</v>
      </c>
      <c r="B1178" s="353" t="s">
        <v>1878</v>
      </c>
      <c r="C1178" s="6" t="s">
        <v>1468</v>
      </c>
      <c r="D1178" s="6" t="s">
        <v>1468</v>
      </c>
      <c r="E1178" s="372">
        <v>21331000</v>
      </c>
      <c r="F1178" s="400">
        <v>21330999.579999998</v>
      </c>
      <c r="G1178" s="400">
        <f t="shared" si="18"/>
        <v>99.999998031034636</v>
      </c>
    </row>
    <row r="1179" spans="1:7">
      <c r="A1179" s="54" t="s">
        <v>1765</v>
      </c>
      <c r="B1179" s="353" t="s">
        <v>1878</v>
      </c>
      <c r="C1179" s="6" t="s">
        <v>1766</v>
      </c>
      <c r="D1179" s="6" t="s">
        <v>1468</v>
      </c>
      <c r="E1179" s="372">
        <v>21331000</v>
      </c>
      <c r="F1179" s="400">
        <v>21330999.579999998</v>
      </c>
      <c r="G1179" s="400">
        <f t="shared" si="18"/>
        <v>99.999998031034636</v>
      </c>
    </row>
    <row r="1180" spans="1:7">
      <c r="A1180" s="54" t="s">
        <v>94</v>
      </c>
      <c r="B1180" s="353" t="s">
        <v>1878</v>
      </c>
      <c r="C1180" s="6" t="s">
        <v>519</v>
      </c>
      <c r="D1180" s="6" t="s">
        <v>1468</v>
      </c>
      <c r="E1180" s="372">
        <v>21331000</v>
      </c>
      <c r="F1180" s="400">
        <v>21330999.579999998</v>
      </c>
      <c r="G1180" s="400">
        <f t="shared" si="18"/>
        <v>99.999998031034636</v>
      </c>
    </row>
    <row r="1181" spans="1:7">
      <c r="A1181" s="54" t="s">
        <v>218</v>
      </c>
      <c r="B1181" s="353" t="s">
        <v>1878</v>
      </c>
      <c r="C1181" s="6" t="s">
        <v>519</v>
      </c>
      <c r="D1181" s="6" t="s">
        <v>1362</v>
      </c>
      <c r="E1181" s="372">
        <v>21331000</v>
      </c>
      <c r="F1181" s="400">
        <v>21330999.579999998</v>
      </c>
      <c r="G1181" s="400">
        <f t="shared" si="18"/>
        <v>99.999998031034636</v>
      </c>
    </row>
    <row r="1182" spans="1:7">
      <c r="A1182" s="54" t="s">
        <v>298</v>
      </c>
      <c r="B1182" s="353" t="s">
        <v>1878</v>
      </c>
      <c r="C1182" s="6" t="s">
        <v>519</v>
      </c>
      <c r="D1182" s="6" t="s">
        <v>446</v>
      </c>
      <c r="E1182" s="372">
        <v>21331000</v>
      </c>
      <c r="F1182" s="400">
        <v>21330999.579999998</v>
      </c>
      <c r="G1182" s="400">
        <f t="shared" si="18"/>
        <v>99.999998031034636</v>
      </c>
    </row>
    <row r="1183" spans="1:7" ht="51">
      <c r="A1183" s="54" t="s">
        <v>447</v>
      </c>
      <c r="B1183" s="353" t="s">
        <v>799</v>
      </c>
      <c r="C1183" s="6" t="s">
        <v>1468</v>
      </c>
      <c r="D1183" s="6" t="s">
        <v>1468</v>
      </c>
      <c r="E1183" s="372">
        <v>152200</v>
      </c>
      <c r="F1183" s="402">
        <v>152200</v>
      </c>
      <c r="G1183" s="400">
        <f t="shared" si="18"/>
        <v>100</v>
      </c>
    </row>
    <row r="1184" spans="1:7" ht="25.5">
      <c r="A1184" s="54" t="s">
        <v>1755</v>
      </c>
      <c r="B1184" s="353" t="s">
        <v>799</v>
      </c>
      <c r="C1184" s="6" t="s">
        <v>1756</v>
      </c>
      <c r="D1184" s="6" t="s">
        <v>1468</v>
      </c>
      <c r="E1184" s="372">
        <v>152200</v>
      </c>
      <c r="F1184" s="402">
        <v>152200</v>
      </c>
      <c r="G1184" s="400">
        <f t="shared" si="18"/>
        <v>100</v>
      </c>
    </row>
    <row r="1185" spans="1:7" ht="25.5">
      <c r="A1185" s="54" t="s">
        <v>1502</v>
      </c>
      <c r="B1185" s="353" t="s">
        <v>799</v>
      </c>
      <c r="C1185" s="6" t="s">
        <v>1503</v>
      </c>
      <c r="D1185" s="6" t="s">
        <v>1468</v>
      </c>
      <c r="E1185" s="372">
        <v>152200</v>
      </c>
      <c r="F1185" s="402">
        <v>152200</v>
      </c>
      <c r="G1185" s="400">
        <f t="shared" si="18"/>
        <v>100</v>
      </c>
    </row>
    <row r="1186" spans="1:7">
      <c r="A1186" s="54" t="s">
        <v>218</v>
      </c>
      <c r="B1186" s="353" t="s">
        <v>799</v>
      </c>
      <c r="C1186" s="6" t="s">
        <v>1503</v>
      </c>
      <c r="D1186" s="6" t="s">
        <v>1362</v>
      </c>
      <c r="E1186" s="372">
        <v>152200</v>
      </c>
      <c r="F1186" s="402">
        <v>152200</v>
      </c>
      <c r="G1186" s="400">
        <f t="shared" si="18"/>
        <v>100</v>
      </c>
    </row>
    <row r="1187" spans="1:7">
      <c r="A1187" s="54" t="s">
        <v>298</v>
      </c>
      <c r="B1187" s="353" t="s">
        <v>799</v>
      </c>
      <c r="C1187" s="6" t="s">
        <v>1503</v>
      </c>
      <c r="D1187" s="6" t="s">
        <v>446</v>
      </c>
      <c r="E1187" s="372">
        <v>152200</v>
      </c>
      <c r="F1187" s="402">
        <v>152200</v>
      </c>
      <c r="G1187" s="400">
        <f t="shared" si="18"/>
        <v>100</v>
      </c>
    </row>
    <row r="1188" spans="1:7" ht="76.5">
      <c r="A1188" s="54" t="s">
        <v>1584</v>
      </c>
      <c r="B1188" s="353" t="s">
        <v>1585</v>
      </c>
      <c r="C1188" s="6" t="s">
        <v>1468</v>
      </c>
      <c r="D1188" s="6" t="s">
        <v>1468</v>
      </c>
      <c r="E1188" s="372">
        <v>1680</v>
      </c>
      <c r="F1188" s="402">
        <v>1680</v>
      </c>
      <c r="G1188" s="400">
        <f t="shared" si="18"/>
        <v>100</v>
      </c>
    </row>
    <row r="1189" spans="1:7" ht="25.5">
      <c r="A1189" s="54" t="s">
        <v>1755</v>
      </c>
      <c r="B1189" s="353" t="s">
        <v>1585</v>
      </c>
      <c r="C1189" s="6" t="s">
        <v>1756</v>
      </c>
      <c r="D1189" s="6" t="s">
        <v>1468</v>
      </c>
      <c r="E1189" s="372">
        <v>1680</v>
      </c>
      <c r="F1189" s="402">
        <v>1680</v>
      </c>
      <c r="G1189" s="400">
        <f t="shared" si="18"/>
        <v>100</v>
      </c>
    </row>
    <row r="1190" spans="1:7" ht="25.5">
      <c r="A1190" s="54" t="s">
        <v>1502</v>
      </c>
      <c r="B1190" s="353" t="s">
        <v>1585</v>
      </c>
      <c r="C1190" s="6" t="s">
        <v>1503</v>
      </c>
      <c r="D1190" s="6" t="s">
        <v>1468</v>
      </c>
      <c r="E1190" s="372">
        <v>1680</v>
      </c>
      <c r="F1190" s="402">
        <v>1680</v>
      </c>
      <c r="G1190" s="400">
        <f t="shared" si="18"/>
        <v>100</v>
      </c>
    </row>
    <row r="1191" spans="1:7">
      <c r="A1191" s="54" t="s">
        <v>218</v>
      </c>
      <c r="B1191" s="353" t="s">
        <v>1585</v>
      </c>
      <c r="C1191" s="6" t="s">
        <v>1503</v>
      </c>
      <c r="D1191" s="6" t="s">
        <v>1362</v>
      </c>
      <c r="E1191" s="372">
        <v>1680</v>
      </c>
      <c r="F1191" s="402">
        <v>1680</v>
      </c>
      <c r="G1191" s="400">
        <f t="shared" si="18"/>
        <v>100</v>
      </c>
    </row>
    <row r="1192" spans="1:7">
      <c r="A1192" s="54" t="s">
        <v>298</v>
      </c>
      <c r="B1192" s="353" t="s">
        <v>1585</v>
      </c>
      <c r="C1192" s="6" t="s">
        <v>1503</v>
      </c>
      <c r="D1192" s="6" t="s">
        <v>446</v>
      </c>
      <c r="E1192" s="372">
        <v>1680</v>
      </c>
      <c r="F1192" s="402">
        <v>1680</v>
      </c>
      <c r="G1192" s="400">
        <f t="shared" si="18"/>
        <v>100</v>
      </c>
    </row>
    <row r="1193" spans="1:7" ht="25.5">
      <c r="A1193" s="54" t="s">
        <v>579</v>
      </c>
      <c r="B1193" s="353" t="s">
        <v>1135</v>
      </c>
      <c r="C1193" s="6" t="s">
        <v>1468</v>
      </c>
      <c r="D1193" s="6" t="s">
        <v>1468</v>
      </c>
      <c r="E1193" s="372">
        <v>56835003</v>
      </c>
      <c r="F1193" s="402">
        <v>56835003</v>
      </c>
      <c r="G1193" s="400">
        <f t="shared" si="18"/>
        <v>100</v>
      </c>
    </row>
    <row r="1194" spans="1:7" ht="89.25">
      <c r="A1194" s="54" t="s">
        <v>2040</v>
      </c>
      <c r="B1194" s="353" t="s">
        <v>2041</v>
      </c>
      <c r="C1194" s="6" t="s">
        <v>1468</v>
      </c>
      <c r="D1194" s="6" t="s">
        <v>1468</v>
      </c>
      <c r="E1194" s="372">
        <v>12306000</v>
      </c>
      <c r="F1194" s="402">
        <v>12306000</v>
      </c>
      <c r="G1194" s="400">
        <f t="shared" si="18"/>
        <v>100</v>
      </c>
    </row>
    <row r="1195" spans="1:7">
      <c r="A1195" s="54" t="s">
        <v>1757</v>
      </c>
      <c r="B1195" s="353" t="s">
        <v>2041</v>
      </c>
      <c r="C1195" s="6" t="s">
        <v>1758</v>
      </c>
      <c r="D1195" s="6" t="s">
        <v>1468</v>
      </c>
      <c r="E1195" s="372">
        <v>12306000</v>
      </c>
      <c r="F1195" s="402">
        <v>12306000</v>
      </c>
      <c r="G1195" s="400">
        <f t="shared" si="18"/>
        <v>100</v>
      </c>
    </row>
    <row r="1196" spans="1:7" ht="51">
      <c r="A1196" s="54" t="s">
        <v>1512</v>
      </c>
      <c r="B1196" s="353" t="s">
        <v>2041</v>
      </c>
      <c r="C1196" s="6" t="s">
        <v>442</v>
      </c>
      <c r="D1196" s="6" t="s">
        <v>1468</v>
      </c>
      <c r="E1196" s="372">
        <v>12306000</v>
      </c>
      <c r="F1196" s="402">
        <v>12306000</v>
      </c>
      <c r="G1196" s="400">
        <f t="shared" si="18"/>
        <v>100</v>
      </c>
    </row>
    <row r="1197" spans="1:7">
      <c r="A1197" s="54" t="s">
        <v>218</v>
      </c>
      <c r="B1197" s="353" t="s">
        <v>2041</v>
      </c>
      <c r="C1197" s="6" t="s">
        <v>442</v>
      </c>
      <c r="D1197" s="6" t="s">
        <v>1362</v>
      </c>
      <c r="E1197" s="372">
        <v>12306000</v>
      </c>
      <c r="F1197" s="402">
        <v>12306000</v>
      </c>
      <c r="G1197" s="400">
        <f t="shared" si="18"/>
        <v>100</v>
      </c>
    </row>
    <row r="1198" spans="1:7">
      <c r="A1198" s="54" t="s">
        <v>220</v>
      </c>
      <c r="B1198" s="353" t="s">
        <v>2041</v>
      </c>
      <c r="C1198" s="6" t="s">
        <v>442</v>
      </c>
      <c r="D1198" s="6" t="s">
        <v>444</v>
      </c>
      <c r="E1198" s="372">
        <v>12306000</v>
      </c>
      <c r="F1198" s="402">
        <v>12306000</v>
      </c>
      <c r="G1198" s="400">
        <f t="shared" si="18"/>
        <v>100</v>
      </c>
    </row>
    <row r="1199" spans="1:7" ht="63.75">
      <c r="A1199" s="54" t="s">
        <v>1854</v>
      </c>
      <c r="B1199" s="353" t="s">
        <v>1855</v>
      </c>
      <c r="C1199" s="6" t="s">
        <v>1468</v>
      </c>
      <c r="D1199" s="6" t="s">
        <v>1468</v>
      </c>
      <c r="E1199" s="372">
        <v>8320000</v>
      </c>
      <c r="F1199" s="402">
        <v>8320000</v>
      </c>
      <c r="G1199" s="400">
        <f t="shared" si="18"/>
        <v>100</v>
      </c>
    </row>
    <row r="1200" spans="1:7" ht="25.5">
      <c r="A1200" s="54" t="s">
        <v>1755</v>
      </c>
      <c r="B1200" s="353" t="s">
        <v>1855</v>
      </c>
      <c r="C1200" s="6" t="s">
        <v>1756</v>
      </c>
      <c r="D1200" s="6" t="s">
        <v>1468</v>
      </c>
      <c r="E1200" s="372">
        <v>8320000</v>
      </c>
      <c r="F1200" s="402">
        <v>8320000</v>
      </c>
      <c r="G1200" s="400">
        <f t="shared" si="18"/>
        <v>100</v>
      </c>
    </row>
    <row r="1201" spans="1:7" ht="25.5">
      <c r="A1201" s="54" t="s">
        <v>1502</v>
      </c>
      <c r="B1201" s="353" t="s">
        <v>1855</v>
      </c>
      <c r="C1201" s="6" t="s">
        <v>1503</v>
      </c>
      <c r="D1201" s="6" t="s">
        <v>1468</v>
      </c>
      <c r="E1201" s="372">
        <v>8320000</v>
      </c>
      <c r="F1201" s="402">
        <v>8320000</v>
      </c>
      <c r="G1201" s="400">
        <f t="shared" si="18"/>
        <v>100</v>
      </c>
    </row>
    <row r="1202" spans="1:7">
      <c r="A1202" s="54" t="s">
        <v>218</v>
      </c>
      <c r="B1202" s="353" t="s">
        <v>1855</v>
      </c>
      <c r="C1202" s="6" t="s">
        <v>1503</v>
      </c>
      <c r="D1202" s="6" t="s">
        <v>1362</v>
      </c>
      <c r="E1202" s="372">
        <v>8320000</v>
      </c>
      <c r="F1202" s="402">
        <v>8320000</v>
      </c>
      <c r="G1202" s="400">
        <f t="shared" si="18"/>
        <v>100</v>
      </c>
    </row>
    <row r="1203" spans="1:7">
      <c r="A1203" s="54" t="s">
        <v>220</v>
      </c>
      <c r="B1203" s="353" t="s">
        <v>1855</v>
      </c>
      <c r="C1203" s="6" t="s">
        <v>1503</v>
      </c>
      <c r="D1203" s="6" t="s">
        <v>444</v>
      </c>
      <c r="E1203" s="372">
        <v>8320000</v>
      </c>
      <c r="F1203" s="402">
        <v>8320000</v>
      </c>
      <c r="G1203" s="400">
        <f t="shared" si="18"/>
        <v>100</v>
      </c>
    </row>
    <row r="1204" spans="1:7" ht="76.5">
      <c r="A1204" s="54" t="s">
        <v>2035</v>
      </c>
      <c r="B1204" s="353" t="s">
        <v>2042</v>
      </c>
      <c r="C1204" s="6" t="s">
        <v>1468</v>
      </c>
      <c r="D1204" s="6" t="s">
        <v>1468</v>
      </c>
      <c r="E1204" s="372">
        <v>12306</v>
      </c>
      <c r="F1204" s="402">
        <v>12306</v>
      </c>
      <c r="G1204" s="400">
        <f t="shared" si="18"/>
        <v>100</v>
      </c>
    </row>
    <row r="1205" spans="1:7">
      <c r="A1205" s="54" t="s">
        <v>1757</v>
      </c>
      <c r="B1205" s="353" t="s">
        <v>2042</v>
      </c>
      <c r="C1205" s="6" t="s">
        <v>1758</v>
      </c>
      <c r="D1205" s="6" t="s">
        <v>1468</v>
      </c>
      <c r="E1205" s="372">
        <v>12306</v>
      </c>
      <c r="F1205" s="402">
        <v>12306</v>
      </c>
      <c r="G1205" s="400">
        <f t="shared" si="18"/>
        <v>100</v>
      </c>
    </row>
    <row r="1206" spans="1:7" ht="51">
      <c r="A1206" s="54" t="s">
        <v>1512</v>
      </c>
      <c r="B1206" s="353" t="s">
        <v>2042</v>
      </c>
      <c r="C1206" s="6" t="s">
        <v>442</v>
      </c>
      <c r="D1206" s="6" t="s">
        <v>1468</v>
      </c>
      <c r="E1206" s="372">
        <v>12306</v>
      </c>
      <c r="F1206" s="402">
        <v>12306</v>
      </c>
      <c r="G1206" s="400">
        <f t="shared" si="18"/>
        <v>100</v>
      </c>
    </row>
    <row r="1207" spans="1:7">
      <c r="A1207" s="54" t="s">
        <v>218</v>
      </c>
      <c r="B1207" s="353" t="s">
        <v>2042</v>
      </c>
      <c r="C1207" s="6" t="s">
        <v>442</v>
      </c>
      <c r="D1207" s="6" t="s">
        <v>1362</v>
      </c>
      <c r="E1207" s="372">
        <v>12306</v>
      </c>
      <c r="F1207" s="402">
        <v>12306</v>
      </c>
      <c r="G1207" s="400">
        <f t="shared" si="18"/>
        <v>100</v>
      </c>
    </row>
    <row r="1208" spans="1:7">
      <c r="A1208" s="54" t="s">
        <v>220</v>
      </c>
      <c r="B1208" s="353" t="s">
        <v>2042</v>
      </c>
      <c r="C1208" s="6" t="s">
        <v>442</v>
      </c>
      <c r="D1208" s="6" t="s">
        <v>444</v>
      </c>
      <c r="E1208" s="372">
        <v>12306</v>
      </c>
      <c r="F1208" s="402">
        <v>12306</v>
      </c>
      <c r="G1208" s="400">
        <f t="shared" si="18"/>
        <v>100</v>
      </c>
    </row>
    <row r="1209" spans="1:7" ht="63.75">
      <c r="A1209" s="54" t="s">
        <v>445</v>
      </c>
      <c r="B1209" s="353" t="s">
        <v>798</v>
      </c>
      <c r="C1209" s="6" t="s">
        <v>1468</v>
      </c>
      <c r="D1209" s="6" t="s">
        <v>1468</v>
      </c>
      <c r="E1209" s="372">
        <v>36196697</v>
      </c>
      <c r="F1209" s="402">
        <v>36196697</v>
      </c>
      <c r="G1209" s="400">
        <f t="shared" si="18"/>
        <v>100</v>
      </c>
    </row>
    <row r="1210" spans="1:7">
      <c r="A1210" s="54" t="s">
        <v>1757</v>
      </c>
      <c r="B1210" s="353" t="s">
        <v>798</v>
      </c>
      <c r="C1210" s="6" t="s">
        <v>1758</v>
      </c>
      <c r="D1210" s="6" t="s">
        <v>1468</v>
      </c>
      <c r="E1210" s="372">
        <v>36196697</v>
      </c>
      <c r="F1210" s="402">
        <v>36196697</v>
      </c>
      <c r="G1210" s="400">
        <f t="shared" si="18"/>
        <v>100</v>
      </c>
    </row>
    <row r="1211" spans="1:7" ht="51">
      <c r="A1211" s="54" t="s">
        <v>1512</v>
      </c>
      <c r="B1211" s="353" t="s">
        <v>798</v>
      </c>
      <c r="C1211" s="6" t="s">
        <v>442</v>
      </c>
      <c r="D1211" s="6" t="s">
        <v>1468</v>
      </c>
      <c r="E1211" s="372">
        <v>36196697</v>
      </c>
      <c r="F1211" s="402">
        <v>36196697</v>
      </c>
      <c r="G1211" s="400">
        <f t="shared" si="18"/>
        <v>100</v>
      </c>
    </row>
    <row r="1212" spans="1:7">
      <c r="A1212" s="54" t="s">
        <v>218</v>
      </c>
      <c r="B1212" s="353" t="s">
        <v>798</v>
      </c>
      <c r="C1212" s="6" t="s">
        <v>442</v>
      </c>
      <c r="D1212" s="6" t="s">
        <v>1362</v>
      </c>
      <c r="E1212" s="372">
        <v>36196697</v>
      </c>
      <c r="F1212" s="402">
        <v>36196697</v>
      </c>
      <c r="G1212" s="400">
        <f t="shared" si="18"/>
        <v>100</v>
      </c>
    </row>
    <row r="1213" spans="1:7">
      <c r="A1213" s="54" t="s">
        <v>220</v>
      </c>
      <c r="B1213" s="353" t="s">
        <v>798</v>
      </c>
      <c r="C1213" s="6" t="s">
        <v>442</v>
      </c>
      <c r="D1213" s="6" t="s">
        <v>444</v>
      </c>
      <c r="E1213" s="372">
        <v>36196697</v>
      </c>
      <c r="F1213" s="402">
        <v>36196697</v>
      </c>
      <c r="G1213" s="400">
        <f t="shared" si="18"/>
        <v>100</v>
      </c>
    </row>
    <row r="1214" spans="1:7" ht="25.5">
      <c r="A1214" s="54" t="s">
        <v>581</v>
      </c>
      <c r="B1214" s="353" t="s">
        <v>1136</v>
      </c>
      <c r="C1214" s="6" t="s">
        <v>1468</v>
      </c>
      <c r="D1214" s="6" t="s">
        <v>1468</v>
      </c>
      <c r="E1214" s="372">
        <v>345841.7</v>
      </c>
      <c r="F1214" s="402">
        <v>345841.7</v>
      </c>
      <c r="G1214" s="400">
        <f t="shared" si="18"/>
        <v>100</v>
      </c>
    </row>
    <row r="1215" spans="1:7" ht="51">
      <c r="A1215" s="54" t="s">
        <v>496</v>
      </c>
      <c r="B1215" s="353" t="s">
        <v>894</v>
      </c>
      <c r="C1215" s="6" t="s">
        <v>1468</v>
      </c>
      <c r="D1215" s="6" t="s">
        <v>1468</v>
      </c>
      <c r="E1215" s="372">
        <v>54303.7</v>
      </c>
      <c r="F1215" s="402">
        <v>54303.7</v>
      </c>
      <c r="G1215" s="400">
        <f t="shared" si="18"/>
        <v>100</v>
      </c>
    </row>
    <row r="1216" spans="1:7" ht="63.75">
      <c r="A1216" s="54" t="s">
        <v>1754</v>
      </c>
      <c r="B1216" s="353" t="s">
        <v>894</v>
      </c>
      <c r="C1216" s="6" t="s">
        <v>322</v>
      </c>
      <c r="D1216" s="6" t="s">
        <v>1468</v>
      </c>
      <c r="E1216" s="372">
        <v>7638.4</v>
      </c>
      <c r="F1216" s="402">
        <v>7638.4</v>
      </c>
      <c r="G1216" s="400">
        <f t="shared" si="18"/>
        <v>100</v>
      </c>
    </row>
    <row r="1217" spans="1:7">
      <c r="A1217" s="54" t="s">
        <v>1487</v>
      </c>
      <c r="B1217" s="353" t="s">
        <v>894</v>
      </c>
      <c r="C1217" s="6" t="s">
        <v>165</v>
      </c>
      <c r="D1217" s="6" t="s">
        <v>1468</v>
      </c>
      <c r="E1217" s="372">
        <v>7638.4</v>
      </c>
      <c r="F1217" s="402">
        <v>7638.4</v>
      </c>
      <c r="G1217" s="400">
        <f t="shared" si="18"/>
        <v>100</v>
      </c>
    </row>
    <row r="1218" spans="1:7">
      <c r="A1218" s="54" t="s">
        <v>173</v>
      </c>
      <c r="B1218" s="353" t="s">
        <v>894</v>
      </c>
      <c r="C1218" s="6" t="s">
        <v>165</v>
      </c>
      <c r="D1218" s="6" t="s">
        <v>1364</v>
      </c>
      <c r="E1218" s="372">
        <v>7638.4</v>
      </c>
      <c r="F1218" s="402">
        <v>7638.4</v>
      </c>
      <c r="G1218" s="400">
        <f t="shared" si="18"/>
        <v>100</v>
      </c>
    </row>
    <row r="1219" spans="1:7">
      <c r="A1219" s="54" t="s">
        <v>1240</v>
      </c>
      <c r="B1219" s="353" t="s">
        <v>894</v>
      </c>
      <c r="C1219" s="6" t="s">
        <v>165</v>
      </c>
      <c r="D1219" s="6" t="s">
        <v>1241</v>
      </c>
      <c r="E1219" s="372">
        <v>7638.4</v>
      </c>
      <c r="F1219" s="402">
        <v>7638.4</v>
      </c>
      <c r="G1219" s="400">
        <f t="shared" si="18"/>
        <v>100</v>
      </c>
    </row>
    <row r="1220" spans="1:7" ht="25.5">
      <c r="A1220" s="54" t="s">
        <v>1755</v>
      </c>
      <c r="B1220" s="353" t="s">
        <v>894</v>
      </c>
      <c r="C1220" s="6" t="s">
        <v>1756</v>
      </c>
      <c r="D1220" s="6" t="s">
        <v>1468</v>
      </c>
      <c r="E1220" s="372">
        <v>46665.3</v>
      </c>
      <c r="F1220" s="402">
        <v>46665.3</v>
      </c>
      <c r="G1220" s="400">
        <f t="shared" si="18"/>
        <v>100</v>
      </c>
    </row>
    <row r="1221" spans="1:7" ht="25.5">
      <c r="A1221" s="54" t="s">
        <v>1502</v>
      </c>
      <c r="B1221" s="353" t="s">
        <v>894</v>
      </c>
      <c r="C1221" s="6" t="s">
        <v>1503</v>
      </c>
      <c r="D1221" s="6" t="s">
        <v>1468</v>
      </c>
      <c r="E1221" s="372">
        <v>46665.3</v>
      </c>
      <c r="F1221" s="402">
        <v>46665.3</v>
      </c>
      <c r="G1221" s="400">
        <f t="shared" si="18"/>
        <v>100</v>
      </c>
    </row>
    <row r="1222" spans="1:7">
      <c r="A1222" s="54" t="s">
        <v>173</v>
      </c>
      <c r="B1222" s="353" t="s">
        <v>894</v>
      </c>
      <c r="C1222" s="6" t="s">
        <v>1503</v>
      </c>
      <c r="D1222" s="6" t="s">
        <v>1364</v>
      </c>
      <c r="E1222" s="372">
        <v>46665.3</v>
      </c>
      <c r="F1222" s="402">
        <v>46665.3</v>
      </c>
      <c r="G1222" s="400">
        <f t="shared" si="18"/>
        <v>100</v>
      </c>
    </row>
    <row r="1223" spans="1:7">
      <c r="A1223" s="54" t="s">
        <v>1240</v>
      </c>
      <c r="B1223" s="353" t="s">
        <v>894</v>
      </c>
      <c r="C1223" s="6" t="s">
        <v>1503</v>
      </c>
      <c r="D1223" s="6" t="s">
        <v>1241</v>
      </c>
      <c r="E1223" s="372">
        <v>46665.3</v>
      </c>
      <c r="F1223" s="402">
        <v>46665.3</v>
      </c>
      <c r="G1223" s="400">
        <f t="shared" si="18"/>
        <v>100</v>
      </c>
    </row>
    <row r="1224" spans="1:7" ht="76.5">
      <c r="A1224" s="54" t="s">
        <v>1953</v>
      </c>
      <c r="B1224" s="353" t="s">
        <v>1940</v>
      </c>
      <c r="C1224" s="6" t="s">
        <v>1468</v>
      </c>
      <c r="D1224" s="6" t="s">
        <v>1468</v>
      </c>
      <c r="E1224" s="372">
        <v>12738</v>
      </c>
      <c r="F1224" s="402">
        <v>12738</v>
      </c>
      <c r="G1224" s="400">
        <f t="shared" si="18"/>
        <v>100</v>
      </c>
    </row>
    <row r="1225" spans="1:7" ht="25.5">
      <c r="A1225" s="54" t="s">
        <v>1755</v>
      </c>
      <c r="B1225" s="353" t="s">
        <v>1940</v>
      </c>
      <c r="C1225" s="6" t="s">
        <v>1756</v>
      </c>
      <c r="D1225" s="6" t="s">
        <v>1468</v>
      </c>
      <c r="E1225" s="372">
        <v>12738</v>
      </c>
      <c r="F1225" s="402">
        <v>12738</v>
      </c>
      <c r="G1225" s="400">
        <f t="shared" ref="G1225:G1288" si="19">F1225/E1225*100</f>
        <v>100</v>
      </c>
    </row>
    <row r="1226" spans="1:7" ht="25.5">
      <c r="A1226" s="54" t="s">
        <v>1502</v>
      </c>
      <c r="B1226" s="353" t="s">
        <v>1940</v>
      </c>
      <c r="C1226" s="6" t="s">
        <v>1503</v>
      </c>
      <c r="D1226" s="6" t="s">
        <v>1468</v>
      </c>
      <c r="E1226" s="372">
        <v>12738</v>
      </c>
      <c r="F1226" s="402">
        <v>12738</v>
      </c>
      <c r="G1226" s="400">
        <f t="shared" si="19"/>
        <v>100</v>
      </c>
    </row>
    <row r="1227" spans="1:7">
      <c r="A1227" s="54" t="s">
        <v>173</v>
      </c>
      <c r="B1227" s="353" t="s">
        <v>1940</v>
      </c>
      <c r="C1227" s="6" t="s">
        <v>1503</v>
      </c>
      <c r="D1227" s="6" t="s">
        <v>1364</v>
      </c>
      <c r="E1227" s="372">
        <v>12738</v>
      </c>
      <c r="F1227" s="402">
        <v>12738</v>
      </c>
      <c r="G1227" s="400">
        <f t="shared" si="19"/>
        <v>100</v>
      </c>
    </row>
    <row r="1228" spans="1:7">
      <c r="A1228" s="54" t="s">
        <v>187</v>
      </c>
      <c r="B1228" s="353" t="s">
        <v>1940</v>
      </c>
      <c r="C1228" s="6" t="s">
        <v>1503</v>
      </c>
      <c r="D1228" s="6" t="s">
        <v>484</v>
      </c>
      <c r="E1228" s="372">
        <v>12738</v>
      </c>
      <c r="F1228" s="402">
        <v>12738</v>
      </c>
      <c r="G1228" s="400">
        <f t="shared" si="19"/>
        <v>100</v>
      </c>
    </row>
    <row r="1229" spans="1:7" ht="102">
      <c r="A1229" s="54" t="s">
        <v>1954</v>
      </c>
      <c r="B1229" s="353" t="s">
        <v>1955</v>
      </c>
      <c r="C1229" s="6" t="s">
        <v>1468</v>
      </c>
      <c r="D1229" s="6" t="s">
        <v>1468</v>
      </c>
      <c r="E1229" s="372">
        <v>278800</v>
      </c>
      <c r="F1229" s="402">
        <v>278800</v>
      </c>
      <c r="G1229" s="400">
        <f t="shared" si="19"/>
        <v>100</v>
      </c>
    </row>
    <row r="1230" spans="1:7">
      <c r="A1230" s="54" t="s">
        <v>1765</v>
      </c>
      <c r="B1230" s="353" t="s">
        <v>1955</v>
      </c>
      <c r="C1230" s="6" t="s">
        <v>1766</v>
      </c>
      <c r="D1230" s="6" t="s">
        <v>1468</v>
      </c>
      <c r="E1230" s="372">
        <v>278800</v>
      </c>
      <c r="F1230" s="402">
        <v>278800</v>
      </c>
      <c r="G1230" s="400">
        <f t="shared" si="19"/>
        <v>100</v>
      </c>
    </row>
    <row r="1231" spans="1:7">
      <c r="A1231" s="54" t="s">
        <v>94</v>
      </c>
      <c r="B1231" s="353" t="s">
        <v>1955</v>
      </c>
      <c r="C1231" s="6" t="s">
        <v>519</v>
      </c>
      <c r="D1231" s="6" t="s">
        <v>1468</v>
      </c>
      <c r="E1231" s="372">
        <v>278800</v>
      </c>
      <c r="F1231" s="402">
        <v>278800</v>
      </c>
      <c r="G1231" s="400">
        <f t="shared" si="19"/>
        <v>100</v>
      </c>
    </row>
    <row r="1232" spans="1:7">
      <c r="A1232" s="54" t="s">
        <v>218</v>
      </c>
      <c r="B1232" s="353" t="s">
        <v>1955</v>
      </c>
      <c r="C1232" s="6" t="s">
        <v>519</v>
      </c>
      <c r="D1232" s="6" t="s">
        <v>1362</v>
      </c>
      <c r="E1232" s="372">
        <v>278800</v>
      </c>
      <c r="F1232" s="402">
        <v>278800</v>
      </c>
      <c r="G1232" s="400">
        <f t="shared" si="19"/>
        <v>100</v>
      </c>
    </row>
    <row r="1233" spans="1:7">
      <c r="A1233" s="54" t="s">
        <v>298</v>
      </c>
      <c r="B1233" s="353" t="s">
        <v>1955</v>
      </c>
      <c r="C1233" s="6" t="s">
        <v>519</v>
      </c>
      <c r="D1233" s="6" t="s">
        <v>446</v>
      </c>
      <c r="E1233" s="372">
        <v>278800</v>
      </c>
      <c r="F1233" s="402">
        <v>278800</v>
      </c>
      <c r="G1233" s="400">
        <f t="shared" si="19"/>
        <v>100</v>
      </c>
    </row>
    <row r="1234" spans="1:7" ht="25.5">
      <c r="A1234" s="54" t="s">
        <v>705</v>
      </c>
      <c r="B1234" s="353" t="s">
        <v>1137</v>
      </c>
      <c r="C1234" s="6" t="s">
        <v>1468</v>
      </c>
      <c r="D1234" s="6" t="s">
        <v>1468</v>
      </c>
      <c r="E1234" s="372">
        <v>3138231.09</v>
      </c>
      <c r="F1234" s="402">
        <v>3138231.09</v>
      </c>
      <c r="G1234" s="400">
        <f t="shared" si="19"/>
        <v>100</v>
      </c>
    </row>
    <row r="1235" spans="1:7" ht="25.5">
      <c r="A1235" s="54" t="s">
        <v>1047</v>
      </c>
      <c r="B1235" s="353" t="s">
        <v>1957</v>
      </c>
      <c r="C1235" s="6" t="s">
        <v>1468</v>
      </c>
      <c r="D1235" s="6" t="s">
        <v>1468</v>
      </c>
      <c r="E1235" s="372">
        <v>500000</v>
      </c>
      <c r="F1235" s="402">
        <v>500000</v>
      </c>
      <c r="G1235" s="400">
        <f t="shared" si="19"/>
        <v>100</v>
      </c>
    </row>
    <row r="1236" spans="1:7" ht="63.75">
      <c r="A1236" s="54" t="s">
        <v>1051</v>
      </c>
      <c r="B1236" s="353" t="s">
        <v>1050</v>
      </c>
      <c r="C1236" s="6" t="s">
        <v>1468</v>
      </c>
      <c r="D1236" s="6" t="s">
        <v>1468</v>
      </c>
      <c r="E1236" s="372">
        <v>500000</v>
      </c>
      <c r="F1236" s="402">
        <v>500000</v>
      </c>
      <c r="G1236" s="400">
        <f t="shared" si="19"/>
        <v>100</v>
      </c>
    </row>
    <row r="1237" spans="1:7" ht="25.5">
      <c r="A1237" s="54" t="s">
        <v>1755</v>
      </c>
      <c r="B1237" s="353" t="s">
        <v>1050</v>
      </c>
      <c r="C1237" s="6" t="s">
        <v>1756</v>
      </c>
      <c r="D1237" s="6" t="s">
        <v>1468</v>
      </c>
      <c r="E1237" s="372">
        <v>500000</v>
      </c>
      <c r="F1237" s="402">
        <v>500000</v>
      </c>
      <c r="G1237" s="400">
        <f t="shared" si="19"/>
        <v>100</v>
      </c>
    </row>
    <row r="1238" spans="1:7" ht="25.5">
      <c r="A1238" s="54" t="s">
        <v>1502</v>
      </c>
      <c r="B1238" s="353" t="s">
        <v>1050</v>
      </c>
      <c r="C1238" s="6" t="s">
        <v>1503</v>
      </c>
      <c r="D1238" s="6" t="s">
        <v>1468</v>
      </c>
      <c r="E1238" s="372">
        <v>500000</v>
      </c>
      <c r="F1238" s="402">
        <v>500000</v>
      </c>
      <c r="G1238" s="400">
        <f t="shared" si="19"/>
        <v>100</v>
      </c>
    </row>
    <row r="1239" spans="1:7">
      <c r="A1239" s="54" t="s">
        <v>283</v>
      </c>
      <c r="B1239" s="353" t="s">
        <v>1050</v>
      </c>
      <c r="C1239" s="6" t="s">
        <v>1503</v>
      </c>
      <c r="D1239" s="6" t="s">
        <v>1363</v>
      </c>
      <c r="E1239" s="372">
        <v>500000</v>
      </c>
      <c r="F1239" s="402">
        <v>500000</v>
      </c>
      <c r="G1239" s="400">
        <f t="shared" si="19"/>
        <v>100</v>
      </c>
    </row>
    <row r="1240" spans="1:7">
      <c r="A1240" s="54" t="s">
        <v>3</v>
      </c>
      <c r="B1240" s="353" t="s">
        <v>1050</v>
      </c>
      <c r="C1240" s="6" t="s">
        <v>1503</v>
      </c>
      <c r="D1240" s="6" t="s">
        <v>474</v>
      </c>
      <c r="E1240" s="372">
        <v>500000</v>
      </c>
      <c r="F1240" s="402">
        <v>500000</v>
      </c>
      <c r="G1240" s="400">
        <f t="shared" si="19"/>
        <v>100</v>
      </c>
    </row>
    <row r="1241" spans="1:7" ht="25.5">
      <c r="A1241" s="54" t="s">
        <v>1464</v>
      </c>
      <c r="B1241" s="353" t="s">
        <v>1465</v>
      </c>
      <c r="C1241" s="6" t="s">
        <v>1468</v>
      </c>
      <c r="D1241" s="6" t="s">
        <v>1468</v>
      </c>
      <c r="E1241" s="372">
        <v>1018248.09</v>
      </c>
      <c r="F1241" s="402">
        <v>1018248.09</v>
      </c>
      <c r="G1241" s="400">
        <f t="shared" si="19"/>
        <v>100</v>
      </c>
    </row>
    <row r="1242" spans="1:7" ht="63.75">
      <c r="A1242" s="54" t="s">
        <v>1605</v>
      </c>
      <c r="B1242" s="353" t="s">
        <v>1606</v>
      </c>
      <c r="C1242" s="6" t="s">
        <v>1468</v>
      </c>
      <c r="D1242" s="6" t="s">
        <v>1468</v>
      </c>
      <c r="E1242" s="372">
        <v>1018248.09</v>
      </c>
      <c r="F1242" s="402">
        <v>1018248.09</v>
      </c>
      <c r="G1242" s="400">
        <f t="shared" si="19"/>
        <v>100</v>
      </c>
    </row>
    <row r="1243" spans="1:7" ht="25.5">
      <c r="A1243" s="54" t="s">
        <v>1755</v>
      </c>
      <c r="B1243" s="353" t="s">
        <v>1606</v>
      </c>
      <c r="C1243" s="6" t="s">
        <v>1756</v>
      </c>
      <c r="D1243" s="6" t="s">
        <v>1468</v>
      </c>
      <c r="E1243" s="372">
        <v>1018248.09</v>
      </c>
      <c r="F1243" s="402">
        <v>1018248.09</v>
      </c>
      <c r="G1243" s="400">
        <f t="shared" si="19"/>
        <v>100</v>
      </c>
    </row>
    <row r="1244" spans="1:7" ht="25.5">
      <c r="A1244" s="54" t="s">
        <v>1502</v>
      </c>
      <c r="B1244" s="353" t="s">
        <v>1606</v>
      </c>
      <c r="C1244" s="6" t="s">
        <v>1503</v>
      </c>
      <c r="D1244" s="6" t="s">
        <v>1468</v>
      </c>
      <c r="E1244" s="372">
        <v>1018248.09</v>
      </c>
      <c r="F1244" s="402">
        <v>1018248.09</v>
      </c>
      <c r="G1244" s="400">
        <f t="shared" si="19"/>
        <v>100</v>
      </c>
    </row>
    <row r="1245" spans="1:7">
      <c r="A1245" s="54" t="s">
        <v>218</v>
      </c>
      <c r="B1245" s="353" t="s">
        <v>1606</v>
      </c>
      <c r="C1245" s="6" t="s">
        <v>1503</v>
      </c>
      <c r="D1245" s="6" t="s">
        <v>1362</v>
      </c>
      <c r="E1245" s="372">
        <v>1018248.09</v>
      </c>
      <c r="F1245" s="402">
        <v>1018248.09</v>
      </c>
      <c r="G1245" s="400">
        <f t="shared" si="19"/>
        <v>100</v>
      </c>
    </row>
    <row r="1246" spans="1:7">
      <c r="A1246" s="54" t="s">
        <v>179</v>
      </c>
      <c r="B1246" s="353" t="s">
        <v>1606</v>
      </c>
      <c r="C1246" s="6" t="s">
        <v>1503</v>
      </c>
      <c r="D1246" s="6" t="s">
        <v>448</v>
      </c>
      <c r="E1246" s="372">
        <v>1018248.09</v>
      </c>
      <c r="F1246" s="402">
        <v>1018248.09</v>
      </c>
      <c r="G1246" s="400">
        <f t="shared" si="19"/>
        <v>100</v>
      </c>
    </row>
    <row r="1247" spans="1:7" ht="25.5">
      <c r="A1247" s="54" t="s">
        <v>706</v>
      </c>
      <c r="B1247" s="353" t="s">
        <v>1138</v>
      </c>
      <c r="C1247" s="6" t="s">
        <v>1468</v>
      </c>
      <c r="D1247" s="6" t="s">
        <v>1468</v>
      </c>
      <c r="E1247" s="372">
        <v>1619983</v>
      </c>
      <c r="F1247" s="402">
        <v>1619983</v>
      </c>
      <c r="G1247" s="400">
        <f t="shared" si="19"/>
        <v>100</v>
      </c>
    </row>
    <row r="1248" spans="1:7" ht="63.75">
      <c r="A1248" s="54" t="s">
        <v>622</v>
      </c>
      <c r="B1248" s="353" t="s">
        <v>864</v>
      </c>
      <c r="C1248" s="6" t="s">
        <v>1468</v>
      </c>
      <c r="D1248" s="6" t="s">
        <v>1468</v>
      </c>
      <c r="E1248" s="372">
        <v>1619983</v>
      </c>
      <c r="F1248" s="402">
        <v>1619983</v>
      </c>
      <c r="G1248" s="400">
        <f t="shared" si="19"/>
        <v>100</v>
      </c>
    </row>
    <row r="1249" spans="1:7">
      <c r="A1249" s="54" t="s">
        <v>1759</v>
      </c>
      <c r="B1249" s="353" t="s">
        <v>864</v>
      </c>
      <c r="C1249" s="6" t="s">
        <v>1760</v>
      </c>
      <c r="D1249" s="6" t="s">
        <v>1468</v>
      </c>
      <c r="E1249" s="372">
        <v>270000</v>
      </c>
      <c r="F1249" s="402">
        <v>270000</v>
      </c>
      <c r="G1249" s="400">
        <f t="shared" si="19"/>
        <v>100</v>
      </c>
    </row>
    <row r="1250" spans="1:7">
      <c r="A1250" s="54" t="s">
        <v>625</v>
      </c>
      <c r="B1250" s="353" t="s">
        <v>864</v>
      </c>
      <c r="C1250" s="6" t="s">
        <v>626</v>
      </c>
      <c r="D1250" s="6" t="s">
        <v>1468</v>
      </c>
      <c r="E1250" s="372">
        <v>270000</v>
      </c>
      <c r="F1250" s="402">
        <v>270000</v>
      </c>
      <c r="G1250" s="400">
        <f t="shared" si="19"/>
        <v>100</v>
      </c>
    </row>
    <row r="1251" spans="1:7">
      <c r="A1251" s="54" t="s">
        <v>283</v>
      </c>
      <c r="B1251" s="353" t="s">
        <v>864</v>
      </c>
      <c r="C1251" s="6" t="s">
        <v>626</v>
      </c>
      <c r="D1251" s="6" t="s">
        <v>1363</v>
      </c>
      <c r="E1251" s="372">
        <v>270000</v>
      </c>
      <c r="F1251" s="402">
        <v>270000</v>
      </c>
      <c r="G1251" s="400">
        <f t="shared" si="19"/>
        <v>100</v>
      </c>
    </row>
    <row r="1252" spans="1:7">
      <c r="A1252" s="54" t="s">
        <v>3</v>
      </c>
      <c r="B1252" s="353" t="s">
        <v>864</v>
      </c>
      <c r="C1252" s="6" t="s">
        <v>626</v>
      </c>
      <c r="D1252" s="6" t="s">
        <v>474</v>
      </c>
      <c r="E1252" s="372">
        <v>270000</v>
      </c>
      <c r="F1252" s="402">
        <v>270000</v>
      </c>
      <c r="G1252" s="400">
        <f t="shared" si="19"/>
        <v>100</v>
      </c>
    </row>
    <row r="1253" spans="1:7" ht="25.5">
      <c r="A1253" s="54" t="s">
        <v>1761</v>
      </c>
      <c r="B1253" s="353" t="s">
        <v>864</v>
      </c>
      <c r="C1253" s="6" t="s">
        <v>1762</v>
      </c>
      <c r="D1253" s="6" t="s">
        <v>1468</v>
      </c>
      <c r="E1253" s="372">
        <v>1349983</v>
      </c>
      <c r="F1253" s="402">
        <v>1349983</v>
      </c>
      <c r="G1253" s="400">
        <f t="shared" si="19"/>
        <v>100</v>
      </c>
    </row>
    <row r="1254" spans="1:7">
      <c r="A1254" s="54" t="s">
        <v>1513</v>
      </c>
      <c r="B1254" s="353" t="s">
        <v>864</v>
      </c>
      <c r="C1254" s="6" t="s">
        <v>101</v>
      </c>
      <c r="D1254" s="6" t="s">
        <v>1468</v>
      </c>
      <c r="E1254" s="372">
        <v>1349983</v>
      </c>
      <c r="F1254" s="402">
        <v>1349983</v>
      </c>
      <c r="G1254" s="400">
        <f t="shared" si="19"/>
        <v>100</v>
      </c>
    </row>
    <row r="1255" spans="1:7">
      <c r="A1255" s="54" t="s">
        <v>283</v>
      </c>
      <c r="B1255" s="353" t="s">
        <v>864</v>
      </c>
      <c r="C1255" s="6" t="s">
        <v>101</v>
      </c>
      <c r="D1255" s="6" t="s">
        <v>1363</v>
      </c>
      <c r="E1255" s="372">
        <v>1349983</v>
      </c>
      <c r="F1255" s="402">
        <v>1349983</v>
      </c>
      <c r="G1255" s="400">
        <f t="shared" si="19"/>
        <v>100</v>
      </c>
    </row>
    <row r="1256" spans="1:7">
      <c r="A1256" s="54" t="s">
        <v>3</v>
      </c>
      <c r="B1256" s="353" t="s">
        <v>864</v>
      </c>
      <c r="C1256" s="6" t="s">
        <v>101</v>
      </c>
      <c r="D1256" s="6" t="s">
        <v>474</v>
      </c>
      <c r="E1256" s="372">
        <v>1349983</v>
      </c>
      <c r="F1256" s="402">
        <v>1349983</v>
      </c>
      <c r="G1256" s="400">
        <f t="shared" si="19"/>
        <v>100</v>
      </c>
    </row>
    <row r="1257" spans="1:7" ht="25.5">
      <c r="A1257" s="54" t="s">
        <v>1947</v>
      </c>
      <c r="B1257" s="353" t="s">
        <v>1139</v>
      </c>
      <c r="C1257" s="6" t="s">
        <v>1468</v>
      </c>
      <c r="D1257" s="6" t="s">
        <v>1468</v>
      </c>
      <c r="E1257" s="372">
        <v>135149647.28</v>
      </c>
      <c r="F1257" s="400">
        <v>134038614.86</v>
      </c>
      <c r="G1257" s="400">
        <f t="shared" si="19"/>
        <v>99.17792429180507</v>
      </c>
    </row>
    <row r="1258" spans="1:7" ht="51">
      <c r="A1258" s="54" t="s">
        <v>1948</v>
      </c>
      <c r="B1258" s="353" t="s">
        <v>1140</v>
      </c>
      <c r="C1258" s="6" t="s">
        <v>1468</v>
      </c>
      <c r="D1258" s="6" t="s">
        <v>1468</v>
      </c>
      <c r="E1258" s="372">
        <v>119980509</v>
      </c>
      <c r="F1258" s="400">
        <v>119822366.2</v>
      </c>
      <c r="G1258" s="400">
        <f t="shared" si="19"/>
        <v>99.868192924569115</v>
      </c>
    </row>
    <row r="1259" spans="1:7" ht="140.25">
      <c r="A1259" s="54" t="s">
        <v>1055</v>
      </c>
      <c r="B1259" s="353" t="s">
        <v>1054</v>
      </c>
      <c r="C1259" s="6" t="s">
        <v>1468</v>
      </c>
      <c r="D1259" s="6" t="s">
        <v>1468</v>
      </c>
      <c r="E1259" s="372">
        <v>3845000</v>
      </c>
      <c r="F1259" s="400">
        <v>3845000</v>
      </c>
      <c r="G1259" s="400">
        <f t="shared" si="19"/>
        <v>100</v>
      </c>
    </row>
    <row r="1260" spans="1:7">
      <c r="A1260" s="54" t="s">
        <v>1765</v>
      </c>
      <c r="B1260" s="353" t="s">
        <v>1054</v>
      </c>
      <c r="C1260" s="6" t="s">
        <v>1766</v>
      </c>
      <c r="D1260" s="6" t="s">
        <v>1468</v>
      </c>
      <c r="E1260" s="372">
        <v>3845000</v>
      </c>
      <c r="F1260" s="400">
        <v>3845000</v>
      </c>
      <c r="G1260" s="400">
        <f t="shared" si="19"/>
        <v>100</v>
      </c>
    </row>
    <row r="1261" spans="1:7">
      <c r="A1261" s="54" t="s">
        <v>94</v>
      </c>
      <c r="B1261" s="353" t="s">
        <v>1054</v>
      </c>
      <c r="C1261" s="6" t="s">
        <v>519</v>
      </c>
      <c r="D1261" s="6" t="s">
        <v>1468</v>
      </c>
      <c r="E1261" s="372">
        <v>3845000</v>
      </c>
      <c r="F1261" s="400">
        <v>3845000</v>
      </c>
      <c r="G1261" s="400">
        <f t="shared" si="19"/>
        <v>100</v>
      </c>
    </row>
    <row r="1262" spans="1:7" ht="38.25">
      <c r="A1262" s="54" t="s">
        <v>1381</v>
      </c>
      <c r="B1262" s="353" t="s">
        <v>1054</v>
      </c>
      <c r="C1262" s="6" t="s">
        <v>519</v>
      </c>
      <c r="D1262" s="6" t="s">
        <v>1382</v>
      </c>
      <c r="E1262" s="372">
        <v>3845000</v>
      </c>
      <c r="F1262" s="400">
        <v>3845000</v>
      </c>
      <c r="G1262" s="400">
        <f t="shared" si="19"/>
        <v>100</v>
      </c>
    </row>
    <row r="1263" spans="1:7">
      <c r="A1263" s="54" t="s">
        <v>296</v>
      </c>
      <c r="B1263" s="353" t="s">
        <v>1054</v>
      </c>
      <c r="C1263" s="6" t="s">
        <v>519</v>
      </c>
      <c r="D1263" s="6" t="s">
        <v>531</v>
      </c>
      <c r="E1263" s="372">
        <v>3845000</v>
      </c>
      <c r="F1263" s="400">
        <v>3845000</v>
      </c>
      <c r="G1263" s="400">
        <f t="shared" si="19"/>
        <v>100</v>
      </c>
    </row>
    <row r="1264" spans="1:7" ht="178.5">
      <c r="A1264" s="54" t="s">
        <v>2059</v>
      </c>
      <c r="B1264" s="353" t="s">
        <v>2060</v>
      </c>
      <c r="C1264" s="6" t="s">
        <v>1468</v>
      </c>
      <c r="D1264" s="6" t="s">
        <v>1468</v>
      </c>
      <c r="E1264" s="372">
        <v>222000</v>
      </c>
      <c r="F1264" s="402">
        <v>222000</v>
      </c>
      <c r="G1264" s="400">
        <f t="shared" si="19"/>
        <v>100</v>
      </c>
    </row>
    <row r="1265" spans="1:7">
      <c r="A1265" s="54" t="s">
        <v>1765</v>
      </c>
      <c r="B1265" s="353" t="s">
        <v>2060</v>
      </c>
      <c r="C1265" s="6" t="s">
        <v>1766</v>
      </c>
      <c r="D1265" s="6" t="s">
        <v>1468</v>
      </c>
      <c r="E1265" s="372">
        <v>222000</v>
      </c>
      <c r="F1265" s="402">
        <v>222000</v>
      </c>
      <c r="G1265" s="400">
        <f t="shared" si="19"/>
        <v>100</v>
      </c>
    </row>
    <row r="1266" spans="1:7">
      <c r="A1266" s="54" t="s">
        <v>94</v>
      </c>
      <c r="B1266" s="353" t="s">
        <v>2060</v>
      </c>
      <c r="C1266" s="6" t="s">
        <v>519</v>
      </c>
      <c r="D1266" s="6" t="s">
        <v>1468</v>
      </c>
      <c r="E1266" s="372">
        <v>222000</v>
      </c>
      <c r="F1266" s="402">
        <v>222000</v>
      </c>
      <c r="G1266" s="400">
        <f t="shared" si="19"/>
        <v>100</v>
      </c>
    </row>
    <row r="1267" spans="1:7" ht="38.25">
      <c r="A1267" s="54" t="s">
        <v>1381</v>
      </c>
      <c r="B1267" s="353" t="s">
        <v>2060</v>
      </c>
      <c r="C1267" s="6" t="s">
        <v>519</v>
      </c>
      <c r="D1267" s="6" t="s">
        <v>1382</v>
      </c>
      <c r="E1267" s="372">
        <v>222000</v>
      </c>
      <c r="F1267" s="402">
        <v>222000</v>
      </c>
      <c r="G1267" s="400">
        <f t="shared" si="19"/>
        <v>100</v>
      </c>
    </row>
    <row r="1268" spans="1:7">
      <c r="A1268" s="54" t="s">
        <v>296</v>
      </c>
      <c r="B1268" s="353" t="s">
        <v>2060</v>
      </c>
      <c r="C1268" s="6" t="s">
        <v>519</v>
      </c>
      <c r="D1268" s="6" t="s">
        <v>531</v>
      </c>
      <c r="E1268" s="372">
        <v>222000</v>
      </c>
      <c r="F1268" s="402">
        <v>222000</v>
      </c>
      <c r="G1268" s="400">
        <f t="shared" si="19"/>
        <v>100</v>
      </c>
    </row>
    <row r="1269" spans="1:7" ht="229.5">
      <c r="A1269" s="54" t="s">
        <v>2053</v>
      </c>
      <c r="B1269" s="353" t="s">
        <v>2054</v>
      </c>
      <c r="C1269" s="6" t="s">
        <v>1468</v>
      </c>
      <c r="D1269" s="6" t="s">
        <v>1468</v>
      </c>
      <c r="E1269" s="372">
        <v>604100</v>
      </c>
      <c r="F1269" s="402">
        <v>604100</v>
      </c>
      <c r="G1269" s="400">
        <f t="shared" si="19"/>
        <v>100</v>
      </c>
    </row>
    <row r="1270" spans="1:7">
      <c r="A1270" s="54" t="s">
        <v>1765</v>
      </c>
      <c r="B1270" s="353" t="s">
        <v>2054</v>
      </c>
      <c r="C1270" s="6" t="s">
        <v>1766</v>
      </c>
      <c r="D1270" s="6" t="s">
        <v>1468</v>
      </c>
      <c r="E1270" s="372">
        <v>604100</v>
      </c>
      <c r="F1270" s="402">
        <v>604100</v>
      </c>
      <c r="G1270" s="400">
        <f t="shared" si="19"/>
        <v>100</v>
      </c>
    </row>
    <row r="1271" spans="1:7">
      <c r="A1271" s="54" t="s">
        <v>94</v>
      </c>
      <c r="B1271" s="353" t="s">
        <v>2054</v>
      </c>
      <c r="C1271" s="6" t="s">
        <v>519</v>
      </c>
      <c r="D1271" s="6" t="s">
        <v>1468</v>
      </c>
      <c r="E1271" s="372">
        <v>604100</v>
      </c>
      <c r="F1271" s="402">
        <v>604100</v>
      </c>
      <c r="G1271" s="400">
        <f t="shared" si="19"/>
        <v>100</v>
      </c>
    </row>
    <row r="1272" spans="1:7" ht="38.25">
      <c r="A1272" s="54" t="s">
        <v>1381</v>
      </c>
      <c r="B1272" s="353" t="s">
        <v>2054</v>
      </c>
      <c r="C1272" s="6" t="s">
        <v>519</v>
      </c>
      <c r="D1272" s="6" t="s">
        <v>1382</v>
      </c>
      <c r="E1272" s="372">
        <v>604100</v>
      </c>
      <c r="F1272" s="402">
        <v>604100</v>
      </c>
      <c r="G1272" s="400">
        <f t="shared" si="19"/>
        <v>100</v>
      </c>
    </row>
    <row r="1273" spans="1:7">
      <c r="A1273" s="54" t="s">
        <v>296</v>
      </c>
      <c r="B1273" s="353" t="s">
        <v>2054</v>
      </c>
      <c r="C1273" s="6" t="s">
        <v>519</v>
      </c>
      <c r="D1273" s="6" t="s">
        <v>531</v>
      </c>
      <c r="E1273" s="372">
        <v>604100</v>
      </c>
      <c r="F1273" s="402">
        <v>604100</v>
      </c>
      <c r="G1273" s="400">
        <f t="shared" si="19"/>
        <v>100</v>
      </c>
    </row>
    <row r="1274" spans="1:7" ht="114.75">
      <c r="A1274" s="54" t="s">
        <v>632</v>
      </c>
      <c r="B1274" s="353" t="s">
        <v>924</v>
      </c>
      <c r="C1274" s="6" t="s">
        <v>1468</v>
      </c>
      <c r="D1274" s="6" t="s">
        <v>1468</v>
      </c>
      <c r="E1274" s="372">
        <v>4523000</v>
      </c>
      <c r="F1274" s="402">
        <v>4523000</v>
      </c>
      <c r="G1274" s="400">
        <f t="shared" si="19"/>
        <v>100</v>
      </c>
    </row>
    <row r="1275" spans="1:7">
      <c r="A1275" s="54" t="s">
        <v>1765</v>
      </c>
      <c r="B1275" s="353" t="s">
        <v>924</v>
      </c>
      <c r="C1275" s="6" t="s">
        <v>1766</v>
      </c>
      <c r="D1275" s="6" t="s">
        <v>1468</v>
      </c>
      <c r="E1275" s="372">
        <v>4523000</v>
      </c>
      <c r="F1275" s="402">
        <v>4523000</v>
      </c>
      <c r="G1275" s="400">
        <f t="shared" si="19"/>
        <v>100</v>
      </c>
    </row>
    <row r="1276" spans="1:7">
      <c r="A1276" s="54" t="s">
        <v>523</v>
      </c>
      <c r="B1276" s="353" t="s">
        <v>924</v>
      </c>
      <c r="C1276" s="6" t="s">
        <v>524</v>
      </c>
      <c r="D1276" s="6" t="s">
        <v>1468</v>
      </c>
      <c r="E1276" s="372">
        <v>4523000</v>
      </c>
      <c r="F1276" s="402">
        <v>4523000</v>
      </c>
      <c r="G1276" s="400">
        <f t="shared" si="19"/>
        <v>100</v>
      </c>
    </row>
    <row r="1277" spans="1:7">
      <c r="A1277" s="54" t="s">
        <v>228</v>
      </c>
      <c r="B1277" s="353" t="s">
        <v>924</v>
      </c>
      <c r="C1277" s="6" t="s">
        <v>524</v>
      </c>
      <c r="D1277" s="6" t="s">
        <v>1377</v>
      </c>
      <c r="E1277" s="372">
        <v>4523000</v>
      </c>
      <c r="F1277" s="402">
        <v>4523000</v>
      </c>
      <c r="G1277" s="400">
        <f t="shared" si="19"/>
        <v>100</v>
      </c>
    </row>
    <row r="1278" spans="1:7">
      <c r="A1278" s="54" t="s">
        <v>229</v>
      </c>
      <c r="B1278" s="353" t="s">
        <v>924</v>
      </c>
      <c r="C1278" s="6" t="s">
        <v>524</v>
      </c>
      <c r="D1278" s="6" t="s">
        <v>522</v>
      </c>
      <c r="E1278" s="372">
        <v>4523000</v>
      </c>
      <c r="F1278" s="402">
        <v>4523000</v>
      </c>
      <c r="G1278" s="400">
        <f t="shared" si="19"/>
        <v>100</v>
      </c>
    </row>
    <row r="1279" spans="1:7" ht="114.75">
      <c r="A1279" s="54" t="s">
        <v>631</v>
      </c>
      <c r="B1279" s="353" t="s">
        <v>922</v>
      </c>
      <c r="C1279" s="6" t="s">
        <v>1468</v>
      </c>
      <c r="D1279" s="6" t="s">
        <v>1468</v>
      </c>
      <c r="E1279" s="372">
        <v>215600</v>
      </c>
      <c r="F1279" s="400">
        <v>189300</v>
      </c>
      <c r="G1279" s="400">
        <f t="shared" si="19"/>
        <v>87.801484230055664</v>
      </c>
    </row>
    <row r="1280" spans="1:7">
      <c r="A1280" s="54" t="s">
        <v>1765</v>
      </c>
      <c r="B1280" s="353" t="s">
        <v>922</v>
      </c>
      <c r="C1280" s="6" t="s">
        <v>1766</v>
      </c>
      <c r="D1280" s="6" t="s">
        <v>1468</v>
      </c>
      <c r="E1280" s="372">
        <v>215600</v>
      </c>
      <c r="F1280" s="400">
        <v>189300</v>
      </c>
      <c r="G1280" s="400">
        <f t="shared" si="19"/>
        <v>87.801484230055664</v>
      </c>
    </row>
    <row r="1281" spans="1:7">
      <c r="A1281" s="54" t="s">
        <v>523</v>
      </c>
      <c r="B1281" s="353" t="s">
        <v>922</v>
      </c>
      <c r="C1281" s="6" t="s">
        <v>524</v>
      </c>
      <c r="D1281" s="6" t="s">
        <v>1468</v>
      </c>
      <c r="E1281" s="372">
        <v>215600</v>
      </c>
      <c r="F1281" s="400">
        <v>189300</v>
      </c>
      <c r="G1281" s="400">
        <f t="shared" si="19"/>
        <v>87.801484230055664</v>
      </c>
    </row>
    <row r="1282" spans="1:7">
      <c r="A1282" s="54" t="s">
        <v>278</v>
      </c>
      <c r="B1282" s="353" t="s">
        <v>922</v>
      </c>
      <c r="C1282" s="6" t="s">
        <v>524</v>
      </c>
      <c r="D1282" s="6" t="s">
        <v>1357</v>
      </c>
      <c r="E1282" s="372">
        <v>215600</v>
      </c>
      <c r="F1282" s="400">
        <v>189300</v>
      </c>
      <c r="G1282" s="400">
        <f t="shared" si="19"/>
        <v>87.801484230055664</v>
      </c>
    </row>
    <row r="1283" spans="1:7">
      <c r="A1283" s="54" t="s">
        <v>261</v>
      </c>
      <c r="B1283" s="353" t="s">
        <v>922</v>
      </c>
      <c r="C1283" s="6" t="s">
        <v>524</v>
      </c>
      <c r="D1283" s="6" t="s">
        <v>424</v>
      </c>
      <c r="E1283" s="372">
        <v>215600</v>
      </c>
      <c r="F1283" s="400">
        <v>189300</v>
      </c>
      <c r="G1283" s="400">
        <f t="shared" si="19"/>
        <v>87.801484230055664</v>
      </c>
    </row>
    <row r="1284" spans="1:7" ht="140.25">
      <c r="A1284" s="54" t="s">
        <v>1214</v>
      </c>
      <c r="B1284" s="353" t="s">
        <v>929</v>
      </c>
      <c r="C1284" s="6" t="s">
        <v>1468</v>
      </c>
      <c r="D1284" s="6" t="s">
        <v>1468</v>
      </c>
      <c r="E1284" s="372">
        <v>41401000</v>
      </c>
      <c r="F1284" s="402">
        <v>41401000</v>
      </c>
      <c r="G1284" s="400">
        <f t="shared" si="19"/>
        <v>100</v>
      </c>
    </row>
    <row r="1285" spans="1:7">
      <c r="A1285" s="54" t="s">
        <v>1765</v>
      </c>
      <c r="B1285" s="353" t="s">
        <v>929</v>
      </c>
      <c r="C1285" s="6" t="s">
        <v>1766</v>
      </c>
      <c r="D1285" s="6" t="s">
        <v>1468</v>
      </c>
      <c r="E1285" s="372">
        <v>41401000</v>
      </c>
      <c r="F1285" s="402">
        <v>41401000</v>
      </c>
      <c r="G1285" s="400">
        <f t="shared" si="19"/>
        <v>100</v>
      </c>
    </row>
    <row r="1286" spans="1:7">
      <c r="A1286" s="54" t="s">
        <v>1514</v>
      </c>
      <c r="B1286" s="353" t="s">
        <v>929</v>
      </c>
      <c r="C1286" s="6" t="s">
        <v>1515</v>
      </c>
      <c r="D1286" s="6" t="s">
        <v>1468</v>
      </c>
      <c r="E1286" s="372">
        <v>41401000</v>
      </c>
      <c r="F1286" s="402">
        <v>41401000</v>
      </c>
      <c r="G1286" s="400">
        <f t="shared" si="19"/>
        <v>100</v>
      </c>
    </row>
    <row r="1287" spans="1:7" ht="38.25">
      <c r="A1287" s="54" t="s">
        <v>1381</v>
      </c>
      <c r="B1287" s="353" t="s">
        <v>929</v>
      </c>
      <c r="C1287" s="6" t="s">
        <v>1515</v>
      </c>
      <c r="D1287" s="6" t="s">
        <v>1382</v>
      </c>
      <c r="E1287" s="372">
        <v>41401000</v>
      </c>
      <c r="F1287" s="402">
        <v>41401000</v>
      </c>
      <c r="G1287" s="400">
        <f t="shared" si="19"/>
        <v>100</v>
      </c>
    </row>
    <row r="1288" spans="1:7" ht="38.25">
      <c r="A1288" s="54" t="s">
        <v>255</v>
      </c>
      <c r="B1288" s="353" t="s">
        <v>929</v>
      </c>
      <c r="C1288" s="6" t="s">
        <v>1515</v>
      </c>
      <c r="D1288" s="6" t="s">
        <v>529</v>
      </c>
      <c r="E1288" s="372">
        <v>41401000</v>
      </c>
      <c r="F1288" s="402">
        <v>41401000</v>
      </c>
      <c r="G1288" s="400">
        <f t="shared" si="19"/>
        <v>100</v>
      </c>
    </row>
    <row r="1289" spans="1:7" ht="140.25">
      <c r="A1289" s="54" t="s">
        <v>1949</v>
      </c>
      <c r="B1289" s="353" t="s">
        <v>1058</v>
      </c>
      <c r="C1289" s="6" t="s">
        <v>1468</v>
      </c>
      <c r="D1289" s="6" t="s">
        <v>1468</v>
      </c>
      <c r="E1289" s="372">
        <v>2747520</v>
      </c>
      <c r="F1289" s="400">
        <v>2615677.2000000002</v>
      </c>
      <c r="G1289" s="400">
        <f t="shared" ref="G1289:G1352" si="20">F1289/E1289*100</f>
        <v>95.2013888888889</v>
      </c>
    </row>
    <row r="1290" spans="1:7">
      <c r="A1290" s="54" t="s">
        <v>1765</v>
      </c>
      <c r="B1290" s="353" t="s">
        <v>1058</v>
      </c>
      <c r="C1290" s="6" t="s">
        <v>1766</v>
      </c>
      <c r="D1290" s="6" t="s">
        <v>1468</v>
      </c>
      <c r="E1290" s="372">
        <v>2747520</v>
      </c>
      <c r="F1290" s="400">
        <v>2615677.2000000002</v>
      </c>
      <c r="G1290" s="400">
        <f t="shared" si="20"/>
        <v>95.2013888888889</v>
      </c>
    </row>
    <row r="1291" spans="1:7">
      <c r="A1291" s="54" t="s">
        <v>94</v>
      </c>
      <c r="B1291" s="353" t="s">
        <v>1058</v>
      </c>
      <c r="C1291" s="6" t="s">
        <v>519</v>
      </c>
      <c r="D1291" s="6" t="s">
        <v>1468</v>
      </c>
      <c r="E1291" s="372">
        <v>2747520</v>
      </c>
      <c r="F1291" s="400">
        <v>2615677.2000000002</v>
      </c>
      <c r="G1291" s="400">
        <f t="shared" si="20"/>
        <v>95.2013888888889</v>
      </c>
    </row>
    <row r="1292" spans="1:7">
      <c r="A1292" s="54" t="s">
        <v>283</v>
      </c>
      <c r="B1292" s="353" t="s">
        <v>1058</v>
      </c>
      <c r="C1292" s="6" t="s">
        <v>519</v>
      </c>
      <c r="D1292" s="6" t="s">
        <v>1363</v>
      </c>
      <c r="E1292" s="372">
        <v>2747520</v>
      </c>
      <c r="F1292" s="400">
        <v>2615677.2000000002</v>
      </c>
      <c r="G1292" s="400">
        <f t="shared" si="20"/>
        <v>95.2013888888889</v>
      </c>
    </row>
    <row r="1293" spans="1:7">
      <c r="A1293" s="54" t="s">
        <v>46</v>
      </c>
      <c r="B1293" s="353" t="s">
        <v>1058</v>
      </c>
      <c r="C1293" s="6" t="s">
        <v>519</v>
      </c>
      <c r="D1293" s="6" t="s">
        <v>476</v>
      </c>
      <c r="E1293" s="372">
        <v>2747520</v>
      </c>
      <c r="F1293" s="400">
        <v>2615677.2000000002</v>
      </c>
      <c r="G1293" s="400">
        <f t="shared" si="20"/>
        <v>95.2013888888889</v>
      </c>
    </row>
    <row r="1294" spans="1:7" ht="102">
      <c r="A1294" s="54" t="s">
        <v>1950</v>
      </c>
      <c r="B1294" s="353" t="s">
        <v>1951</v>
      </c>
      <c r="C1294" s="6" t="s">
        <v>1468</v>
      </c>
      <c r="D1294" s="6" t="s">
        <v>1468</v>
      </c>
      <c r="E1294" s="372">
        <v>210000</v>
      </c>
      <c r="F1294" s="402">
        <v>210000</v>
      </c>
      <c r="G1294" s="400">
        <f t="shared" si="20"/>
        <v>100</v>
      </c>
    </row>
    <row r="1295" spans="1:7">
      <c r="A1295" s="54" t="s">
        <v>1765</v>
      </c>
      <c r="B1295" s="353" t="s">
        <v>1951</v>
      </c>
      <c r="C1295" s="6" t="s">
        <v>1766</v>
      </c>
      <c r="D1295" s="6" t="s">
        <v>1468</v>
      </c>
      <c r="E1295" s="372">
        <v>210000</v>
      </c>
      <c r="F1295" s="402">
        <v>210000</v>
      </c>
      <c r="G1295" s="400">
        <f t="shared" si="20"/>
        <v>100</v>
      </c>
    </row>
    <row r="1296" spans="1:7">
      <c r="A1296" s="54" t="s">
        <v>94</v>
      </c>
      <c r="B1296" s="353" t="s">
        <v>1951</v>
      </c>
      <c r="C1296" s="6" t="s">
        <v>519</v>
      </c>
      <c r="D1296" s="6" t="s">
        <v>1468</v>
      </c>
      <c r="E1296" s="372">
        <v>210000</v>
      </c>
      <c r="F1296" s="402">
        <v>210000</v>
      </c>
      <c r="G1296" s="400">
        <f t="shared" si="20"/>
        <v>100</v>
      </c>
    </row>
    <row r="1297" spans="1:7">
      <c r="A1297" s="54" t="s">
        <v>283</v>
      </c>
      <c r="B1297" s="353" t="s">
        <v>1951</v>
      </c>
      <c r="C1297" s="6" t="s">
        <v>519</v>
      </c>
      <c r="D1297" s="6" t="s">
        <v>1363</v>
      </c>
      <c r="E1297" s="372">
        <v>210000</v>
      </c>
      <c r="F1297" s="402">
        <v>210000</v>
      </c>
      <c r="G1297" s="400">
        <f t="shared" si="20"/>
        <v>100</v>
      </c>
    </row>
    <row r="1298" spans="1:7">
      <c r="A1298" s="54" t="s">
        <v>46</v>
      </c>
      <c r="B1298" s="353" t="s">
        <v>1951</v>
      </c>
      <c r="C1298" s="6" t="s">
        <v>519</v>
      </c>
      <c r="D1298" s="6" t="s">
        <v>476</v>
      </c>
      <c r="E1298" s="372">
        <v>210000</v>
      </c>
      <c r="F1298" s="402">
        <v>210000</v>
      </c>
      <c r="G1298" s="400">
        <f t="shared" si="20"/>
        <v>100</v>
      </c>
    </row>
    <row r="1299" spans="1:7" ht="102">
      <c r="A1299" s="54" t="s">
        <v>635</v>
      </c>
      <c r="B1299" s="353" t="s">
        <v>931</v>
      </c>
      <c r="C1299" s="6" t="s">
        <v>1468</v>
      </c>
      <c r="D1299" s="6" t="s">
        <v>1468</v>
      </c>
      <c r="E1299" s="372">
        <v>23787597</v>
      </c>
      <c r="F1299" s="402">
        <v>23787597</v>
      </c>
      <c r="G1299" s="400">
        <f t="shared" si="20"/>
        <v>100</v>
      </c>
    </row>
    <row r="1300" spans="1:7">
      <c r="A1300" s="54" t="s">
        <v>1765</v>
      </c>
      <c r="B1300" s="353" t="s">
        <v>931</v>
      </c>
      <c r="C1300" s="6" t="s">
        <v>1766</v>
      </c>
      <c r="D1300" s="6" t="s">
        <v>1468</v>
      </c>
      <c r="E1300" s="372">
        <v>23787597</v>
      </c>
      <c r="F1300" s="402">
        <v>23787597</v>
      </c>
      <c r="G1300" s="400">
        <f t="shared" si="20"/>
        <v>100</v>
      </c>
    </row>
    <row r="1301" spans="1:7">
      <c r="A1301" s="54" t="s">
        <v>94</v>
      </c>
      <c r="B1301" s="353" t="s">
        <v>931</v>
      </c>
      <c r="C1301" s="6" t="s">
        <v>519</v>
      </c>
      <c r="D1301" s="6" t="s">
        <v>1468</v>
      </c>
      <c r="E1301" s="372">
        <v>23787597</v>
      </c>
      <c r="F1301" s="402">
        <v>23787597</v>
      </c>
      <c r="G1301" s="400">
        <f t="shared" si="20"/>
        <v>100</v>
      </c>
    </row>
    <row r="1302" spans="1:7" ht="38.25">
      <c r="A1302" s="54" t="s">
        <v>1381</v>
      </c>
      <c r="B1302" s="353" t="s">
        <v>931</v>
      </c>
      <c r="C1302" s="6" t="s">
        <v>519</v>
      </c>
      <c r="D1302" s="6" t="s">
        <v>1382</v>
      </c>
      <c r="E1302" s="372">
        <v>23787597</v>
      </c>
      <c r="F1302" s="402">
        <v>23787597</v>
      </c>
      <c r="G1302" s="400">
        <f t="shared" si="20"/>
        <v>100</v>
      </c>
    </row>
    <row r="1303" spans="1:7">
      <c r="A1303" s="54" t="s">
        <v>296</v>
      </c>
      <c r="B1303" s="353" t="s">
        <v>931</v>
      </c>
      <c r="C1303" s="6" t="s">
        <v>519</v>
      </c>
      <c r="D1303" s="6" t="s">
        <v>531</v>
      </c>
      <c r="E1303" s="372">
        <v>23787597</v>
      </c>
      <c r="F1303" s="402">
        <v>23787597</v>
      </c>
      <c r="G1303" s="400">
        <f t="shared" si="20"/>
        <v>100</v>
      </c>
    </row>
    <row r="1304" spans="1:7" ht="89.25">
      <c r="A1304" s="54" t="s">
        <v>634</v>
      </c>
      <c r="B1304" s="353" t="s">
        <v>930</v>
      </c>
      <c r="C1304" s="6" t="s">
        <v>1468</v>
      </c>
      <c r="D1304" s="6" t="s">
        <v>1468</v>
      </c>
      <c r="E1304" s="372">
        <v>40838100</v>
      </c>
      <c r="F1304" s="402">
        <v>40838100</v>
      </c>
      <c r="G1304" s="400">
        <f t="shared" si="20"/>
        <v>100</v>
      </c>
    </row>
    <row r="1305" spans="1:7">
      <c r="A1305" s="54" t="s">
        <v>1765</v>
      </c>
      <c r="B1305" s="353" t="s">
        <v>930</v>
      </c>
      <c r="C1305" s="6" t="s">
        <v>1766</v>
      </c>
      <c r="D1305" s="6" t="s">
        <v>1468</v>
      </c>
      <c r="E1305" s="372">
        <v>40838100</v>
      </c>
      <c r="F1305" s="402">
        <v>40838100</v>
      </c>
      <c r="G1305" s="400">
        <f t="shared" si="20"/>
        <v>100</v>
      </c>
    </row>
    <row r="1306" spans="1:7">
      <c r="A1306" s="54" t="s">
        <v>1514</v>
      </c>
      <c r="B1306" s="353" t="s">
        <v>930</v>
      </c>
      <c r="C1306" s="6" t="s">
        <v>1515</v>
      </c>
      <c r="D1306" s="6" t="s">
        <v>1468</v>
      </c>
      <c r="E1306" s="372">
        <v>40838100</v>
      </c>
      <c r="F1306" s="402">
        <v>40838100</v>
      </c>
      <c r="G1306" s="400">
        <f t="shared" si="20"/>
        <v>100</v>
      </c>
    </row>
    <row r="1307" spans="1:7" ht="38.25">
      <c r="A1307" s="54" t="s">
        <v>1381</v>
      </c>
      <c r="B1307" s="353" t="s">
        <v>930</v>
      </c>
      <c r="C1307" s="6" t="s">
        <v>1515</v>
      </c>
      <c r="D1307" s="6" t="s">
        <v>1382</v>
      </c>
      <c r="E1307" s="372">
        <v>40838100</v>
      </c>
      <c r="F1307" s="402">
        <v>40838100</v>
      </c>
      <c r="G1307" s="400">
        <f t="shared" si="20"/>
        <v>100</v>
      </c>
    </row>
    <row r="1308" spans="1:7" ht="38.25">
      <c r="A1308" s="54" t="s">
        <v>255</v>
      </c>
      <c r="B1308" s="353" t="s">
        <v>930</v>
      </c>
      <c r="C1308" s="6" t="s">
        <v>1515</v>
      </c>
      <c r="D1308" s="6" t="s">
        <v>529</v>
      </c>
      <c r="E1308" s="372">
        <v>40838100</v>
      </c>
      <c r="F1308" s="402">
        <v>40838100</v>
      </c>
      <c r="G1308" s="400">
        <f t="shared" si="20"/>
        <v>100</v>
      </c>
    </row>
    <row r="1309" spans="1:7" ht="89.25">
      <c r="A1309" s="54" t="s">
        <v>2083</v>
      </c>
      <c r="B1309" s="353" t="s">
        <v>2084</v>
      </c>
      <c r="C1309" s="6" t="s">
        <v>1468</v>
      </c>
      <c r="D1309" s="6" t="s">
        <v>1468</v>
      </c>
      <c r="E1309" s="372">
        <v>60060</v>
      </c>
      <c r="F1309" s="402">
        <v>60060</v>
      </c>
      <c r="G1309" s="400">
        <f t="shared" si="20"/>
        <v>100</v>
      </c>
    </row>
    <row r="1310" spans="1:7">
      <c r="A1310" s="54" t="s">
        <v>1765</v>
      </c>
      <c r="B1310" s="353" t="s">
        <v>2084</v>
      </c>
      <c r="C1310" s="6" t="s">
        <v>1766</v>
      </c>
      <c r="D1310" s="6" t="s">
        <v>1468</v>
      </c>
      <c r="E1310" s="372">
        <v>60060</v>
      </c>
      <c r="F1310" s="402">
        <v>60060</v>
      </c>
      <c r="G1310" s="400">
        <f t="shared" si="20"/>
        <v>100</v>
      </c>
    </row>
    <row r="1311" spans="1:7">
      <c r="A1311" s="54" t="s">
        <v>94</v>
      </c>
      <c r="B1311" s="353" t="s">
        <v>2084</v>
      </c>
      <c r="C1311" s="6" t="s">
        <v>519</v>
      </c>
      <c r="D1311" s="6" t="s">
        <v>1468</v>
      </c>
      <c r="E1311" s="372">
        <v>60060</v>
      </c>
      <c r="F1311" s="402">
        <v>60060</v>
      </c>
      <c r="G1311" s="400">
        <f t="shared" si="20"/>
        <v>100</v>
      </c>
    </row>
    <row r="1312" spans="1:7">
      <c r="A1312" s="54" t="s">
        <v>283</v>
      </c>
      <c r="B1312" s="353" t="s">
        <v>2084</v>
      </c>
      <c r="C1312" s="6" t="s">
        <v>519</v>
      </c>
      <c r="D1312" s="6" t="s">
        <v>1363</v>
      </c>
      <c r="E1312" s="372">
        <v>60060</v>
      </c>
      <c r="F1312" s="402">
        <v>60060</v>
      </c>
      <c r="G1312" s="400">
        <f t="shared" si="20"/>
        <v>100</v>
      </c>
    </row>
    <row r="1313" spans="1:7">
      <c r="A1313" s="54" t="s">
        <v>46</v>
      </c>
      <c r="B1313" s="353" t="s">
        <v>2084</v>
      </c>
      <c r="C1313" s="6" t="s">
        <v>519</v>
      </c>
      <c r="D1313" s="6" t="s">
        <v>476</v>
      </c>
      <c r="E1313" s="372">
        <v>60060</v>
      </c>
      <c r="F1313" s="402">
        <v>60060</v>
      </c>
      <c r="G1313" s="400">
        <f t="shared" si="20"/>
        <v>100</v>
      </c>
    </row>
    <row r="1314" spans="1:7" ht="102">
      <c r="A1314" s="54" t="s">
        <v>1956</v>
      </c>
      <c r="B1314" s="353" t="s">
        <v>1868</v>
      </c>
      <c r="C1314" s="6" t="s">
        <v>1468</v>
      </c>
      <c r="D1314" s="6" t="s">
        <v>1468</v>
      </c>
      <c r="E1314" s="372">
        <v>1526532</v>
      </c>
      <c r="F1314" s="402">
        <v>1526532</v>
      </c>
      <c r="G1314" s="400">
        <f t="shared" si="20"/>
        <v>100</v>
      </c>
    </row>
    <row r="1315" spans="1:7">
      <c r="A1315" s="54" t="s">
        <v>1765</v>
      </c>
      <c r="B1315" s="353" t="s">
        <v>1868</v>
      </c>
      <c r="C1315" s="6" t="s">
        <v>1766</v>
      </c>
      <c r="D1315" s="6" t="s">
        <v>1468</v>
      </c>
      <c r="E1315" s="372">
        <v>1526532</v>
      </c>
      <c r="F1315" s="402">
        <v>1526532</v>
      </c>
      <c r="G1315" s="400">
        <f t="shared" si="20"/>
        <v>100</v>
      </c>
    </row>
    <row r="1316" spans="1:7">
      <c r="A1316" s="54" t="s">
        <v>94</v>
      </c>
      <c r="B1316" s="353" t="s">
        <v>1868</v>
      </c>
      <c r="C1316" s="6" t="s">
        <v>519</v>
      </c>
      <c r="D1316" s="6" t="s">
        <v>1468</v>
      </c>
      <c r="E1316" s="372">
        <v>1526532</v>
      </c>
      <c r="F1316" s="402">
        <v>1526532</v>
      </c>
      <c r="G1316" s="400">
        <f t="shared" si="20"/>
        <v>100</v>
      </c>
    </row>
    <row r="1317" spans="1:7">
      <c r="A1317" s="54" t="s">
        <v>283</v>
      </c>
      <c r="B1317" s="353" t="s">
        <v>1868</v>
      </c>
      <c r="C1317" s="6" t="s">
        <v>519</v>
      </c>
      <c r="D1317" s="6" t="s">
        <v>1363</v>
      </c>
      <c r="E1317" s="372">
        <v>1526532</v>
      </c>
      <c r="F1317" s="402">
        <v>1526532</v>
      </c>
      <c r="G1317" s="400">
        <f t="shared" si="20"/>
        <v>100</v>
      </c>
    </row>
    <row r="1318" spans="1:7">
      <c r="A1318" s="54" t="s">
        <v>46</v>
      </c>
      <c r="B1318" s="353" t="s">
        <v>1868</v>
      </c>
      <c r="C1318" s="6" t="s">
        <v>519</v>
      </c>
      <c r="D1318" s="6" t="s">
        <v>476</v>
      </c>
      <c r="E1318" s="372">
        <v>1526532</v>
      </c>
      <c r="F1318" s="402">
        <v>1526532</v>
      </c>
      <c r="G1318" s="400">
        <f t="shared" si="20"/>
        <v>100</v>
      </c>
    </row>
    <row r="1319" spans="1:7" ht="25.5">
      <c r="A1319" s="54" t="s">
        <v>585</v>
      </c>
      <c r="B1319" s="353" t="s">
        <v>1141</v>
      </c>
      <c r="C1319" s="6" t="s">
        <v>1468</v>
      </c>
      <c r="D1319" s="6" t="s">
        <v>1468</v>
      </c>
      <c r="E1319" s="372">
        <v>15169138.279999999</v>
      </c>
      <c r="F1319" s="400">
        <v>14216248.66</v>
      </c>
      <c r="G1319" s="400">
        <f t="shared" si="20"/>
        <v>93.718234995218211</v>
      </c>
    </row>
    <row r="1320" spans="1:7" ht="63.75">
      <c r="A1320" s="54" t="s">
        <v>514</v>
      </c>
      <c r="B1320" s="353" t="s">
        <v>916</v>
      </c>
      <c r="C1320" s="6" t="s">
        <v>1468</v>
      </c>
      <c r="D1320" s="6" t="s">
        <v>1468</v>
      </c>
      <c r="E1320" s="372">
        <v>11576153.17</v>
      </c>
      <c r="F1320" s="400">
        <v>10912902.449999999</v>
      </c>
      <c r="G1320" s="400">
        <f t="shared" si="20"/>
        <v>94.270542983839931</v>
      </c>
    </row>
    <row r="1321" spans="1:7" ht="63.75">
      <c r="A1321" s="54" t="s">
        <v>1754</v>
      </c>
      <c r="B1321" s="353" t="s">
        <v>916</v>
      </c>
      <c r="C1321" s="6" t="s">
        <v>322</v>
      </c>
      <c r="D1321" s="6" t="s">
        <v>1468</v>
      </c>
      <c r="E1321" s="372">
        <v>10090471</v>
      </c>
      <c r="F1321" s="400">
        <v>9447892</v>
      </c>
      <c r="G1321" s="400">
        <f t="shared" si="20"/>
        <v>93.631823529347642</v>
      </c>
    </row>
    <row r="1322" spans="1:7" ht="25.5">
      <c r="A1322" s="54" t="s">
        <v>1509</v>
      </c>
      <c r="B1322" s="353" t="s">
        <v>916</v>
      </c>
      <c r="C1322" s="6" t="s">
        <v>37</v>
      </c>
      <c r="D1322" s="6" t="s">
        <v>1468</v>
      </c>
      <c r="E1322" s="372">
        <v>10090471</v>
      </c>
      <c r="F1322" s="400">
        <v>9447892</v>
      </c>
      <c r="G1322" s="400">
        <f t="shared" si="20"/>
        <v>93.631823529347642</v>
      </c>
    </row>
    <row r="1323" spans="1:7">
      <c r="A1323" s="54" t="s">
        <v>278</v>
      </c>
      <c r="B1323" s="353" t="s">
        <v>916</v>
      </c>
      <c r="C1323" s="6" t="s">
        <v>37</v>
      </c>
      <c r="D1323" s="6" t="s">
        <v>1357</v>
      </c>
      <c r="E1323" s="372">
        <v>10090471</v>
      </c>
      <c r="F1323" s="400">
        <v>9447892</v>
      </c>
      <c r="G1323" s="400">
        <f t="shared" si="20"/>
        <v>93.631823529347642</v>
      </c>
    </row>
    <row r="1324" spans="1:7" ht="38.25">
      <c r="A1324" s="54" t="s">
        <v>260</v>
      </c>
      <c r="B1324" s="353" t="s">
        <v>916</v>
      </c>
      <c r="C1324" s="6" t="s">
        <v>37</v>
      </c>
      <c r="D1324" s="6" t="s">
        <v>418</v>
      </c>
      <c r="E1324" s="372">
        <v>10090471</v>
      </c>
      <c r="F1324" s="400">
        <v>9447892</v>
      </c>
      <c r="G1324" s="400">
        <f t="shared" si="20"/>
        <v>93.631823529347642</v>
      </c>
    </row>
    <row r="1325" spans="1:7" ht="25.5">
      <c r="A1325" s="54" t="s">
        <v>1755</v>
      </c>
      <c r="B1325" s="353" t="s">
        <v>916</v>
      </c>
      <c r="C1325" s="6" t="s">
        <v>1756</v>
      </c>
      <c r="D1325" s="6" t="s">
        <v>1468</v>
      </c>
      <c r="E1325" s="372">
        <v>1452945.21</v>
      </c>
      <c r="F1325" s="400">
        <v>1444773.49</v>
      </c>
      <c r="G1325" s="400">
        <f t="shared" si="20"/>
        <v>99.437575488479709</v>
      </c>
    </row>
    <row r="1326" spans="1:7" ht="25.5">
      <c r="A1326" s="54" t="s">
        <v>1502</v>
      </c>
      <c r="B1326" s="353" t="s">
        <v>916</v>
      </c>
      <c r="C1326" s="6" t="s">
        <v>1503</v>
      </c>
      <c r="D1326" s="6" t="s">
        <v>1468</v>
      </c>
      <c r="E1326" s="372">
        <v>1452945.21</v>
      </c>
      <c r="F1326" s="400">
        <v>1444773.49</v>
      </c>
      <c r="G1326" s="400">
        <f t="shared" si="20"/>
        <v>99.437575488479709</v>
      </c>
    </row>
    <row r="1327" spans="1:7">
      <c r="A1327" s="54" t="s">
        <v>278</v>
      </c>
      <c r="B1327" s="353" t="s">
        <v>916</v>
      </c>
      <c r="C1327" s="6" t="s">
        <v>1503</v>
      </c>
      <c r="D1327" s="6" t="s">
        <v>1357</v>
      </c>
      <c r="E1327" s="372">
        <v>1452945.21</v>
      </c>
      <c r="F1327" s="400">
        <v>1444773.49</v>
      </c>
      <c r="G1327" s="400">
        <f t="shared" si="20"/>
        <v>99.437575488479709</v>
      </c>
    </row>
    <row r="1328" spans="1:7" ht="38.25">
      <c r="A1328" s="54" t="s">
        <v>260</v>
      </c>
      <c r="B1328" s="353" t="s">
        <v>916</v>
      </c>
      <c r="C1328" s="6" t="s">
        <v>1503</v>
      </c>
      <c r="D1328" s="6" t="s">
        <v>418</v>
      </c>
      <c r="E1328" s="372">
        <v>1452945.21</v>
      </c>
      <c r="F1328" s="400">
        <v>1444773.49</v>
      </c>
      <c r="G1328" s="400">
        <f t="shared" si="20"/>
        <v>99.437575488479709</v>
      </c>
    </row>
    <row r="1329" spans="1:7">
      <c r="A1329" s="54" t="s">
        <v>1757</v>
      </c>
      <c r="B1329" s="353" t="s">
        <v>916</v>
      </c>
      <c r="C1329" s="6" t="s">
        <v>1758</v>
      </c>
      <c r="D1329" s="6" t="s">
        <v>1468</v>
      </c>
      <c r="E1329" s="372">
        <v>32736.959999999999</v>
      </c>
      <c r="F1329" s="400">
        <v>20236.96</v>
      </c>
      <c r="G1329" s="400">
        <f t="shared" si="20"/>
        <v>61.81685776565692</v>
      </c>
    </row>
    <row r="1330" spans="1:7">
      <c r="A1330" s="54" t="s">
        <v>1507</v>
      </c>
      <c r="B1330" s="353" t="s">
        <v>916</v>
      </c>
      <c r="C1330" s="6" t="s">
        <v>1508</v>
      </c>
      <c r="D1330" s="6" t="s">
        <v>1468</v>
      </c>
      <c r="E1330" s="372">
        <v>32736.959999999999</v>
      </c>
      <c r="F1330" s="400">
        <v>20236.96</v>
      </c>
      <c r="G1330" s="400">
        <f t="shared" si="20"/>
        <v>61.81685776565692</v>
      </c>
    </row>
    <row r="1331" spans="1:7">
      <c r="A1331" s="54" t="s">
        <v>278</v>
      </c>
      <c r="B1331" s="353" t="s">
        <v>916</v>
      </c>
      <c r="C1331" s="6" t="s">
        <v>1508</v>
      </c>
      <c r="D1331" s="6" t="s">
        <v>1357</v>
      </c>
      <c r="E1331" s="372">
        <v>32736.959999999999</v>
      </c>
      <c r="F1331" s="400">
        <v>20236.96</v>
      </c>
      <c r="G1331" s="400">
        <f t="shared" si="20"/>
        <v>61.81685776565692</v>
      </c>
    </row>
    <row r="1332" spans="1:7" ht="38.25">
      <c r="A1332" s="54" t="s">
        <v>260</v>
      </c>
      <c r="B1332" s="353" t="s">
        <v>916</v>
      </c>
      <c r="C1332" s="6" t="s">
        <v>1508</v>
      </c>
      <c r="D1332" s="6" t="s">
        <v>418</v>
      </c>
      <c r="E1332" s="372">
        <v>32736.959999999999</v>
      </c>
      <c r="F1332" s="400">
        <v>20236.96</v>
      </c>
      <c r="G1332" s="400">
        <f t="shared" si="20"/>
        <v>61.81685776565692</v>
      </c>
    </row>
    <row r="1333" spans="1:7" ht="89.25">
      <c r="A1333" s="54" t="s">
        <v>629</v>
      </c>
      <c r="B1333" s="353" t="s">
        <v>917</v>
      </c>
      <c r="C1333" s="6" t="s">
        <v>1468</v>
      </c>
      <c r="D1333" s="6" t="s">
        <v>1468</v>
      </c>
      <c r="E1333" s="372">
        <v>860724.54</v>
      </c>
      <c r="F1333" s="402">
        <v>860724.54</v>
      </c>
      <c r="G1333" s="400">
        <f t="shared" si="20"/>
        <v>100</v>
      </c>
    </row>
    <row r="1334" spans="1:7" ht="63.75">
      <c r="A1334" s="54" t="s">
        <v>1754</v>
      </c>
      <c r="B1334" s="353" t="s">
        <v>917</v>
      </c>
      <c r="C1334" s="6" t="s">
        <v>322</v>
      </c>
      <c r="D1334" s="6" t="s">
        <v>1468</v>
      </c>
      <c r="E1334" s="372">
        <v>860724.54</v>
      </c>
      <c r="F1334" s="402">
        <v>860724.54</v>
      </c>
      <c r="G1334" s="400">
        <f t="shared" si="20"/>
        <v>100</v>
      </c>
    </row>
    <row r="1335" spans="1:7" ht="25.5">
      <c r="A1335" s="54" t="s">
        <v>1509</v>
      </c>
      <c r="B1335" s="353" t="s">
        <v>917</v>
      </c>
      <c r="C1335" s="6" t="s">
        <v>37</v>
      </c>
      <c r="D1335" s="6" t="s">
        <v>1468</v>
      </c>
      <c r="E1335" s="372">
        <v>860724.54</v>
      </c>
      <c r="F1335" s="402">
        <v>860724.54</v>
      </c>
      <c r="G1335" s="400">
        <f t="shared" si="20"/>
        <v>100</v>
      </c>
    </row>
    <row r="1336" spans="1:7">
      <c r="A1336" s="54" t="s">
        <v>278</v>
      </c>
      <c r="B1336" s="353" t="s">
        <v>917</v>
      </c>
      <c r="C1336" s="6" t="s">
        <v>37</v>
      </c>
      <c r="D1336" s="6" t="s">
        <v>1357</v>
      </c>
      <c r="E1336" s="372">
        <v>860724.54</v>
      </c>
      <c r="F1336" s="402">
        <v>860724.54</v>
      </c>
      <c r="G1336" s="400">
        <f t="shared" si="20"/>
        <v>100</v>
      </c>
    </row>
    <row r="1337" spans="1:7" ht="38.25">
      <c r="A1337" s="54" t="s">
        <v>260</v>
      </c>
      <c r="B1337" s="353" t="s">
        <v>917</v>
      </c>
      <c r="C1337" s="6" t="s">
        <v>37</v>
      </c>
      <c r="D1337" s="6" t="s">
        <v>418</v>
      </c>
      <c r="E1337" s="372">
        <v>860724.54</v>
      </c>
      <c r="F1337" s="402">
        <v>860724.54</v>
      </c>
      <c r="G1337" s="400">
        <f t="shared" si="20"/>
        <v>100</v>
      </c>
    </row>
    <row r="1338" spans="1:7" ht="89.25">
      <c r="A1338" s="54" t="s">
        <v>694</v>
      </c>
      <c r="B1338" s="353" t="s">
        <v>918</v>
      </c>
      <c r="C1338" s="6" t="s">
        <v>1468</v>
      </c>
      <c r="D1338" s="6" t="s">
        <v>1468</v>
      </c>
      <c r="E1338" s="372">
        <v>57127.63</v>
      </c>
      <c r="F1338" s="400">
        <v>34000</v>
      </c>
      <c r="G1338" s="400">
        <f t="shared" si="20"/>
        <v>59.515859488657242</v>
      </c>
    </row>
    <row r="1339" spans="1:7" ht="63.75">
      <c r="A1339" s="54" t="s">
        <v>1754</v>
      </c>
      <c r="B1339" s="353" t="s">
        <v>918</v>
      </c>
      <c r="C1339" s="6" t="s">
        <v>322</v>
      </c>
      <c r="D1339" s="6" t="s">
        <v>1468</v>
      </c>
      <c r="E1339" s="372">
        <v>57127.63</v>
      </c>
      <c r="F1339" s="400">
        <v>34000</v>
      </c>
      <c r="G1339" s="400">
        <f t="shared" si="20"/>
        <v>59.515859488657242</v>
      </c>
    </row>
    <row r="1340" spans="1:7" ht="25.5">
      <c r="A1340" s="54" t="s">
        <v>1509</v>
      </c>
      <c r="B1340" s="353" t="s">
        <v>918</v>
      </c>
      <c r="C1340" s="6" t="s">
        <v>37</v>
      </c>
      <c r="D1340" s="6" t="s">
        <v>1468</v>
      </c>
      <c r="E1340" s="372">
        <v>57127.63</v>
      </c>
      <c r="F1340" s="400">
        <v>34000</v>
      </c>
      <c r="G1340" s="400">
        <f t="shared" si="20"/>
        <v>59.515859488657242</v>
      </c>
    </row>
    <row r="1341" spans="1:7">
      <c r="A1341" s="54" t="s">
        <v>278</v>
      </c>
      <c r="B1341" s="353" t="s">
        <v>918</v>
      </c>
      <c r="C1341" s="6" t="s">
        <v>37</v>
      </c>
      <c r="D1341" s="6" t="s">
        <v>1357</v>
      </c>
      <c r="E1341" s="372">
        <v>57127.63</v>
      </c>
      <c r="F1341" s="400">
        <v>34000</v>
      </c>
      <c r="G1341" s="400">
        <f t="shared" si="20"/>
        <v>59.515859488657242</v>
      </c>
    </row>
    <row r="1342" spans="1:7" ht="38.25">
      <c r="A1342" s="54" t="s">
        <v>260</v>
      </c>
      <c r="B1342" s="353" t="s">
        <v>918</v>
      </c>
      <c r="C1342" s="6" t="s">
        <v>37</v>
      </c>
      <c r="D1342" s="6" t="s">
        <v>418</v>
      </c>
      <c r="E1342" s="372">
        <v>57127.63</v>
      </c>
      <c r="F1342" s="400">
        <v>34000</v>
      </c>
      <c r="G1342" s="400">
        <f t="shared" si="20"/>
        <v>59.515859488657242</v>
      </c>
    </row>
    <row r="1343" spans="1:7" ht="76.5">
      <c r="A1343" s="54" t="s">
        <v>1061</v>
      </c>
      <c r="B1343" s="353" t="s">
        <v>1060</v>
      </c>
      <c r="C1343" s="6" t="s">
        <v>1468</v>
      </c>
      <c r="D1343" s="6" t="s">
        <v>1468</v>
      </c>
      <c r="E1343" s="372">
        <v>1295183.53</v>
      </c>
      <c r="F1343" s="402">
        <v>1295183.53</v>
      </c>
      <c r="G1343" s="400">
        <f t="shared" si="20"/>
        <v>100</v>
      </c>
    </row>
    <row r="1344" spans="1:7" ht="63.75">
      <c r="A1344" s="54" t="s">
        <v>1754</v>
      </c>
      <c r="B1344" s="353" t="s">
        <v>1060</v>
      </c>
      <c r="C1344" s="6" t="s">
        <v>322</v>
      </c>
      <c r="D1344" s="6" t="s">
        <v>1468</v>
      </c>
      <c r="E1344" s="372">
        <v>1295183.53</v>
      </c>
      <c r="F1344" s="402">
        <v>1295183.53</v>
      </c>
      <c r="G1344" s="400">
        <f t="shared" si="20"/>
        <v>100</v>
      </c>
    </row>
    <row r="1345" spans="1:7" ht="25.5">
      <c r="A1345" s="54" t="s">
        <v>1509</v>
      </c>
      <c r="B1345" s="353" t="s">
        <v>1060</v>
      </c>
      <c r="C1345" s="6" t="s">
        <v>37</v>
      </c>
      <c r="D1345" s="6" t="s">
        <v>1468</v>
      </c>
      <c r="E1345" s="372">
        <v>1295183.53</v>
      </c>
      <c r="F1345" s="402">
        <v>1295183.53</v>
      </c>
      <c r="G1345" s="400">
        <f t="shared" si="20"/>
        <v>100</v>
      </c>
    </row>
    <row r="1346" spans="1:7">
      <c r="A1346" s="54" t="s">
        <v>278</v>
      </c>
      <c r="B1346" s="353" t="s">
        <v>1060</v>
      </c>
      <c r="C1346" s="6" t="s">
        <v>37</v>
      </c>
      <c r="D1346" s="6" t="s">
        <v>1357</v>
      </c>
      <c r="E1346" s="372">
        <v>1295183.53</v>
      </c>
      <c r="F1346" s="402">
        <v>1295183.53</v>
      </c>
      <c r="G1346" s="400">
        <f t="shared" si="20"/>
        <v>100</v>
      </c>
    </row>
    <row r="1347" spans="1:7" ht="38.25">
      <c r="A1347" s="54" t="s">
        <v>260</v>
      </c>
      <c r="B1347" s="353" t="s">
        <v>1060</v>
      </c>
      <c r="C1347" s="6" t="s">
        <v>37</v>
      </c>
      <c r="D1347" s="6" t="s">
        <v>418</v>
      </c>
      <c r="E1347" s="372">
        <v>1295183.53</v>
      </c>
      <c r="F1347" s="402">
        <v>1295183.53</v>
      </c>
      <c r="G1347" s="400">
        <f t="shared" si="20"/>
        <v>100</v>
      </c>
    </row>
    <row r="1348" spans="1:7" ht="63.75">
      <c r="A1348" s="54" t="s">
        <v>695</v>
      </c>
      <c r="B1348" s="353" t="s">
        <v>919</v>
      </c>
      <c r="C1348" s="6" t="s">
        <v>1468</v>
      </c>
      <c r="D1348" s="6" t="s">
        <v>1468</v>
      </c>
      <c r="E1348" s="372">
        <v>511751</v>
      </c>
      <c r="F1348" s="400">
        <v>410239.73</v>
      </c>
      <c r="G1348" s="400">
        <f t="shared" si="20"/>
        <v>80.163933240970692</v>
      </c>
    </row>
    <row r="1349" spans="1:7" ht="25.5">
      <c r="A1349" s="54" t="s">
        <v>1755</v>
      </c>
      <c r="B1349" s="353" t="s">
        <v>919</v>
      </c>
      <c r="C1349" s="6" t="s">
        <v>1756</v>
      </c>
      <c r="D1349" s="6" t="s">
        <v>1468</v>
      </c>
      <c r="E1349" s="372">
        <v>511751</v>
      </c>
      <c r="F1349" s="400">
        <v>410239.73</v>
      </c>
      <c r="G1349" s="400">
        <f t="shared" si="20"/>
        <v>80.163933240970692</v>
      </c>
    </row>
    <row r="1350" spans="1:7" ht="25.5">
      <c r="A1350" s="54" t="s">
        <v>1502</v>
      </c>
      <c r="B1350" s="353" t="s">
        <v>919</v>
      </c>
      <c r="C1350" s="6" t="s">
        <v>1503</v>
      </c>
      <c r="D1350" s="6" t="s">
        <v>1468</v>
      </c>
      <c r="E1350" s="372">
        <v>511751</v>
      </c>
      <c r="F1350" s="400">
        <v>410239.73</v>
      </c>
      <c r="G1350" s="400">
        <f t="shared" si="20"/>
        <v>80.163933240970692</v>
      </c>
    </row>
    <row r="1351" spans="1:7">
      <c r="A1351" s="54" t="s">
        <v>278</v>
      </c>
      <c r="B1351" s="353" t="s">
        <v>919</v>
      </c>
      <c r="C1351" s="6" t="s">
        <v>1503</v>
      </c>
      <c r="D1351" s="6" t="s">
        <v>1357</v>
      </c>
      <c r="E1351" s="372">
        <v>511751</v>
      </c>
      <c r="F1351" s="400">
        <v>410239.73</v>
      </c>
      <c r="G1351" s="400">
        <f t="shared" si="20"/>
        <v>80.163933240970692</v>
      </c>
    </row>
    <row r="1352" spans="1:7" ht="38.25">
      <c r="A1352" s="54" t="s">
        <v>260</v>
      </c>
      <c r="B1352" s="353" t="s">
        <v>919</v>
      </c>
      <c r="C1352" s="6" t="s">
        <v>1503</v>
      </c>
      <c r="D1352" s="6" t="s">
        <v>418</v>
      </c>
      <c r="E1352" s="372">
        <v>511751</v>
      </c>
      <c r="F1352" s="400">
        <v>410239.73</v>
      </c>
      <c r="G1352" s="400">
        <f t="shared" si="20"/>
        <v>80.163933240970692</v>
      </c>
    </row>
    <row r="1353" spans="1:7" ht="51">
      <c r="A1353" s="54" t="s">
        <v>2051</v>
      </c>
      <c r="B1353" s="353" t="s">
        <v>2052</v>
      </c>
      <c r="C1353" s="6" t="s">
        <v>1468</v>
      </c>
      <c r="D1353" s="6" t="s">
        <v>1468</v>
      </c>
      <c r="E1353" s="372">
        <v>180000</v>
      </c>
      <c r="F1353" s="400">
        <v>15000</v>
      </c>
      <c r="G1353" s="400">
        <f t="shared" ref="G1353:G1416" si="21">F1353/E1353*100</f>
        <v>8.3333333333333321</v>
      </c>
    </row>
    <row r="1354" spans="1:7" ht="25.5">
      <c r="A1354" s="54" t="s">
        <v>1755</v>
      </c>
      <c r="B1354" s="353" t="s">
        <v>2052</v>
      </c>
      <c r="C1354" s="6" t="s">
        <v>1756</v>
      </c>
      <c r="D1354" s="6" t="s">
        <v>1468</v>
      </c>
      <c r="E1354" s="372">
        <v>180000</v>
      </c>
      <c r="F1354" s="400">
        <v>15000</v>
      </c>
      <c r="G1354" s="400">
        <f t="shared" si="21"/>
        <v>8.3333333333333321</v>
      </c>
    </row>
    <row r="1355" spans="1:7" ht="25.5">
      <c r="A1355" s="54" t="s">
        <v>1502</v>
      </c>
      <c r="B1355" s="353" t="s">
        <v>2052</v>
      </c>
      <c r="C1355" s="6" t="s">
        <v>1503</v>
      </c>
      <c r="D1355" s="6" t="s">
        <v>1468</v>
      </c>
      <c r="E1355" s="372">
        <v>180000</v>
      </c>
      <c r="F1355" s="400">
        <v>15000</v>
      </c>
      <c r="G1355" s="400">
        <f t="shared" si="21"/>
        <v>8.3333333333333321</v>
      </c>
    </row>
    <row r="1356" spans="1:7">
      <c r="A1356" s="54" t="s">
        <v>278</v>
      </c>
      <c r="B1356" s="353" t="s">
        <v>2052</v>
      </c>
      <c r="C1356" s="6" t="s">
        <v>1503</v>
      </c>
      <c r="D1356" s="6" t="s">
        <v>1357</v>
      </c>
      <c r="E1356" s="372">
        <v>180000</v>
      </c>
      <c r="F1356" s="400">
        <v>15000</v>
      </c>
      <c r="G1356" s="400">
        <f t="shared" si="21"/>
        <v>8.3333333333333321</v>
      </c>
    </row>
    <row r="1357" spans="1:7" ht="38.25">
      <c r="A1357" s="54" t="s">
        <v>260</v>
      </c>
      <c r="B1357" s="353" t="s">
        <v>2052</v>
      </c>
      <c r="C1357" s="6" t="s">
        <v>1503</v>
      </c>
      <c r="D1357" s="6" t="s">
        <v>418</v>
      </c>
      <c r="E1357" s="372">
        <v>180000</v>
      </c>
      <c r="F1357" s="400">
        <v>15000</v>
      </c>
      <c r="G1357" s="400">
        <f t="shared" si="21"/>
        <v>8.3333333333333321</v>
      </c>
    </row>
    <row r="1358" spans="1:7" ht="51">
      <c r="A1358" s="54" t="s">
        <v>1103</v>
      </c>
      <c r="B1358" s="353" t="s">
        <v>1104</v>
      </c>
      <c r="C1358" s="6" t="s">
        <v>1468</v>
      </c>
      <c r="D1358" s="6" t="s">
        <v>1468</v>
      </c>
      <c r="E1358" s="372">
        <v>188258.41</v>
      </c>
      <c r="F1358" s="402">
        <v>188258.41</v>
      </c>
      <c r="G1358" s="400">
        <f t="shared" si="21"/>
        <v>100</v>
      </c>
    </row>
    <row r="1359" spans="1:7" ht="25.5">
      <c r="A1359" s="54" t="s">
        <v>1755</v>
      </c>
      <c r="B1359" s="353" t="s">
        <v>1104</v>
      </c>
      <c r="C1359" s="6" t="s">
        <v>1756</v>
      </c>
      <c r="D1359" s="6" t="s">
        <v>1468</v>
      </c>
      <c r="E1359" s="372">
        <v>188258.41</v>
      </c>
      <c r="F1359" s="402">
        <v>188258.41</v>
      </c>
      <c r="G1359" s="400">
        <f t="shared" si="21"/>
        <v>100</v>
      </c>
    </row>
    <row r="1360" spans="1:7" ht="25.5">
      <c r="A1360" s="54" t="s">
        <v>1502</v>
      </c>
      <c r="B1360" s="353" t="s">
        <v>1104</v>
      </c>
      <c r="C1360" s="6" t="s">
        <v>1503</v>
      </c>
      <c r="D1360" s="6" t="s">
        <v>1468</v>
      </c>
      <c r="E1360" s="372">
        <v>188258.41</v>
      </c>
      <c r="F1360" s="402">
        <v>188258.41</v>
      </c>
      <c r="G1360" s="400">
        <f t="shared" si="21"/>
        <v>100</v>
      </c>
    </row>
    <row r="1361" spans="1:7">
      <c r="A1361" s="54" t="s">
        <v>278</v>
      </c>
      <c r="B1361" s="353" t="s">
        <v>1104</v>
      </c>
      <c r="C1361" s="6" t="s">
        <v>1503</v>
      </c>
      <c r="D1361" s="6" t="s">
        <v>1357</v>
      </c>
      <c r="E1361" s="372">
        <v>188258.41</v>
      </c>
      <c r="F1361" s="402">
        <v>188258.41</v>
      </c>
      <c r="G1361" s="400">
        <f t="shared" si="21"/>
        <v>100</v>
      </c>
    </row>
    <row r="1362" spans="1:7" ht="38.25">
      <c r="A1362" s="54" t="s">
        <v>260</v>
      </c>
      <c r="B1362" s="353" t="s">
        <v>1104</v>
      </c>
      <c r="C1362" s="6" t="s">
        <v>1503</v>
      </c>
      <c r="D1362" s="6" t="s">
        <v>418</v>
      </c>
      <c r="E1362" s="372">
        <v>188258.41</v>
      </c>
      <c r="F1362" s="402">
        <v>188258.41</v>
      </c>
      <c r="G1362" s="400">
        <f t="shared" si="21"/>
        <v>100</v>
      </c>
    </row>
    <row r="1363" spans="1:7" ht="76.5">
      <c r="A1363" s="54" t="s">
        <v>630</v>
      </c>
      <c r="B1363" s="353" t="s">
        <v>920</v>
      </c>
      <c r="C1363" s="6" t="s">
        <v>1468</v>
      </c>
      <c r="D1363" s="6" t="s">
        <v>1468</v>
      </c>
      <c r="E1363" s="372">
        <v>484940</v>
      </c>
      <c r="F1363" s="402">
        <v>484940</v>
      </c>
      <c r="G1363" s="400">
        <f t="shared" si="21"/>
        <v>100</v>
      </c>
    </row>
    <row r="1364" spans="1:7" ht="63.75">
      <c r="A1364" s="54" t="s">
        <v>1754</v>
      </c>
      <c r="B1364" s="353" t="s">
        <v>920</v>
      </c>
      <c r="C1364" s="6" t="s">
        <v>322</v>
      </c>
      <c r="D1364" s="6" t="s">
        <v>1468</v>
      </c>
      <c r="E1364" s="372">
        <v>484940</v>
      </c>
      <c r="F1364" s="402">
        <v>484940</v>
      </c>
      <c r="G1364" s="400">
        <f t="shared" si="21"/>
        <v>100</v>
      </c>
    </row>
    <row r="1365" spans="1:7" ht="25.5">
      <c r="A1365" s="54" t="s">
        <v>1509</v>
      </c>
      <c r="B1365" s="353" t="s">
        <v>920</v>
      </c>
      <c r="C1365" s="6" t="s">
        <v>37</v>
      </c>
      <c r="D1365" s="6" t="s">
        <v>1468</v>
      </c>
      <c r="E1365" s="372">
        <v>484940</v>
      </c>
      <c r="F1365" s="402">
        <v>484940</v>
      </c>
      <c r="G1365" s="400">
        <f t="shared" si="21"/>
        <v>100</v>
      </c>
    </row>
    <row r="1366" spans="1:7">
      <c r="A1366" s="54" t="s">
        <v>278</v>
      </c>
      <c r="B1366" s="353" t="s">
        <v>920</v>
      </c>
      <c r="C1366" s="6" t="s">
        <v>37</v>
      </c>
      <c r="D1366" s="6" t="s">
        <v>1357</v>
      </c>
      <c r="E1366" s="372">
        <v>484940</v>
      </c>
      <c r="F1366" s="402">
        <v>484940</v>
      </c>
      <c r="G1366" s="400">
        <f t="shared" si="21"/>
        <v>100</v>
      </c>
    </row>
    <row r="1367" spans="1:7" ht="38.25">
      <c r="A1367" s="54" t="s">
        <v>260</v>
      </c>
      <c r="B1367" s="353" t="s">
        <v>920</v>
      </c>
      <c r="C1367" s="6" t="s">
        <v>37</v>
      </c>
      <c r="D1367" s="6" t="s">
        <v>418</v>
      </c>
      <c r="E1367" s="372">
        <v>484940</v>
      </c>
      <c r="F1367" s="402">
        <v>484940</v>
      </c>
      <c r="G1367" s="400">
        <f t="shared" si="21"/>
        <v>100</v>
      </c>
    </row>
    <row r="1368" spans="1:7" ht="102">
      <c r="A1368" s="54" t="s">
        <v>1831</v>
      </c>
      <c r="B1368" s="353" t="s">
        <v>1786</v>
      </c>
      <c r="C1368" s="6" t="s">
        <v>1468</v>
      </c>
      <c r="D1368" s="6" t="s">
        <v>1468</v>
      </c>
      <c r="E1368" s="372">
        <v>15000</v>
      </c>
      <c r="F1368" s="402">
        <v>15000</v>
      </c>
      <c r="G1368" s="400">
        <f t="shared" si="21"/>
        <v>100</v>
      </c>
    </row>
    <row r="1369" spans="1:7" ht="25.5">
      <c r="A1369" s="54" t="s">
        <v>1755</v>
      </c>
      <c r="B1369" s="353" t="s">
        <v>1786</v>
      </c>
      <c r="C1369" s="6" t="s">
        <v>1756</v>
      </c>
      <c r="D1369" s="6" t="s">
        <v>1468</v>
      </c>
      <c r="E1369" s="372">
        <v>15000</v>
      </c>
      <c r="F1369" s="402">
        <v>15000</v>
      </c>
      <c r="G1369" s="400">
        <f t="shared" si="21"/>
        <v>100</v>
      </c>
    </row>
    <row r="1370" spans="1:7" ht="25.5">
      <c r="A1370" s="54" t="s">
        <v>1502</v>
      </c>
      <c r="B1370" s="353" t="s">
        <v>1786</v>
      </c>
      <c r="C1370" s="6" t="s">
        <v>1503</v>
      </c>
      <c r="D1370" s="6" t="s">
        <v>1468</v>
      </c>
      <c r="E1370" s="372">
        <v>15000</v>
      </c>
      <c r="F1370" s="402">
        <v>15000</v>
      </c>
      <c r="G1370" s="400">
        <f t="shared" si="21"/>
        <v>100</v>
      </c>
    </row>
    <row r="1371" spans="1:7">
      <c r="A1371" s="54" t="s">
        <v>278</v>
      </c>
      <c r="B1371" s="353" t="s">
        <v>1786</v>
      </c>
      <c r="C1371" s="6" t="s">
        <v>1503</v>
      </c>
      <c r="D1371" s="6" t="s">
        <v>1357</v>
      </c>
      <c r="E1371" s="372">
        <v>15000</v>
      </c>
      <c r="F1371" s="402">
        <v>15000</v>
      </c>
      <c r="G1371" s="400">
        <f t="shared" si="21"/>
        <v>100</v>
      </c>
    </row>
    <row r="1372" spans="1:7" ht="38.25">
      <c r="A1372" s="54" t="s">
        <v>260</v>
      </c>
      <c r="B1372" s="353" t="s">
        <v>1786</v>
      </c>
      <c r="C1372" s="6" t="s">
        <v>1503</v>
      </c>
      <c r="D1372" s="6" t="s">
        <v>418</v>
      </c>
      <c r="E1372" s="372">
        <v>15000</v>
      </c>
      <c r="F1372" s="402">
        <v>15000</v>
      </c>
      <c r="G1372" s="400">
        <f t="shared" si="21"/>
        <v>100</v>
      </c>
    </row>
    <row r="1373" spans="1:7" ht="25.5">
      <c r="A1373" s="54" t="s">
        <v>586</v>
      </c>
      <c r="B1373" s="353" t="s">
        <v>1142</v>
      </c>
      <c r="C1373" s="6" t="s">
        <v>1468</v>
      </c>
      <c r="D1373" s="6" t="s">
        <v>1468</v>
      </c>
      <c r="E1373" s="372">
        <v>1971641</v>
      </c>
      <c r="F1373" s="400">
        <v>1881499.08</v>
      </c>
      <c r="G1373" s="400">
        <f t="shared" si="21"/>
        <v>95.428076409447769</v>
      </c>
    </row>
    <row r="1374" spans="1:7" ht="25.5">
      <c r="A1374" s="54" t="s">
        <v>587</v>
      </c>
      <c r="B1374" s="353" t="s">
        <v>1143</v>
      </c>
      <c r="C1374" s="6" t="s">
        <v>1468</v>
      </c>
      <c r="D1374" s="6" t="s">
        <v>1468</v>
      </c>
      <c r="E1374" s="372">
        <v>9600</v>
      </c>
      <c r="F1374" s="402">
        <v>9600</v>
      </c>
      <c r="G1374" s="400">
        <f t="shared" si="21"/>
        <v>100</v>
      </c>
    </row>
    <row r="1375" spans="1:7" ht="89.25">
      <c r="A1375" s="54" t="s">
        <v>1738</v>
      </c>
      <c r="B1375" s="353" t="s">
        <v>1739</v>
      </c>
      <c r="C1375" s="6" t="s">
        <v>1468</v>
      </c>
      <c r="D1375" s="6" t="s">
        <v>1468</v>
      </c>
      <c r="E1375" s="372">
        <v>9600</v>
      </c>
      <c r="F1375" s="402">
        <v>9600</v>
      </c>
      <c r="G1375" s="400">
        <f t="shared" si="21"/>
        <v>100</v>
      </c>
    </row>
    <row r="1376" spans="1:7">
      <c r="A1376" s="54" t="s">
        <v>1757</v>
      </c>
      <c r="B1376" s="353" t="s">
        <v>1739</v>
      </c>
      <c r="C1376" s="6" t="s">
        <v>1758</v>
      </c>
      <c r="D1376" s="6" t="s">
        <v>1468</v>
      </c>
      <c r="E1376" s="372">
        <v>9600</v>
      </c>
      <c r="F1376" s="402">
        <v>9600</v>
      </c>
      <c r="G1376" s="400">
        <f t="shared" si="21"/>
        <v>100</v>
      </c>
    </row>
    <row r="1377" spans="1:7" ht="51">
      <c r="A1377" s="54" t="s">
        <v>1512</v>
      </c>
      <c r="B1377" s="353" t="s">
        <v>1739</v>
      </c>
      <c r="C1377" s="6" t="s">
        <v>442</v>
      </c>
      <c r="D1377" s="6" t="s">
        <v>1468</v>
      </c>
      <c r="E1377" s="372">
        <v>9600</v>
      </c>
      <c r="F1377" s="402">
        <v>9600</v>
      </c>
      <c r="G1377" s="400">
        <f t="shared" si="21"/>
        <v>100</v>
      </c>
    </row>
    <row r="1378" spans="1:7">
      <c r="A1378" s="54" t="s">
        <v>218</v>
      </c>
      <c r="B1378" s="353" t="s">
        <v>1739</v>
      </c>
      <c r="C1378" s="6" t="s">
        <v>442</v>
      </c>
      <c r="D1378" s="6" t="s">
        <v>1362</v>
      </c>
      <c r="E1378" s="372">
        <v>9600</v>
      </c>
      <c r="F1378" s="402">
        <v>9600</v>
      </c>
      <c r="G1378" s="400">
        <f t="shared" si="21"/>
        <v>100</v>
      </c>
    </row>
    <row r="1379" spans="1:7">
      <c r="A1379" s="54" t="s">
        <v>219</v>
      </c>
      <c r="B1379" s="353" t="s">
        <v>1739</v>
      </c>
      <c r="C1379" s="6" t="s">
        <v>442</v>
      </c>
      <c r="D1379" s="6" t="s">
        <v>440</v>
      </c>
      <c r="E1379" s="372">
        <v>9600</v>
      </c>
      <c r="F1379" s="402">
        <v>9600</v>
      </c>
      <c r="G1379" s="400">
        <f t="shared" si="21"/>
        <v>100</v>
      </c>
    </row>
    <row r="1380" spans="1:7" ht="25.5">
      <c r="A1380" s="54" t="s">
        <v>588</v>
      </c>
      <c r="B1380" s="353" t="s">
        <v>1144</v>
      </c>
      <c r="C1380" s="6" t="s">
        <v>1468</v>
      </c>
      <c r="D1380" s="6" t="s">
        <v>1468</v>
      </c>
      <c r="E1380" s="372">
        <v>564181</v>
      </c>
      <c r="F1380" s="402">
        <v>564181</v>
      </c>
      <c r="G1380" s="400">
        <f t="shared" si="21"/>
        <v>100</v>
      </c>
    </row>
    <row r="1381" spans="1:7" ht="89.25">
      <c r="A1381" s="54" t="s">
        <v>450</v>
      </c>
      <c r="B1381" s="353" t="s">
        <v>804</v>
      </c>
      <c r="C1381" s="6" t="s">
        <v>1468</v>
      </c>
      <c r="D1381" s="6" t="s">
        <v>1468</v>
      </c>
      <c r="E1381" s="372">
        <v>500700</v>
      </c>
      <c r="F1381" s="402">
        <v>500700</v>
      </c>
      <c r="G1381" s="400">
        <f t="shared" si="21"/>
        <v>100</v>
      </c>
    </row>
    <row r="1382" spans="1:7" ht="25.5">
      <c r="A1382" s="54" t="s">
        <v>1755</v>
      </c>
      <c r="B1382" s="353" t="s">
        <v>804</v>
      </c>
      <c r="C1382" s="6" t="s">
        <v>1756</v>
      </c>
      <c r="D1382" s="6" t="s">
        <v>1468</v>
      </c>
      <c r="E1382" s="372">
        <v>500700</v>
      </c>
      <c r="F1382" s="402">
        <v>500700</v>
      </c>
      <c r="G1382" s="400">
        <f t="shared" si="21"/>
        <v>100</v>
      </c>
    </row>
    <row r="1383" spans="1:7" ht="25.5">
      <c r="A1383" s="54" t="s">
        <v>1502</v>
      </c>
      <c r="B1383" s="353" t="s">
        <v>804</v>
      </c>
      <c r="C1383" s="6" t="s">
        <v>1503</v>
      </c>
      <c r="D1383" s="6" t="s">
        <v>1468</v>
      </c>
      <c r="E1383" s="372">
        <v>500700</v>
      </c>
      <c r="F1383" s="402">
        <v>500700</v>
      </c>
      <c r="G1383" s="400">
        <f t="shared" si="21"/>
        <v>100</v>
      </c>
    </row>
    <row r="1384" spans="1:7">
      <c r="A1384" s="54" t="s">
        <v>218</v>
      </c>
      <c r="B1384" s="353" t="s">
        <v>804</v>
      </c>
      <c r="C1384" s="6" t="s">
        <v>1503</v>
      </c>
      <c r="D1384" s="6" t="s">
        <v>1362</v>
      </c>
      <c r="E1384" s="372">
        <v>500700</v>
      </c>
      <c r="F1384" s="402">
        <v>500700</v>
      </c>
      <c r="G1384" s="400">
        <f t="shared" si="21"/>
        <v>100</v>
      </c>
    </row>
    <row r="1385" spans="1:7">
      <c r="A1385" s="54" t="s">
        <v>179</v>
      </c>
      <c r="B1385" s="353" t="s">
        <v>804</v>
      </c>
      <c r="C1385" s="6" t="s">
        <v>1503</v>
      </c>
      <c r="D1385" s="6" t="s">
        <v>448</v>
      </c>
      <c r="E1385" s="372">
        <v>500700</v>
      </c>
      <c r="F1385" s="402">
        <v>500700</v>
      </c>
      <c r="G1385" s="400">
        <f t="shared" si="21"/>
        <v>100</v>
      </c>
    </row>
    <row r="1386" spans="1:7" ht="63.75">
      <c r="A1386" s="54" t="s">
        <v>1469</v>
      </c>
      <c r="B1386" s="353" t="s">
        <v>1470</v>
      </c>
      <c r="C1386" s="6" t="s">
        <v>1468</v>
      </c>
      <c r="D1386" s="6" t="s">
        <v>1468</v>
      </c>
      <c r="E1386" s="372">
        <v>63481</v>
      </c>
      <c r="F1386" s="402">
        <v>63481</v>
      </c>
      <c r="G1386" s="400">
        <f t="shared" si="21"/>
        <v>100</v>
      </c>
    </row>
    <row r="1387" spans="1:7" ht="25.5">
      <c r="A1387" s="54" t="s">
        <v>1755</v>
      </c>
      <c r="B1387" s="353" t="s">
        <v>1470</v>
      </c>
      <c r="C1387" s="6" t="s">
        <v>1756</v>
      </c>
      <c r="D1387" s="6" t="s">
        <v>1468</v>
      </c>
      <c r="E1387" s="372">
        <v>63481</v>
      </c>
      <c r="F1387" s="402">
        <v>63481</v>
      </c>
      <c r="G1387" s="400">
        <f t="shared" si="21"/>
        <v>100</v>
      </c>
    </row>
    <row r="1388" spans="1:7" ht="25.5">
      <c r="A1388" s="54" t="s">
        <v>1502</v>
      </c>
      <c r="B1388" s="353" t="s">
        <v>1470</v>
      </c>
      <c r="C1388" s="6" t="s">
        <v>1503</v>
      </c>
      <c r="D1388" s="6" t="s">
        <v>1468</v>
      </c>
      <c r="E1388" s="372">
        <v>63481</v>
      </c>
      <c r="F1388" s="402">
        <v>63481</v>
      </c>
      <c r="G1388" s="400">
        <f t="shared" si="21"/>
        <v>100</v>
      </c>
    </row>
    <row r="1389" spans="1:7">
      <c r="A1389" s="54" t="s">
        <v>218</v>
      </c>
      <c r="B1389" s="353" t="s">
        <v>1470</v>
      </c>
      <c r="C1389" s="6" t="s">
        <v>1503</v>
      </c>
      <c r="D1389" s="6" t="s">
        <v>1362</v>
      </c>
      <c r="E1389" s="372">
        <v>63481</v>
      </c>
      <c r="F1389" s="402">
        <v>63481</v>
      </c>
      <c r="G1389" s="400">
        <f t="shared" si="21"/>
        <v>100</v>
      </c>
    </row>
    <row r="1390" spans="1:7">
      <c r="A1390" s="54" t="s">
        <v>179</v>
      </c>
      <c r="B1390" s="353" t="s">
        <v>1470</v>
      </c>
      <c r="C1390" s="6" t="s">
        <v>1503</v>
      </c>
      <c r="D1390" s="6" t="s">
        <v>448</v>
      </c>
      <c r="E1390" s="372">
        <v>63481</v>
      </c>
      <c r="F1390" s="402">
        <v>63481</v>
      </c>
      <c r="G1390" s="400">
        <f t="shared" si="21"/>
        <v>100</v>
      </c>
    </row>
    <row r="1391" spans="1:7" ht="25.5">
      <c r="A1391" s="54" t="s">
        <v>540</v>
      </c>
      <c r="B1391" s="353" t="s">
        <v>1145</v>
      </c>
      <c r="C1391" s="6" t="s">
        <v>1468</v>
      </c>
      <c r="D1391" s="6" t="s">
        <v>1468</v>
      </c>
      <c r="E1391" s="372">
        <v>1397860</v>
      </c>
      <c r="F1391" s="400">
        <v>1307718.08</v>
      </c>
      <c r="G1391" s="400">
        <f t="shared" si="21"/>
        <v>93.55143433534117</v>
      </c>
    </row>
    <row r="1392" spans="1:7" ht="89.25">
      <c r="A1392" s="54" t="s">
        <v>443</v>
      </c>
      <c r="B1392" s="353" t="s">
        <v>797</v>
      </c>
      <c r="C1392" s="6" t="s">
        <v>1468</v>
      </c>
      <c r="D1392" s="6" t="s">
        <v>1468</v>
      </c>
      <c r="E1392" s="372">
        <v>1397860</v>
      </c>
      <c r="F1392" s="400">
        <v>1307718.08</v>
      </c>
      <c r="G1392" s="400">
        <f t="shared" si="21"/>
        <v>93.55143433534117</v>
      </c>
    </row>
    <row r="1393" spans="1:7" ht="63.75">
      <c r="A1393" s="54" t="s">
        <v>1754</v>
      </c>
      <c r="B1393" s="353" t="s">
        <v>797</v>
      </c>
      <c r="C1393" s="6" t="s">
        <v>322</v>
      </c>
      <c r="D1393" s="6" t="s">
        <v>1468</v>
      </c>
      <c r="E1393" s="372">
        <v>1295060</v>
      </c>
      <c r="F1393" s="400">
        <v>1212935.71</v>
      </c>
      <c r="G1393" s="400">
        <f t="shared" si="21"/>
        <v>93.658649792287619</v>
      </c>
    </row>
    <row r="1394" spans="1:7" ht="25.5">
      <c r="A1394" s="54" t="s">
        <v>1509</v>
      </c>
      <c r="B1394" s="353" t="s">
        <v>797</v>
      </c>
      <c r="C1394" s="6" t="s">
        <v>37</v>
      </c>
      <c r="D1394" s="6" t="s">
        <v>1468</v>
      </c>
      <c r="E1394" s="372">
        <v>1295060</v>
      </c>
      <c r="F1394" s="400">
        <v>1212935.71</v>
      </c>
      <c r="G1394" s="400">
        <f t="shared" si="21"/>
        <v>93.658649792287619</v>
      </c>
    </row>
    <row r="1395" spans="1:7">
      <c r="A1395" s="54" t="s">
        <v>218</v>
      </c>
      <c r="B1395" s="353" t="s">
        <v>797</v>
      </c>
      <c r="C1395" s="6" t="s">
        <v>37</v>
      </c>
      <c r="D1395" s="6" t="s">
        <v>1362</v>
      </c>
      <c r="E1395" s="372">
        <v>1295060</v>
      </c>
      <c r="F1395" s="400">
        <v>1212935.71</v>
      </c>
      <c r="G1395" s="400">
        <f t="shared" si="21"/>
        <v>93.658649792287619</v>
      </c>
    </row>
    <row r="1396" spans="1:7">
      <c r="A1396" s="54" t="s">
        <v>219</v>
      </c>
      <c r="B1396" s="353" t="s">
        <v>797</v>
      </c>
      <c r="C1396" s="6" t="s">
        <v>37</v>
      </c>
      <c r="D1396" s="6" t="s">
        <v>440</v>
      </c>
      <c r="E1396" s="372">
        <v>1295060</v>
      </c>
      <c r="F1396" s="400">
        <v>1212935.71</v>
      </c>
      <c r="G1396" s="400">
        <f t="shared" si="21"/>
        <v>93.658649792287619</v>
      </c>
    </row>
    <row r="1397" spans="1:7" ht="25.5">
      <c r="A1397" s="54" t="s">
        <v>1755</v>
      </c>
      <c r="B1397" s="353" t="s">
        <v>797</v>
      </c>
      <c r="C1397" s="6" t="s">
        <v>1756</v>
      </c>
      <c r="D1397" s="6" t="s">
        <v>1468</v>
      </c>
      <c r="E1397" s="372">
        <v>102800</v>
      </c>
      <c r="F1397" s="400">
        <v>94782.37</v>
      </c>
      <c r="G1397" s="400">
        <f t="shared" si="21"/>
        <v>92.20074902723735</v>
      </c>
    </row>
    <row r="1398" spans="1:7" ht="25.5">
      <c r="A1398" s="54" t="s">
        <v>1502</v>
      </c>
      <c r="B1398" s="353" t="s">
        <v>797</v>
      </c>
      <c r="C1398" s="6" t="s">
        <v>1503</v>
      </c>
      <c r="D1398" s="6" t="s">
        <v>1468</v>
      </c>
      <c r="E1398" s="372">
        <v>102800</v>
      </c>
      <c r="F1398" s="400">
        <v>94782.37</v>
      </c>
      <c r="G1398" s="400">
        <f t="shared" si="21"/>
        <v>92.20074902723735</v>
      </c>
    </row>
    <row r="1399" spans="1:7">
      <c r="A1399" s="54" t="s">
        <v>218</v>
      </c>
      <c r="B1399" s="353" t="s">
        <v>797</v>
      </c>
      <c r="C1399" s="6" t="s">
        <v>1503</v>
      </c>
      <c r="D1399" s="6" t="s">
        <v>1362</v>
      </c>
      <c r="E1399" s="372">
        <v>102800</v>
      </c>
      <c r="F1399" s="400">
        <v>94782.37</v>
      </c>
      <c r="G1399" s="400">
        <f t="shared" si="21"/>
        <v>92.20074902723735</v>
      </c>
    </row>
    <row r="1400" spans="1:7">
      <c r="A1400" s="54" t="s">
        <v>219</v>
      </c>
      <c r="B1400" s="353" t="s">
        <v>797</v>
      </c>
      <c r="C1400" s="6" t="s">
        <v>1503</v>
      </c>
      <c r="D1400" s="6" t="s">
        <v>440</v>
      </c>
      <c r="E1400" s="372">
        <v>102800</v>
      </c>
      <c r="F1400" s="400">
        <v>94782.37</v>
      </c>
      <c r="G1400" s="400">
        <f t="shared" si="21"/>
        <v>92.20074902723735</v>
      </c>
    </row>
    <row r="1401" spans="1:7" ht="25.5">
      <c r="A1401" s="54" t="s">
        <v>708</v>
      </c>
      <c r="B1401" s="353" t="s">
        <v>1146</v>
      </c>
      <c r="C1401" s="6" t="s">
        <v>1468</v>
      </c>
      <c r="D1401" s="6" t="s">
        <v>1468</v>
      </c>
      <c r="E1401" s="372">
        <v>63883896.43</v>
      </c>
      <c r="F1401" s="400">
        <v>58668193.149999999</v>
      </c>
      <c r="G1401" s="400">
        <f t="shared" si="21"/>
        <v>91.835652533005657</v>
      </c>
    </row>
    <row r="1402" spans="1:7" ht="38.25">
      <c r="A1402" s="54" t="s">
        <v>709</v>
      </c>
      <c r="B1402" s="353" t="s">
        <v>1148</v>
      </c>
      <c r="C1402" s="6" t="s">
        <v>1468</v>
      </c>
      <c r="D1402" s="6" t="s">
        <v>1468</v>
      </c>
      <c r="E1402" s="372">
        <v>61042943.299999997</v>
      </c>
      <c r="F1402" s="400">
        <v>56277921.57</v>
      </c>
      <c r="G1402" s="400">
        <f t="shared" si="21"/>
        <v>92.19398431267976</v>
      </c>
    </row>
    <row r="1403" spans="1:7" ht="63.75">
      <c r="A1403" s="54" t="s">
        <v>2038</v>
      </c>
      <c r="B1403" s="353" t="s">
        <v>2039</v>
      </c>
      <c r="C1403" s="6" t="s">
        <v>1468</v>
      </c>
      <c r="D1403" s="6" t="s">
        <v>1468</v>
      </c>
      <c r="E1403" s="372">
        <v>118560</v>
      </c>
      <c r="F1403" s="400">
        <v>117308.38</v>
      </c>
      <c r="G1403" s="400">
        <f t="shared" si="21"/>
        <v>98.944315114709852</v>
      </c>
    </row>
    <row r="1404" spans="1:7" s="124" customFormat="1" ht="63.75">
      <c r="A1404" s="9" t="s">
        <v>1754</v>
      </c>
      <c r="B1404" s="405" t="s">
        <v>2039</v>
      </c>
      <c r="C1404" s="8" t="s">
        <v>322</v>
      </c>
      <c r="D1404" s="8" t="s">
        <v>1468</v>
      </c>
      <c r="E1404" s="370">
        <v>95050</v>
      </c>
      <c r="F1404" s="401">
        <v>95008.38</v>
      </c>
      <c r="G1404" s="404">
        <f t="shared" si="21"/>
        <v>99.956212519726463</v>
      </c>
    </row>
    <row r="1405" spans="1:7" ht="25.5">
      <c r="A1405" s="54" t="s">
        <v>1509</v>
      </c>
      <c r="B1405" s="353" t="s">
        <v>2039</v>
      </c>
      <c r="C1405" s="6" t="s">
        <v>37</v>
      </c>
      <c r="D1405" s="6" t="s">
        <v>1468</v>
      </c>
      <c r="E1405" s="372">
        <v>95050</v>
      </c>
      <c r="F1405" s="402">
        <v>95008.38</v>
      </c>
      <c r="G1405" s="400">
        <f t="shared" si="21"/>
        <v>99.956212519726463</v>
      </c>
    </row>
    <row r="1406" spans="1:7">
      <c r="A1406" s="54" t="s">
        <v>174</v>
      </c>
      <c r="B1406" s="353" t="s">
        <v>2039</v>
      </c>
      <c r="C1406" s="6" t="s">
        <v>37</v>
      </c>
      <c r="D1406" s="6" t="s">
        <v>1365</v>
      </c>
      <c r="E1406" s="372">
        <v>95050</v>
      </c>
      <c r="F1406" s="402">
        <v>95008.38</v>
      </c>
      <c r="G1406" s="400">
        <f t="shared" si="21"/>
        <v>99.956212519726463</v>
      </c>
    </row>
    <row r="1407" spans="1:7">
      <c r="A1407" s="54" t="s">
        <v>82</v>
      </c>
      <c r="B1407" s="353" t="s">
        <v>2039</v>
      </c>
      <c r="C1407" s="6" t="s">
        <v>37</v>
      </c>
      <c r="D1407" s="6" t="s">
        <v>483</v>
      </c>
      <c r="E1407" s="372">
        <v>95050</v>
      </c>
      <c r="F1407" s="402">
        <v>95008.38</v>
      </c>
      <c r="G1407" s="400">
        <f t="shared" si="21"/>
        <v>99.956212519726463</v>
      </c>
    </row>
    <row r="1408" spans="1:7" ht="25.5">
      <c r="A1408" s="54" t="s">
        <v>1755</v>
      </c>
      <c r="B1408" s="353" t="s">
        <v>2039</v>
      </c>
      <c r="C1408" s="6" t="s">
        <v>1756</v>
      </c>
      <c r="D1408" s="6" t="s">
        <v>1468</v>
      </c>
      <c r="E1408" s="372">
        <v>23510</v>
      </c>
      <c r="F1408" s="400">
        <v>22300</v>
      </c>
      <c r="G1408" s="400">
        <f t="shared" si="21"/>
        <v>94.853253934495967</v>
      </c>
    </row>
    <row r="1409" spans="1:7" ht="25.5">
      <c r="A1409" s="54" t="s">
        <v>1502</v>
      </c>
      <c r="B1409" s="353" t="s">
        <v>2039</v>
      </c>
      <c r="C1409" s="6" t="s">
        <v>1503</v>
      </c>
      <c r="D1409" s="6" t="s">
        <v>1468</v>
      </c>
      <c r="E1409" s="372">
        <v>23510</v>
      </c>
      <c r="F1409" s="400">
        <v>22300</v>
      </c>
      <c r="G1409" s="400">
        <f t="shared" si="21"/>
        <v>94.853253934495967</v>
      </c>
    </row>
    <row r="1410" spans="1:7">
      <c r="A1410" s="54" t="s">
        <v>174</v>
      </c>
      <c r="B1410" s="353" t="s">
        <v>2039</v>
      </c>
      <c r="C1410" s="6" t="s">
        <v>1503</v>
      </c>
      <c r="D1410" s="6" t="s">
        <v>1365</v>
      </c>
      <c r="E1410" s="372">
        <v>23510</v>
      </c>
      <c r="F1410" s="400">
        <v>22300</v>
      </c>
      <c r="G1410" s="400">
        <f t="shared" si="21"/>
        <v>94.853253934495967</v>
      </c>
    </row>
    <row r="1411" spans="1:7">
      <c r="A1411" s="54" t="s">
        <v>82</v>
      </c>
      <c r="B1411" s="353" t="s">
        <v>2039</v>
      </c>
      <c r="C1411" s="6" t="s">
        <v>1503</v>
      </c>
      <c r="D1411" s="6" t="s">
        <v>483</v>
      </c>
      <c r="E1411" s="372">
        <v>23510</v>
      </c>
      <c r="F1411" s="400">
        <v>22300</v>
      </c>
      <c r="G1411" s="400">
        <f t="shared" si="21"/>
        <v>94.853253934495967</v>
      </c>
    </row>
    <row r="1412" spans="1:7" ht="63.75">
      <c r="A1412" s="54" t="s">
        <v>1903</v>
      </c>
      <c r="B1412" s="353" t="s">
        <v>1958</v>
      </c>
      <c r="C1412" s="6" t="s">
        <v>1468</v>
      </c>
      <c r="D1412" s="6" t="s">
        <v>1468</v>
      </c>
      <c r="E1412" s="372">
        <v>1249400</v>
      </c>
      <c r="F1412" s="402">
        <v>1249400</v>
      </c>
      <c r="G1412" s="400">
        <f t="shared" si="21"/>
        <v>100</v>
      </c>
    </row>
    <row r="1413" spans="1:7" ht="63.75">
      <c r="A1413" s="54" t="s">
        <v>1754</v>
      </c>
      <c r="B1413" s="353" t="s">
        <v>1958</v>
      </c>
      <c r="C1413" s="6" t="s">
        <v>322</v>
      </c>
      <c r="D1413" s="6" t="s">
        <v>1468</v>
      </c>
      <c r="E1413" s="372">
        <v>1249400</v>
      </c>
      <c r="F1413" s="402">
        <v>1249400</v>
      </c>
      <c r="G1413" s="400">
        <f t="shared" si="21"/>
        <v>100</v>
      </c>
    </row>
    <row r="1414" spans="1:7" ht="25.5">
      <c r="A1414" s="54" t="s">
        <v>1509</v>
      </c>
      <c r="B1414" s="353" t="s">
        <v>1958</v>
      </c>
      <c r="C1414" s="6" t="s">
        <v>37</v>
      </c>
      <c r="D1414" s="6" t="s">
        <v>1468</v>
      </c>
      <c r="E1414" s="372">
        <v>1249400</v>
      </c>
      <c r="F1414" s="402">
        <v>1249400</v>
      </c>
      <c r="G1414" s="400">
        <f t="shared" si="21"/>
        <v>100</v>
      </c>
    </row>
    <row r="1415" spans="1:7">
      <c r="A1415" s="54" t="s">
        <v>278</v>
      </c>
      <c r="B1415" s="353" t="s">
        <v>1958</v>
      </c>
      <c r="C1415" s="6" t="s">
        <v>37</v>
      </c>
      <c r="D1415" s="6" t="s">
        <v>1357</v>
      </c>
      <c r="E1415" s="372">
        <v>1249400</v>
      </c>
      <c r="F1415" s="402">
        <v>1249400</v>
      </c>
      <c r="G1415" s="400">
        <f t="shared" si="21"/>
        <v>100</v>
      </c>
    </row>
    <row r="1416" spans="1:7" ht="51">
      <c r="A1416" s="54" t="s">
        <v>280</v>
      </c>
      <c r="B1416" s="353" t="s">
        <v>1958</v>
      </c>
      <c r="C1416" s="6" t="s">
        <v>37</v>
      </c>
      <c r="D1416" s="6" t="s">
        <v>420</v>
      </c>
      <c r="E1416" s="372">
        <v>1249400</v>
      </c>
      <c r="F1416" s="402">
        <v>1249400</v>
      </c>
      <c r="G1416" s="400">
        <f t="shared" si="21"/>
        <v>100</v>
      </c>
    </row>
    <row r="1417" spans="1:7" ht="38.25">
      <c r="A1417" s="54" t="s">
        <v>415</v>
      </c>
      <c r="B1417" s="353" t="s">
        <v>766</v>
      </c>
      <c r="C1417" s="6" t="s">
        <v>1468</v>
      </c>
      <c r="D1417" s="6" t="s">
        <v>1468</v>
      </c>
      <c r="E1417" s="372">
        <v>43193760.390000001</v>
      </c>
      <c r="F1417" s="400">
        <v>39257465.07</v>
      </c>
      <c r="G1417" s="400">
        <f t="shared" ref="G1417:G1480" si="22">F1417/E1417*100</f>
        <v>90.88688902179652</v>
      </c>
    </row>
    <row r="1418" spans="1:7" ht="63.75">
      <c r="A1418" s="54" t="s">
        <v>1754</v>
      </c>
      <c r="B1418" s="353" t="s">
        <v>766</v>
      </c>
      <c r="C1418" s="6" t="s">
        <v>322</v>
      </c>
      <c r="D1418" s="6" t="s">
        <v>1468</v>
      </c>
      <c r="E1418" s="372">
        <v>32403815.07</v>
      </c>
      <c r="F1418" s="400">
        <v>29503534.489999998</v>
      </c>
      <c r="G1418" s="400">
        <f t="shared" si="22"/>
        <v>91.049570633165573</v>
      </c>
    </row>
    <row r="1419" spans="1:7" ht="25.5">
      <c r="A1419" s="54" t="s">
        <v>1509</v>
      </c>
      <c r="B1419" s="353" t="s">
        <v>766</v>
      </c>
      <c r="C1419" s="6" t="s">
        <v>37</v>
      </c>
      <c r="D1419" s="6" t="s">
        <v>1468</v>
      </c>
      <c r="E1419" s="372">
        <v>32403815.07</v>
      </c>
      <c r="F1419" s="400">
        <v>29503534.489999998</v>
      </c>
      <c r="G1419" s="400">
        <f t="shared" si="22"/>
        <v>91.049570633165573</v>
      </c>
    </row>
    <row r="1420" spans="1:7">
      <c r="A1420" s="54" t="s">
        <v>278</v>
      </c>
      <c r="B1420" s="353" t="s">
        <v>766</v>
      </c>
      <c r="C1420" s="6" t="s">
        <v>37</v>
      </c>
      <c r="D1420" s="6" t="s">
        <v>1357</v>
      </c>
      <c r="E1420" s="372">
        <v>32403815.07</v>
      </c>
      <c r="F1420" s="400">
        <v>29503534.489999998</v>
      </c>
      <c r="G1420" s="400">
        <f t="shared" si="22"/>
        <v>91.049570633165573</v>
      </c>
    </row>
    <row r="1421" spans="1:7" ht="51">
      <c r="A1421" s="54" t="s">
        <v>93</v>
      </c>
      <c r="B1421" s="353" t="s">
        <v>766</v>
      </c>
      <c r="C1421" s="6" t="s">
        <v>37</v>
      </c>
      <c r="D1421" s="6" t="s">
        <v>414</v>
      </c>
      <c r="E1421" s="372">
        <v>2003980.4</v>
      </c>
      <c r="F1421" s="400">
        <v>1955015.72</v>
      </c>
      <c r="G1421" s="400">
        <f t="shared" si="22"/>
        <v>97.55662879736748</v>
      </c>
    </row>
    <row r="1422" spans="1:7" ht="51">
      <c r="A1422" s="54" t="s">
        <v>280</v>
      </c>
      <c r="B1422" s="353" t="s">
        <v>766</v>
      </c>
      <c r="C1422" s="6" t="s">
        <v>37</v>
      </c>
      <c r="D1422" s="6" t="s">
        <v>420</v>
      </c>
      <c r="E1422" s="372">
        <v>29710208</v>
      </c>
      <c r="F1422" s="400">
        <v>26865485.600000001</v>
      </c>
      <c r="G1422" s="400">
        <f t="shared" si="22"/>
        <v>90.42510102924895</v>
      </c>
    </row>
    <row r="1423" spans="1:7" ht="38.25">
      <c r="A1423" s="54" t="s">
        <v>260</v>
      </c>
      <c r="B1423" s="353" t="s">
        <v>766</v>
      </c>
      <c r="C1423" s="6" t="s">
        <v>37</v>
      </c>
      <c r="D1423" s="6" t="s">
        <v>418</v>
      </c>
      <c r="E1423" s="372">
        <v>689626.67</v>
      </c>
      <c r="F1423" s="400">
        <v>683033.17</v>
      </c>
      <c r="G1423" s="400">
        <f t="shared" si="22"/>
        <v>99.043902985944555</v>
      </c>
    </row>
    <row r="1424" spans="1:7" ht="25.5">
      <c r="A1424" s="54" t="s">
        <v>1755</v>
      </c>
      <c r="B1424" s="353" t="s">
        <v>766</v>
      </c>
      <c r="C1424" s="6" t="s">
        <v>1756</v>
      </c>
      <c r="D1424" s="6" t="s">
        <v>1468</v>
      </c>
      <c r="E1424" s="372">
        <v>10423345.949999999</v>
      </c>
      <c r="F1424" s="400">
        <v>9388432.3100000005</v>
      </c>
      <c r="G1424" s="400">
        <f t="shared" si="22"/>
        <v>90.07119551663736</v>
      </c>
    </row>
    <row r="1425" spans="1:7" ht="25.5">
      <c r="A1425" s="54" t="s">
        <v>1502</v>
      </c>
      <c r="B1425" s="353" t="s">
        <v>766</v>
      </c>
      <c r="C1425" s="6" t="s">
        <v>1503</v>
      </c>
      <c r="D1425" s="6" t="s">
        <v>1468</v>
      </c>
      <c r="E1425" s="372">
        <v>10423345.949999999</v>
      </c>
      <c r="F1425" s="400">
        <v>9388432.3100000005</v>
      </c>
      <c r="G1425" s="400">
        <f t="shared" si="22"/>
        <v>90.07119551663736</v>
      </c>
    </row>
    <row r="1426" spans="1:7">
      <c r="A1426" s="54" t="s">
        <v>278</v>
      </c>
      <c r="B1426" s="353" t="s">
        <v>766</v>
      </c>
      <c r="C1426" s="6" t="s">
        <v>1503</v>
      </c>
      <c r="D1426" s="6" t="s">
        <v>1357</v>
      </c>
      <c r="E1426" s="372">
        <v>10423345.949999999</v>
      </c>
      <c r="F1426" s="400">
        <v>9388432.3100000005</v>
      </c>
      <c r="G1426" s="400">
        <f t="shared" si="22"/>
        <v>90.07119551663736</v>
      </c>
    </row>
    <row r="1427" spans="1:7" ht="51">
      <c r="A1427" s="54" t="s">
        <v>93</v>
      </c>
      <c r="B1427" s="353" t="s">
        <v>766</v>
      </c>
      <c r="C1427" s="6" t="s">
        <v>1503</v>
      </c>
      <c r="D1427" s="6" t="s">
        <v>414</v>
      </c>
      <c r="E1427" s="372">
        <v>534626.43000000005</v>
      </c>
      <c r="F1427" s="400">
        <v>497026.43</v>
      </c>
      <c r="G1427" s="400">
        <f t="shared" si="22"/>
        <v>92.967051778566187</v>
      </c>
    </row>
    <row r="1428" spans="1:7" ht="51">
      <c r="A1428" s="54" t="s">
        <v>280</v>
      </c>
      <c r="B1428" s="353" t="s">
        <v>766</v>
      </c>
      <c r="C1428" s="6" t="s">
        <v>1503</v>
      </c>
      <c r="D1428" s="6" t="s">
        <v>420</v>
      </c>
      <c r="E1428" s="372">
        <v>9848569.5199999996</v>
      </c>
      <c r="F1428" s="400">
        <v>8856567.9800000004</v>
      </c>
      <c r="G1428" s="400">
        <f t="shared" si="22"/>
        <v>89.927455576309939</v>
      </c>
    </row>
    <row r="1429" spans="1:7" ht="38.25">
      <c r="A1429" s="54" t="s">
        <v>260</v>
      </c>
      <c r="B1429" s="353" t="s">
        <v>766</v>
      </c>
      <c r="C1429" s="6" t="s">
        <v>1503</v>
      </c>
      <c r="D1429" s="6" t="s">
        <v>418</v>
      </c>
      <c r="E1429" s="372">
        <v>40150</v>
      </c>
      <c r="F1429" s="400">
        <v>34837.9</v>
      </c>
      <c r="G1429" s="400">
        <f t="shared" si="22"/>
        <v>86.769364881693662</v>
      </c>
    </row>
    <row r="1430" spans="1:7">
      <c r="A1430" s="54" t="s">
        <v>1757</v>
      </c>
      <c r="B1430" s="353" t="s">
        <v>766</v>
      </c>
      <c r="C1430" s="6" t="s">
        <v>1758</v>
      </c>
      <c r="D1430" s="6" t="s">
        <v>1468</v>
      </c>
      <c r="E1430" s="372">
        <v>366599.37</v>
      </c>
      <c r="F1430" s="400">
        <v>365498.27</v>
      </c>
      <c r="G1430" s="400">
        <f t="shared" si="22"/>
        <v>99.699644873912362</v>
      </c>
    </row>
    <row r="1431" spans="1:7">
      <c r="A1431" s="54" t="s">
        <v>1507</v>
      </c>
      <c r="B1431" s="353" t="s">
        <v>766</v>
      </c>
      <c r="C1431" s="6" t="s">
        <v>1508</v>
      </c>
      <c r="D1431" s="6" t="s">
        <v>1468</v>
      </c>
      <c r="E1431" s="372">
        <v>366599.37</v>
      </c>
      <c r="F1431" s="400">
        <v>365498.27</v>
      </c>
      <c r="G1431" s="400">
        <f t="shared" si="22"/>
        <v>99.699644873912362</v>
      </c>
    </row>
    <row r="1432" spans="1:7">
      <c r="A1432" s="54" t="s">
        <v>278</v>
      </c>
      <c r="B1432" s="353" t="s">
        <v>766</v>
      </c>
      <c r="C1432" s="6" t="s">
        <v>1508</v>
      </c>
      <c r="D1432" s="6" t="s">
        <v>1357</v>
      </c>
      <c r="E1432" s="372">
        <v>366599.37</v>
      </c>
      <c r="F1432" s="400">
        <v>365498.27</v>
      </c>
      <c r="G1432" s="400">
        <f t="shared" si="22"/>
        <v>99.699644873912362</v>
      </c>
    </row>
    <row r="1433" spans="1:7" ht="51">
      <c r="A1433" s="54" t="s">
        <v>93</v>
      </c>
      <c r="B1433" s="353" t="s">
        <v>766</v>
      </c>
      <c r="C1433" s="6" t="s">
        <v>1508</v>
      </c>
      <c r="D1433" s="6" t="s">
        <v>414</v>
      </c>
      <c r="E1433" s="372">
        <v>478.37</v>
      </c>
      <c r="F1433" s="400">
        <v>478.37</v>
      </c>
      <c r="G1433" s="400">
        <f t="shared" si="22"/>
        <v>100</v>
      </c>
    </row>
    <row r="1434" spans="1:7" ht="51">
      <c r="A1434" s="54" t="s">
        <v>280</v>
      </c>
      <c r="B1434" s="353" t="s">
        <v>766</v>
      </c>
      <c r="C1434" s="6" t="s">
        <v>1508</v>
      </c>
      <c r="D1434" s="6" t="s">
        <v>420</v>
      </c>
      <c r="E1434" s="372">
        <v>366021</v>
      </c>
      <c r="F1434" s="400">
        <v>365019.87</v>
      </c>
      <c r="G1434" s="400">
        <f t="shared" si="22"/>
        <v>99.726482906718459</v>
      </c>
    </row>
    <row r="1435" spans="1:7" ht="38.25">
      <c r="A1435" s="54" t="s">
        <v>260</v>
      </c>
      <c r="B1435" s="353" t="s">
        <v>766</v>
      </c>
      <c r="C1435" s="6" t="s">
        <v>1508</v>
      </c>
      <c r="D1435" s="6" t="s">
        <v>418</v>
      </c>
      <c r="E1435" s="372">
        <v>100</v>
      </c>
      <c r="F1435" s="400">
        <v>0.03</v>
      </c>
      <c r="G1435" s="400">
        <f t="shared" si="22"/>
        <v>0.03</v>
      </c>
    </row>
    <row r="1436" spans="1:7" ht="76.5">
      <c r="A1436" s="54" t="s">
        <v>669</v>
      </c>
      <c r="B1436" s="353" t="s">
        <v>776</v>
      </c>
      <c r="C1436" s="6" t="s">
        <v>1468</v>
      </c>
      <c r="D1436" s="6" t="s">
        <v>1468</v>
      </c>
      <c r="E1436" s="372">
        <v>1492576.43</v>
      </c>
      <c r="F1436" s="400">
        <v>1492576.15</v>
      </c>
      <c r="G1436" s="400">
        <f t="shared" si="22"/>
        <v>99.99998124049165</v>
      </c>
    </row>
    <row r="1437" spans="1:7" ht="63.75">
      <c r="A1437" s="54" t="s">
        <v>1754</v>
      </c>
      <c r="B1437" s="353" t="s">
        <v>776</v>
      </c>
      <c r="C1437" s="6" t="s">
        <v>322</v>
      </c>
      <c r="D1437" s="6" t="s">
        <v>1468</v>
      </c>
      <c r="E1437" s="372">
        <v>1492576.43</v>
      </c>
      <c r="F1437" s="400">
        <v>1492576.15</v>
      </c>
      <c r="G1437" s="400">
        <f t="shared" si="22"/>
        <v>99.99998124049165</v>
      </c>
    </row>
    <row r="1438" spans="1:7" ht="25.5">
      <c r="A1438" s="54" t="s">
        <v>1509</v>
      </c>
      <c r="B1438" s="353" t="s">
        <v>776</v>
      </c>
      <c r="C1438" s="6" t="s">
        <v>37</v>
      </c>
      <c r="D1438" s="6" t="s">
        <v>1468</v>
      </c>
      <c r="E1438" s="372">
        <v>1492576.43</v>
      </c>
      <c r="F1438" s="400">
        <v>1492576.15</v>
      </c>
      <c r="G1438" s="400">
        <f t="shared" si="22"/>
        <v>99.99998124049165</v>
      </c>
    </row>
    <row r="1439" spans="1:7">
      <c r="A1439" s="54" t="s">
        <v>278</v>
      </c>
      <c r="B1439" s="353" t="s">
        <v>776</v>
      </c>
      <c r="C1439" s="6" t="s">
        <v>37</v>
      </c>
      <c r="D1439" s="6" t="s">
        <v>1357</v>
      </c>
      <c r="E1439" s="372">
        <v>1492576.43</v>
      </c>
      <c r="F1439" s="400">
        <v>1492576.15</v>
      </c>
      <c r="G1439" s="400">
        <f t="shared" si="22"/>
        <v>99.99998124049165</v>
      </c>
    </row>
    <row r="1440" spans="1:7" ht="51">
      <c r="A1440" s="54" t="s">
        <v>280</v>
      </c>
      <c r="B1440" s="353" t="s">
        <v>776</v>
      </c>
      <c r="C1440" s="6" t="s">
        <v>37</v>
      </c>
      <c r="D1440" s="6" t="s">
        <v>420</v>
      </c>
      <c r="E1440" s="372">
        <v>1492576.43</v>
      </c>
      <c r="F1440" s="400">
        <v>1492576.15</v>
      </c>
      <c r="G1440" s="400">
        <f t="shared" si="22"/>
        <v>99.99998124049165</v>
      </c>
    </row>
    <row r="1441" spans="1:7" ht="63.75">
      <c r="A1441" s="54" t="s">
        <v>667</v>
      </c>
      <c r="B1441" s="353" t="s">
        <v>767</v>
      </c>
      <c r="C1441" s="6" t="s">
        <v>1468</v>
      </c>
      <c r="D1441" s="6" t="s">
        <v>1468</v>
      </c>
      <c r="E1441" s="372">
        <v>447150</v>
      </c>
      <c r="F1441" s="400">
        <v>379851.64</v>
      </c>
      <c r="G1441" s="400">
        <f t="shared" si="22"/>
        <v>84.949488985798951</v>
      </c>
    </row>
    <row r="1442" spans="1:7" ht="63.75">
      <c r="A1442" s="54" t="s">
        <v>1754</v>
      </c>
      <c r="B1442" s="353" t="s">
        <v>767</v>
      </c>
      <c r="C1442" s="6" t="s">
        <v>322</v>
      </c>
      <c r="D1442" s="6" t="s">
        <v>1468</v>
      </c>
      <c r="E1442" s="372">
        <v>447150</v>
      </c>
      <c r="F1442" s="400">
        <v>379851.64</v>
      </c>
      <c r="G1442" s="400">
        <f t="shared" si="22"/>
        <v>84.949488985798951</v>
      </c>
    </row>
    <row r="1443" spans="1:7" ht="25.5">
      <c r="A1443" s="54" t="s">
        <v>1509</v>
      </c>
      <c r="B1443" s="353" t="s">
        <v>767</v>
      </c>
      <c r="C1443" s="6" t="s">
        <v>37</v>
      </c>
      <c r="D1443" s="6" t="s">
        <v>1468</v>
      </c>
      <c r="E1443" s="372">
        <v>447150</v>
      </c>
      <c r="F1443" s="400">
        <v>379851.64</v>
      </c>
      <c r="G1443" s="400">
        <f t="shared" si="22"/>
        <v>84.949488985798951</v>
      </c>
    </row>
    <row r="1444" spans="1:7">
      <c r="A1444" s="54" t="s">
        <v>278</v>
      </c>
      <c r="B1444" s="353" t="s">
        <v>767</v>
      </c>
      <c r="C1444" s="6" t="s">
        <v>37</v>
      </c>
      <c r="D1444" s="6" t="s">
        <v>1357</v>
      </c>
      <c r="E1444" s="372">
        <v>447150</v>
      </c>
      <c r="F1444" s="400">
        <v>379851.64</v>
      </c>
      <c r="G1444" s="400">
        <f t="shared" si="22"/>
        <v>84.949488985798951</v>
      </c>
    </row>
    <row r="1445" spans="1:7" ht="51">
      <c r="A1445" s="54" t="s">
        <v>93</v>
      </c>
      <c r="B1445" s="353" t="s">
        <v>767</v>
      </c>
      <c r="C1445" s="6" t="s">
        <v>37</v>
      </c>
      <c r="D1445" s="6" t="s">
        <v>414</v>
      </c>
      <c r="E1445" s="372">
        <v>50000</v>
      </c>
      <c r="F1445" s="400">
        <v>45205.2</v>
      </c>
      <c r="G1445" s="400">
        <f t="shared" si="22"/>
        <v>90.410399999999996</v>
      </c>
    </row>
    <row r="1446" spans="1:7" ht="51">
      <c r="A1446" s="54" t="s">
        <v>280</v>
      </c>
      <c r="B1446" s="353" t="s">
        <v>767</v>
      </c>
      <c r="C1446" s="6" t="s">
        <v>37</v>
      </c>
      <c r="D1446" s="6" t="s">
        <v>420</v>
      </c>
      <c r="E1446" s="372">
        <v>397150</v>
      </c>
      <c r="F1446" s="400">
        <v>334646.44</v>
      </c>
      <c r="G1446" s="400">
        <f t="shared" si="22"/>
        <v>84.26197658315499</v>
      </c>
    </row>
    <row r="1447" spans="1:7" ht="63.75">
      <c r="A1447" s="54" t="s">
        <v>670</v>
      </c>
      <c r="B1447" s="353" t="s">
        <v>777</v>
      </c>
      <c r="C1447" s="6" t="s">
        <v>1468</v>
      </c>
      <c r="D1447" s="6" t="s">
        <v>1468</v>
      </c>
      <c r="E1447" s="372">
        <v>5987879</v>
      </c>
      <c r="F1447" s="400">
        <v>5915966.7400000002</v>
      </c>
      <c r="G1447" s="400">
        <f t="shared" si="22"/>
        <v>98.799036186268964</v>
      </c>
    </row>
    <row r="1448" spans="1:7" ht="63.75">
      <c r="A1448" s="54" t="s">
        <v>1754</v>
      </c>
      <c r="B1448" s="353" t="s">
        <v>777</v>
      </c>
      <c r="C1448" s="6" t="s">
        <v>322</v>
      </c>
      <c r="D1448" s="6" t="s">
        <v>1468</v>
      </c>
      <c r="E1448" s="372">
        <v>5987879</v>
      </c>
      <c r="F1448" s="400">
        <v>5915966.7400000002</v>
      </c>
      <c r="G1448" s="400">
        <f t="shared" si="22"/>
        <v>98.799036186268964</v>
      </c>
    </row>
    <row r="1449" spans="1:7" ht="25.5">
      <c r="A1449" s="54" t="s">
        <v>1509</v>
      </c>
      <c r="B1449" s="353" t="s">
        <v>777</v>
      </c>
      <c r="C1449" s="6" t="s">
        <v>37</v>
      </c>
      <c r="D1449" s="6" t="s">
        <v>1468</v>
      </c>
      <c r="E1449" s="372">
        <v>5987879</v>
      </c>
      <c r="F1449" s="400">
        <v>5915966.7400000002</v>
      </c>
      <c r="G1449" s="400">
        <f t="shared" si="22"/>
        <v>98.799036186268964</v>
      </c>
    </row>
    <row r="1450" spans="1:7">
      <c r="A1450" s="54" t="s">
        <v>278</v>
      </c>
      <c r="B1450" s="353" t="s">
        <v>777</v>
      </c>
      <c r="C1450" s="6" t="s">
        <v>37</v>
      </c>
      <c r="D1450" s="6" t="s">
        <v>1357</v>
      </c>
      <c r="E1450" s="372">
        <v>5987879</v>
      </c>
      <c r="F1450" s="400">
        <v>5915966.7400000002</v>
      </c>
      <c r="G1450" s="400">
        <f t="shared" si="22"/>
        <v>98.799036186268964</v>
      </c>
    </row>
    <row r="1451" spans="1:7" ht="51">
      <c r="A1451" s="54" t="s">
        <v>280</v>
      </c>
      <c r="B1451" s="353" t="s">
        <v>777</v>
      </c>
      <c r="C1451" s="6" t="s">
        <v>37</v>
      </c>
      <c r="D1451" s="6" t="s">
        <v>420</v>
      </c>
      <c r="E1451" s="372">
        <v>5987879</v>
      </c>
      <c r="F1451" s="400">
        <v>5915966.7400000002</v>
      </c>
      <c r="G1451" s="400">
        <f t="shared" si="22"/>
        <v>98.799036186268964</v>
      </c>
    </row>
    <row r="1452" spans="1:7" ht="51">
      <c r="A1452" s="54" t="s">
        <v>1083</v>
      </c>
      <c r="B1452" s="353" t="s">
        <v>1084</v>
      </c>
      <c r="C1452" s="6" t="s">
        <v>1468</v>
      </c>
      <c r="D1452" s="6" t="s">
        <v>1468</v>
      </c>
      <c r="E1452" s="372">
        <v>2657008.13</v>
      </c>
      <c r="F1452" s="400">
        <v>2413747.37</v>
      </c>
      <c r="G1452" s="400">
        <f t="shared" si="22"/>
        <v>90.844560946074353</v>
      </c>
    </row>
    <row r="1453" spans="1:7" ht="25.5">
      <c r="A1453" s="54" t="s">
        <v>1755</v>
      </c>
      <c r="B1453" s="353" t="s">
        <v>1084</v>
      </c>
      <c r="C1453" s="6" t="s">
        <v>1756</v>
      </c>
      <c r="D1453" s="6" t="s">
        <v>1468</v>
      </c>
      <c r="E1453" s="372">
        <v>2657008.13</v>
      </c>
      <c r="F1453" s="400">
        <v>2413747.37</v>
      </c>
      <c r="G1453" s="400">
        <f t="shared" si="22"/>
        <v>90.844560946074353</v>
      </c>
    </row>
    <row r="1454" spans="1:7" ht="25.5">
      <c r="A1454" s="54" t="s">
        <v>1502</v>
      </c>
      <c r="B1454" s="353" t="s">
        <v>1084</v>
      </c>
      <c r="C1454" s="6" t="s">
        <v>1503</v>
      </c>
      <c r="D1454" s="6" t="s">
        <v>1468</v>
      </c>
      <c r="E1454" s="372">
        <v>2657008.13</v>
      </c>
      <c r="F1454" s="400">
        <v>2413747.37</v>
      </c>
      <c r="G1454" s="400">
        <f t="shared" si="22"/>
        <v>90.844560946074353</v>
      </c>
    </row>
    <row r="1455" spans="1:7">
      <c r="A1455" s="54" t="s">
        <v>278</v>
      </c>
      <c r="B1455" s="353" t="s">
        <v>1084</v>
      </c>
      <c r="C1455" s="6" t="s">
        <v>1503</v>
      </c>
      <c r="D1455" s="6" t="s">
        <v>1357</v>
      </c>
      <c r="E1455" s="372">
        <v>2657008.13</v>
      </c>
      <c r="F1455" s="400">
        <v>2413747.37</v>
      </c>
      <c r="G1455" s="400">
        <f t="shared" si="22"/>
        <v>90.844560946074353</v>
      </c>
    </row>
    <row r="1456" spans="1:7" ht="51">
      <c r="A1456" s="54" t="s">
        <v>280</v>
      </c>
      <c r="B1456" s="353" t="s">
        <v>1084</v>
      </c>
      <c r="C1456" s="6" t="s">
        <v>1503</v>
      </c>
      <c r="D1456" s="6" t="s">
        <v>420</v>
      </c>
      <c r="E1456" s="372">
        <v>2657008.13</v>
      </c>
      <c r="F1456" s="400">
        <v>2413747.37</v>
      </c>
      <c r="G1456" s="400">
        <f t="shared" si="22"/>
        <v>90.844560946074353</v>
      </c>
    </row>
    <row r="1457" spans="1:7" ht="38.25">
      <c r="A1457" s="54" t="s">
        <v>1578</v>
      </c>
      <c r="B1457" s="353" t="s">
        <v>1579</v>
      </c>
      <c r="C1457" s="6" t="s">
        <v>1468</v>
      </c>
      <c r="D1457" s="6" t="s">
        <v>1468</v>
      </c>
      <c r="E1457" s="372">
        <v>2342400</v>
      </c>
      <c r="F1457" s="400">
        <v>2195054.69</v>
      </c>
      <c r="G1457" s="400">
        <f t="shared" si="22"/>
        <v>93.709643528005458</v>
      </c>
    </row>
    <row r="1458" spans="1:7" ht="25.5">
      <c r="A1458" s="54" t="s">
        <v>1755</v>
      </c>
      <c r="B1458" s="353" t="s">
        <v>1579</v>
      </c>
      <c r="C1458" s="6" t="s">
        <v>1756</v>
      </c>
      <c r="D1458" s="6" t="s">
        <v>1468</v>
      </c>
      <c r="E1458" s="372">
        <v>2342400</v>
      </c>
      <c r="F1458" s="400">
        <v>2195054.69</v>
      </c>
      <c r="G1458" s="400">
        <f t="shared" si="22"/>
        <v>93.709643528005458</v>
      </c>
    </row>
    <row r="1459" spans="1:7" ht="25.5">
      <c r="A1459" s="54" t="s">
        <v>1502</v>
      </c>
      <c r="B1459" s="353" t="s">
        <v>1579</v>
      </c>
      <c r="C1459" s="6" t="s">
        <v>1503</v>
      </c>
      <c r="D1459" s="6" t="s">
        <v>1468</v>
      </c>
      <c r="E1459" s="372">
        <v>2342400</v>
      </c>
      <c r="F1459" s="400">
        <v>2195054.69</v>
      </c>
      <c r="G1459" s="400">
        <f t="shared" si="22"/>
        <v>93.709643528005458</v>
      </c>
    </row>
    <row r="1460" spans="1:7">
      <c r="A1460" s="54" t="s">
        <v>278</v>
      </c>
      <c r="B1460" s="353" t="s">
        <v>1579</v>
      </c>
      <c r="C1460" s="6" t="s">
        <v>1503</v>
      </c>
      <c r="D1460" s="6" t="s">
        <v>1357</v>
      </c>
      <c r="E1460" s="372">
        <v>2342400</v>
      </c>
      <c r="F1460" s="400">
        <v>2195054.69</v>
      </c>
      <c r="G1460" s="400">
        <f t="shared" si="22"/>
        <v>93.709643528005458</v>
      </c>
    </row>
    <row r="1461" spans="1:7" ht="51">
      <c r="A1461" s="54" t="s">
        <v>280</v>
      </c>
      <c r="B1461" s="353" t="s">
        <v>1579</v>
      </c>
      <c r="C1461" s="6" t="s">
        <v>1503</v>
      </c>
      <c r="D1461" s="6" t="s">
        <v>420</v>
      </c>
      <c r="E1461" s="372">
        <v>2342400</v>
      </c>
      <c r="F1461" s="400">
        <v>2195054.69</v>
      </c>
      <c r="G1461" s="400">
        <f t="shared" si="22"/>
        <v>93.709643528005458</v>
      </c>
    </row>
    <row r="1462" spans="1:7" ht="25.5">
      <c r="A1462" s="54" t="s">
        <v>1236</v>
      </c>
      <c r="B1462" s="353" t="s">
        <v>1237</v>
      </c>
      <c r="C1462" s="6" t="s">
        <v>1468</v>
      </c>
      <c r="D1462" s="6" t="s">
        <v>1468</v>
      </c>
      <c r="E1462" s="372">
        <v>974024.35</v>
      </c>
      <c r="F1462" s="400">
        <v>845992.82</v>
      </c>
      <c r="G1462" s="400">
        <f t="shared" si="22"/>
        <v>86.855407670249718</v>
      </c>
    </row>
    <row r="1463" spans="1:7" ht="25.5">
      <c r="A1463" s="54" t="s">
        <v>1755</v>
      </c>
      <c r="B1463" s="353" t="s">
        <v>1237</v>
      </c>
      <c r="C1463" s="6" t="s">
        <v>1756</v>
      </c>
      <c r="D1463" s="6" t="s">
        <v>1468</v>
      </c>
      <c r="E1463" s="372">
        <v>974024.35</v>
      </c>
      <c r="F1463" s="400">
        <v>845992.82</v>
      </c>
      <c r="G1463" s="400">
        <f t="shared" si="22"/>
        <v>86.855407670249718</v>
      </c>
    </row>
    <row r="1464" spans="1:7" ht="25.5">
      <c r="A1464" s="54" t="s">
        <v>1502</v>
      </c>
      <c r="B1464" s="353" t="s">
        <v>1237</v>
      </c>
      <c r="C1464" s="6" t="s">
        <v>1503</v>
      </c>
      <c r="D1464" s="6" t="s">
        <v>1468</v>
      </c>
      <c r="E1464" s="372">
        <v>974024.35</v>
      </c>
      <c r="F1464" s="400">
        <v>845992.82</v>
      </c>
      <c r="G1464" s="400">
        <f t="shared" si="22"/>
        <v>86.855407670249718</v>
      </c>
    </row>
    <row r="1465" spans="1:7">
      <c r="A1465" s="54" t="s">
        <v>278</v>
      </c>
      <c r="B1465" s="353" t="s">
        <v>1237</v>
      </c>
      <c r="C1465" s="6" t="s">
        <v>1503</v>
      </c>
      <c r="D1465" s="6" t="s">
        <v>1357</v>
      </c>
      <c r="E1465" s="372">
        <v>974024.35</v>
      </c>
      <c r="F1465" s="400">
        <v>845992.82</v>
      </c>
      <c r="G1465" s="400">
        <f t="shared" si="22"/>
        <v>86.855407670249718</v>
      </c>
    </row>
    <row r="1466" spans="1:7" ht="51">
      <c r="A1466" s="54" t="s">
        <v>280</v>
      </c>
      <c r="B1466" s="353" t="s">
        <v>1237</v>
      </c>
      <c r="C1466" s="6" t="s">
        <v>1503</v>
      </c>
      <c r="D1466" s="6" t="s">
        <v>420</v>
      </c>
      <c r="E1466" s="372">
        <v>974024.35</v>
      </c>
      <c r="F1466" s="400">
        <v>845992.82</v>
      </c>
      <c r="G1466" s="400">
        <f t="shared" si="22"/>
        <v>86.855407670249718</v>
      </c>
    </row>
    <row r="1467" spans="1:7" ht="76.5">
      <c r="A1467" s="54" t="s">
        <v>636</v>
      </c>
      <c r="B1467" s="353" t="s">
        <v>781</v>
      </c>
      <c r="C1467" s="6" t="s">
        <v>1468</v>
      </c>
      <c r="D1467" s="6" t="s">
        <v>1468</v>
      </c>
      <c r="E1467" s="372">
        <v>63900</v>
      </c>
      <c r="F1467" s="402">
        <v>63900</v>
      </c>
      <c r="G1467" s="400">
        <f t="shared" si="22"/>
        <v>100</v>
      </c>
    </row>
    <row r="1468" spans="1:7" ht="63.75">
      <c r="A1468" s="54" t="s">
        <v>1754</v>
      </c>
      <c r="B1468" s="353" t="s">
        <v>781</v>
      </c>
      <c r="C1468" s="6" t="s">
        <v>322</v>
      </c>
      <c r="D1468" s="6" t="s">
        <v>1468</v>
      </c>
      <c r="E1468" s="372">
        <v>60980</v>
      </c>
      <c r="F1468" s="402">
        <v>60980</v>
      </c>
      <c r="G1468" s="400">
        <f t="shared" si="22"/>
        <v>100</v>
      </c>
    </row>
    <row r="1469" spans="1:7" ht="25.5">
      <c r="A1469" s="54" t="s">
        <v>1509</v>
      </c>
      <c r="B1469" s="353" t="s">
        <v>781</v>
      </c>
      <c r="C1469" s="6" t="s">
        <v>37</v>
      </c>
      <c r="D1469" s="6" t="s">
        <v>1468</v>
      </c>
      <c r="E1469" s="372">
        <v>60980</v>
      </c>
      <c r="F1469" s="402">
        <v>60980</v>
      </c>
      <c r="G1469" s="400">
        <f t="shared" si="22"/>
        <v>100</v>
      </c>
    </row>
    <row r="1470" spans="1:7">
      <c r="A1470" s="54" t="s">
        <v>278</v>
      </c>
      <c r="B1470" s="353" t="s">
        <v>781</v>
      </c>
      <c r="C1470" s="6" t="s">
        <v>37</v>
      </c>
      <c r="D1470" s="6" t="s">
        <v>1357</v>
      </c>
      <c r="E1470" s="372">
        <v>60980</v>
      </c>
      <c r="F1470" s="402">
        <v>60980</v>
      </c>
      <c r="G1470" s="400">
        <f t="shared" si="22"/>
        <v>100</v>
      </c>
    </row>
    <row r="1471" spans="1:7">
      <c r="A1471" s="54" t="s">
        <v>261</v>
      </c>
      <c r="B1471" s="353" t="s">
        <v>781</v>
      </c>
      <c r="C1471" s="6" t="s">
        <v>37</v>
      </c>
      <c r="D1471" s="6" t="s">
        <v>424</v>
      </c>
      <c r="E1471" s="372">
        <v>60980</v>
      </c>
      <c r="F1471" s="402">
        <v>60980</v>
      </c>
      <c r="G1471" s="400">
        <f t="shared" si="22"/>
        <v>100</v>
      </c>
    </row>
    <row r="1472" spans="1:7" ht="25.5">
      <c r="A1472" s="54" t="s">
        <v>1755</v>
      </c>
      <c r="B1472" s="353" t="s">
        <v>781</v>
      </c>
      <c r="C1472" s="6" t="s">
        <v>1756</v>
      </c>
      <c r="D1472" s="6" t="s">
        <v>1468</v>
      </c>
      <c r="E1472" s="372">
        <v>2920</v>
      </c>
      <c r="F1472" s="402">
        <v>2920</v>
      </c>
      <c r="G1472" s="400">
        <f t="shared" si="22"/>
        <v>100</v>
      </c>
    </row>
    <row r="1473" spans="1:7" ht="25.5">
      <c r="A1473" s="54" t="s">
        <v>1502</v>
      </c>
      <c r="B1473" s="353" t="s">
        <v>781</v>
      </c>
      <c r="C1473" s="6" t="s">
        <v>1503</v>
      </c>
      <c r="D1473" s="6" t="s">
        <v>1468</v>
      </c>
      <c r="E1473" s="372">
        <v>2920</v>
      </c>
      <c r="F1473" s="402">
        <v>2920</v>
      </c>
      <c r="G1473" s="400">
        <f t="shared" si="22"/>
        <v>100</v>
      </c>
    </row>
    <row r="1474" spans="1:7">
      <c r="A1474" s="54" t="s">
        <v>278</v>
      </c>
      <c r="B1474" s="353" t="s">
        <v>781</v>
      </c>
      <c r="C1474" s="6" t="s">
        <v>1503</v>
      </c>
      <c r="D1474" s="6" t="s">
        <v>1357</v>
      </c>
      <c r="E1474" s="372">
        <v>2920</v>
      </c>
      <c r="F1474" s="402">
        <v>2920</v>
      </c>
      <c r="G1474" s="400">
        <f t="shared" si="22"/>
        <v>100</v>
      </c>
    </row>
    <row r="1475" spans="1:7">
      <c r="A1475" s="54" t="s">
        <v>261</v>
      </c>
      <c r="B1475" s="353" t="s">
        <v>781</v>
      </c>
      <c r="C1475" s="6" t="s">
        <v>1503</v>
      </c>
      <c r="D1475" s="6" t="s">
        <v>424</v>
      </c>
      <c r="E1475" s="372">
        <v>2920</v>
      </c>
      <c r="F1475" s="402">
        <v>2920</v>
      </c>
      <c r="G1475" s="400">
        <f t="shared" si="22"/>
        <v>100</v>
      </c>
    </row>
    <row r="1476" spans="1:7" ht="76.5">
      <c r="A1476" s="54" t="s">
        <v>422</v>
      </c>
      <c r="B1476" s="353" t="s">
        <v>774</v>
      </c>
      <c r="C1476" s="6" t="s">
        <v>1468</v>
      </c>
      <c r="D1476" s="6" t="s">
        <v>1468</v>
      </c>
      <c r="E1476" s="372">
        <v>654800</v>
      </c>
      <c r="F1476" s="400">
        <v>653009.35</v>
      </c>
      <c r="G1476" s="400">
        <f t="shared" si="22"/>
        <v>99.726534819792306</v>
      </c>
    </row>
    <row r="1477" spans="1:7" ht="63.75">
      <c r="A1477" s="54" t="s">
        <v>1754</v>
      </c>
      <c r="B1477" s="353" t="s">
        <v>774</v>
      </c>
      <c r="C1477" s="6" t="s">
        <v>322</v>
      </c>
      <c r="D1477" s="6" t="s">
        <v>1468</v>
      </c>
      <c r="E1477" s="372">
        <v>622600</v>
      </c>
      <c r="F1477" s="400">
        <v>621715.4</v>
      </c>
      <c r="G1477" s="400">
        <f t="shared" si="22"/>
        <v>99.857918406681662</v>
      </c>
    </row>
    <row r="1478" spans="1:7" ht="25.5">
      <c r="A1478" s="54" t="s">
        <v>1509</v>
      </c>
      <c r="B1478" s="353" t="s">
        <v>774</v>
      </c>
      <c r="C1478" s="6" t="s">
        <v>37</v>
      </c>
      <c r="D1478" s="6" t="s">
        <v>1468</v>
      </c>
      <c r="E1478" s="372">
        <v>622600</v>
      </c>
      <c r="F1478" s="400">
        <v>621715.4</v>
      </c>
      <c r="G1478" s="400">
        <f t="shared" si="22"/>
        <v>99.857918406681662</v>
      </c>
    </row>
    <row r="1479" spans="1:7">
      <c r="A1479" s="54" t="s">
        <v>278</v>
      </c>
      <c r="B1479" s="353" t="s">
        <v>774</v>
      </c>
      <c r="C1479" s="6" t="s">
        <v>37</v>
      </c>
      <c r="D1479" s="6" t="s">
        <v>1357</v>
      </c>
      <c r="E1479" s="372">
        <v>622600</v>
      </c>
      <c r="F1479" s="400">
        <v>621715.4</v>
      </c>
      <c r="G1479" s="400">
        <f t="shared" si="22"/>
        <v>99.857918406681662</v>
      </c>
    </row>
    <row r="1480" spans="1:7" ht="51">
      <c r="A1480" s="54" t="s">
        <v>280</v>
      </c>
      <c r="B1480" s="353" t="s">
        <v>774</v>
      </c>
      <c r="C1480" s="6" t="s">
        <v>37</v>
      </c>
      <c r="D1480" s="6" t="s">
        <v>420</v>
      </c>
      <c r="E1480" s="372">
        <v>622600</v>
      </c>
      <c r="F1480" s="400">
        <v>621715.4</v>
      </c>
      <c r="G1480" s="400">
        <f t="shared" si="22"/>
        <v>99.857918406681662</v>
      </c>
    </row>
    <row r="1481" spans="1:7" ht="25.5">
      <c r="A1481" s="54" t="s">
        <v>1755</v>
      </c>
      <c r="B1481" s="353" t="s">
        <v>774</v>
      </c>
      <c r="C1481" s="6" t="s">
        <v>1756</v>
      </c>
      <c r="D1481" s="6" t="s">
        <v>1468</v>
      </c>
      <c r="E1481" s="372">
        <v>32200</v>
      </c>
      <c r="F1481" s="400">
        <v>31293.95</v>
      </c>
      <c r="G1481" s="400">
        <f t="shared" ref="G1481:G1544" si="23">F1481/E1481*100</f>
        <v>97.186180124223611</v>
      </c>
    </row>
    <row r="1482" spans="1:7" ht="25.5">
      <c r="A1482" s="54" t="s">
        <v>1502</v>
      </c>
      <c r="B1482" s="353" t="s">
        <v>774</v>
      </c>
      <c r="C1482" s="6" t="s">
        <v>1503</v>
      </c>
      <c r="D1482" s="6" t="s">
        <v>1468</v>
      </c>
      <c r="E1482" s="372">
        <v>32200</v>
      </c>
      <c r="F1482" s="400">
        <v>31293.95</v>
      </c>
      <c r="G1482" s="400">
        <f t="shared" si="23"/>
        <v>97.186180124223611</v>
      </c>
    </row>
    <row r="1483" spans="1:7">
      <c r="A1483" s="54" t="s">
        <v>278</v>
      </c>
      <c r="B1483" s="353" t="s">
        <v>774</v>
      </c>
      <c r="C1483" s="6" t="s">
        <v>1503</v>
      </c>
      <c r="D1483" s="6" t="s">
        <v>1357</v>
      </c>
      <c r="E1483" s="372">
        <v>32200</v>
      </c>
      <c r="F1483" s="400">
        <v>31293.95</v>
      </c>
      <c r="G1483" s="400">
        <f t="shared" si="23"/>
        <v>97.186180124223611</v>
      </c>
    </row>
    <row r="1484" spans="1:7" ht="51">
      <c r="A1484" s="54" t="s">
        <v>280</v>
      </c>
      <c r="B1484" s="353" t="s">
        <v>774</v>
      </c>
      <c r="C1484" s="6" t="s">
        <v>1503</v>
      </c>
      <c r="D1484" s="6" t="s">
        <v>420</v>
      </c>
      <c r="E1484" s="372">
        <v>32200</v>
      </c>
      <c r="F1484" s="400">
        <v>31293.95</v>
      </c>
      <c r="G1484" s="400">
        <f t="shared" si="23"/>
        <v>97.186180124223611</v>
      </c>
    </row>
    <row r="1485" spans="1:7" ht="38.25">
      <c r="A1485" s="54" t="s">
        <v>425</v>
      </c>
      <c r="B1485" s="353" t="s">
        <v>782</v>
      </c>
      <c r="C1485" s="6" t="s">
        <v>1468</v>
      </c>
      <c r="D1485" s="6" t="s">
        <v>1468</v>
      </c>
      <c r="E1485" s="372">
        <v>75360</v>
      </c>
      <c r="F1485" s="400">
        <v>75328</v>
      </c>
      <c r="G1485" s="400">
        <f t="shared" si="23"/>
        <v>99.957537154989382</v>
      </c>
    </row>
    <row r="1486" spans="1:7" ht="63.75">
      <c r="A1486" s="54" t="s">
        <v>1754</v>
      </c>
      <c r="B1486" s="353" t="s">
        <v>782</v>
      </c>
      <c r="C1486" s="6" t="s">
        <v>322</v>
      </c>
      <c r="D1486" s="6" t="s">
        <v>1468</v>
      </c>
      <c r="E1486" s="372">
        <v>62128</v>
      </c>
      <c r="F1486" s="400">
        <v>62128</v>
      </c>
      <c r="G1486" s="400">
        <f t="shared" si="23"/>
        <v>100</v>
      </c>
    </row>
    <row r="1487" spans="1:7" ht="25.5">
      <c r="A1487" s="54" t="s">
        <v>1509</v>
      </c>
      <c r="B1487" s="353" t="s">
        <v>782</v>
      </c>
      <c r="C1487" s="6" t="s">
        <v>37</v>
      </c>
      <c r="D1487" s="6" t="s">
        <v>1468</v>
      </c>
      <c r="E1487" s="372">
        <v>62128</v>
      </c>
      <c r="F1487" s="400">
        <v>62128</v>
      </c>
      <c r="G1487" s="400">
        <f t="shared" si="23"/>
        <v>100</v>
      </c>
    </row>
    <row r="1488" spans="1:7">
      <c r="A1488" s="54" t="s">
        <v>278</v>
      </c>
      <c r="B1488" s="353" t="s">
        <v>782</v>
      </c>
      <c r="C1488" s="6" t="s">
        <v>37</v>
      </c>
      <c r="D1488" s="6" t="s">
        <v>1357</v>
      </c>
      <c r="E1488" s="372">
        <v>62128</v>
      </c>
      <c r="F1488" s="400">
        <v>62128</v>
      </c>
      <c r="G1488" s="400">
        <f t="shared" si="23"/>
        <v>100</v>
      </c>
    </row>
    <row r="1489" spans="1:7">
      <c r="A1489" s="54" t="s">
        <v>261</v>
      </c>
      <c r="B1489" s="353" t="s">
        <v>782</v>
      </c>
      <c r="C1489" s="6" t="s">
        <v>37</v>
      </c>
      <c r="D1489" s="6" t="s">
        <v>424</v>
      </c>
      <c r="E1489" s="372">
        <v>62128</v>
      </c>
      <c r="F1489" s="400">
        <v>62128</v>
      </c>
      <c r="G1489" s="400">
        <f t="shared" si="23"/>
        <v>100</v>
      </c>
    </row>
    <row r="1490" spans="1:7" ht="25.5">
      <c r="A1490" s="54" t="s">
        <v>1755</v>
      </c>
      <c r="B1490" s="353" t="s">
        <v>782</v>
      </c>
      <c r="C1490" s="6" t="s">
        <v>1756</v>
      </c>
      <c r="D1490" s="6" t="s">
        <v>1468</v>
      </c>
      <c r="E1490" s="372">
        <v>13232</v>
      </c>
      <c r="F1490" s="400">
        <v>13200</v>
      </c>
      <c r="G1490" s="400">
        <f t="shared" si="23"/>
        <v>99.758162031438928</v>
      </c>
    </row>
    <row r="1491" spans="1:7" ht="25.5">
      <c r="A1491" s="54" t="s">
        <v>1502</v>
      </c>
      <c r="B1491" s="353" t="s">
        <v>782</v>
      </c>
      <c r="C1491" s="6" t="s">
        <v>1503</v>
      </c>
      <c r="D1491" s="6" t="s">
        <v>1468</v>
      </c>
      <c r="E1491" s="372">
        <v>13232</v>
      </c>
      <c r="F1491" s="400">
        <v>13200</v>
      </c>
      <c r="G1491" s="400">
        <f t="shared" si="23"/>
        <v>99.758162031438928</v>
      </c>
    </row>
    <row r="1492" spans="1:7">
      <c r="A1492" s="54" t="s">
        <v>278</v>
      </c>
      <c r="B1492" s="353" t="s">
        <v>782</v>
      </c>
      <c r="C1492" s="6" t="s">
        <v>1503</v>
      </c>
      <c r="D1492" s="6" t="s">
        <v>1357</v>
      </c>
      <c r="E1492" s="372">
        <v>13232</v>
      </c>
      <c r="F1492" s="400">
        <v>13200</v>
      </c>
      <c r="G1492" s="400">
        <f t="shared" si="23"/>
        <v>99.758162031438928</v>
      </c>
    </row>
    <row r="1493" spans="1:7">
      <c r="A1493" s="54" t="s">
        <v>261</v>
      </c>
      <c r="B1493" s="353" t="s">
        <v>782</v>
      </c>
      <c r="C1493" s="6" t="s">
        <v>1503</v>
      </c>
      <c r="D1493" s="6" t="s">
        <v>424</v>
      </c>
      <c r="E1493" s="372">
        <v>13232</v>
      </c>
      <c r="F1493" s="400">
        <v>13200</v>
      </c>
      <c r="G1493" s="400">
        <f t="shared" si="23"/>
        <v>99.758162031438928</v>
      </c>
    </row>
    <row r="1494" spans="1:7" ht="63.75">
      <c r="A1494" s="54" t="s">
        <v>423</v>
      </c>
      <c r="B1494" s="353" t="s">
        <v>775</v>
      </c>
      <c r="C1494" s="6" t="s">
        <v>1468</v>
      </c>
      <c r="D1494" s="6" t="s">
        <v>1468</v>
      </c>
      <c r="E1494" s="372">
        <v>1176825</v>
      </c>
      <c r="F1494" s="400">
        <v>1009021.36</v>
      </c>
      <c r="G1494" s="400">
        <f t="shared" si="23"/>
        <v>85.740986127928963</v>
      </c>
    </row>
    <row r="1495" spans="1:7" ht="63.75">
      <c r="A1495" s="54" t="s">
        <v>1754</v>
      </c>
      <c r="B1495" s="353" t="s">
        <v>775</v>
      </c>
      <c r="C1495" s="6" t="s">
        <v>322</v>
      </c>
      <c r="D1495" s="6" t="s">
        <v>1468</v>
      </c>
      <c r="E1495" s="372">
        <v>1122845</v>
      </c>
      <c r="F1495" s="400">
        <v>960298.37</v>
      </c>
      <c r="G1495" s="400">
        <f t="shared" si="23"/>
        <v>85.523680472371524</v>
      </c>
    </row>
    <row r="1496" spans="1:7" ht="25.5">
      <c r="A1496" s="54" t="s">
        <v>1509</v>
      </c>
      <c r="B1496" s="353" t="s">
        <v>775</v>
      </c>
      <c r="C1496" s="6" t="s">
        <v>37</v>
      </c>
      <c r="D1496" s="6" t="s">
        <v>1468</v>
      </c>
      <c r="E1496" s="372">
        <v>1122845</v>
      </c>
      <c r="F1496" s="400">
        <v>960298.37</v>
      </c>
      <c r="G1496" s="400">
        <f t="shared" si="23"/>
        <v>85.523680472371524</v>
      </c>
    </row>
    <row r="1497" spans="1:7">
      <c r="A1497" s="54" t="s">
        <v>278</v>
      </c>
      <c r="B1497" s="353" t="s">
        <v>775</v>
      </c>
      <c r="C1497" s="6" t="s">
        <v>37</v>
      </c>
      <c r="D1497" s="6" t="s">
        <v>1357</v>
      </c>
      <c r="E1497" s="372">
        <v>1122845</v>
      </c>
      <c r="F1497" s="400">
        <v>960298.37</v>
      </c>
      <c r="G1497" s="400">
        <f t="shared" si="23"/>
        <v>85.523680472371524</v>
      </c>
    </row>
    <row r="1498" spans="1:7" ht="51">
      <c r="A1498" s="54" t="s">
        <v>280</v>
      </c>
      <c r="B1498" s="353" t="s">
        <v>775</v>
      </c>
      <c r="C1498" s="6" t="s">
        <v>37</v>
      </c>
      <c r="D1498" s="6" t="s">
        <v>420</v>
      </c>
      <c r="E1498" s="372">
        <v>1122845</v>
      </c>
      <c r="F1498" s="400">
        <v>960298.37</v>
      </c>
      <c r="G1498" s="400">
        <f t="shared" si="23"/>
        <v>85.523680472371524</v>
      </c>
    </row>
    <row r="1499" spans="1:7" ht="25.5">
      <c r="A1499" s="54" t="s">
        <v>1755</v>
      </c>
      <c r="B1499" s="353" t="s">
        <v>775</v>
      </c>
      <c r="C1499" s="6" t="s">
        <v>1756</v>
      </c>
      <c r="D1499" s="6" t="s">
        <v>1468</v>
      </c>
      <c r="E1499" s="372">
        <v>53980</v>
      </c>
      <c r="F1499" s="400">
        <v>48722.99</v>
      </c>
      <c r="G1499" s="400">
        <f t="shared" si="23"/>
        <v>90.261189329381253</v>
      </c>
    </row>
    <row r="1500" spans="1:7" ht="25.5">
      <c r="A1500" s="54" t="s">
        <v>1502</v>
      </c>
      <c r="B1500" s="353" t="s">
        <v>775</v>
      </c>
      <c r="C1500" s="6" t="s">
        <v>1503</v>
      </c>
      <c r="D1500" s="6" t="s">
        <v>1468</v>
      </c>
      <c r="E1500" s="372">
        <v>53980</v>
      </c>
      <c r="F1500" s="400">
        <v>48722.99</v>
      </c>
      <c r="G1500" s="400">
        <f t="shared" si="23"/>
        <v>90.261189329381253</v>
      </c>
    </row>
    <row r="1501" spans="1:7">
      <c r="A1501" s="54" t="s">
        <v>278</v>
      </c>
      <c r="B1501" s="353" t="s">
        <v>775</v>
      </c>
      <c r="C1501" s="6" t="s">
        <v>1503</v>
      </c>
      <c r="D1501" s="6" t="s">
        <v>1357</v>
      </c>
      <c r="E1501" s="372">
        <v>53980</v>
      </c>
      <c r="F1501" s="400">
        <v>48722.99</v>
      </c>
      <c r="G1501" s="400">
        <f t="shared" si="23"/>
        <v>90.261189329381253</v>
      </c>
    </row>
    <row r="1502" spans="1:7" ht="51">
      <c r="A1502" s="54" t="s">
        <v>280</v>
      </c>
      <c r="B1502" s="353" t="s">
        <v>775</v>
      </c>
      <c r="C1502" s="6" t="s">
        <v>1503</v>
      </c>
      <c r="D1502" s="6" t="s">
        <v>420</v>
      </c>
      <c r="E1502" s="372">
        <v>53980</v>
      </c>
      <c r="F1502" s="400">
        <v>48722.99</v>
      </c>
      <c r="G1502" s="400">
        <f t="shared" si="23"/>
        <v>90.261189329381253</v>
      </c>
    </row>
    <row r="1503" spans="1:7" ht="204">
      <c r="A1503" s="54" t="s">
        <v>592</v>
      </c>
      <c r="B1503" s="353" t="s">
        <v>778</v>
      </c>
      <c r="C1503" s="6" t="s">
        <v>1468</v>
      </c>
      <c r="D1503" s="6" t="s">
        <v>1468</v>
      </c>
      <c r="E1503" s="372">
        <v>609300</v>
      </c>
      <c r="F1503" s="402">
        <v>609300</v>
      </c>
      <c r="G1503" s="400">
        <f t="shared" si="23"/>
        <v>100</v>
      </c>
    </row>
    <row r="1504" spans="1:7" ht="63.75">
      <c r="A1504" s="54" t="s">
        <v>1754</v>
      </c>
      <c r="B1504" s="353" t="s">
        <v>778</v>
      </c>
      <c r="C1504" s="6" t="s">
        <v>322</v>
      </c>
      <c r="D1504" s="6" t="s">
        <v>1468</v>
      </c>
      <c r="E1504" s="372">
        <v>609300</v>
      </c>
      <c r="F1504" s="402">
        <v>609300</v>
      </c>
      <c r="G1504" s="400">
        <f t="shared" si="23"/>
        <v>100</v>
      </c>
    </row>
    <row r="1505" spans="1:7" ht="25.5">
      <c r="A1505" s="54" t="s">
        <v>1509</v>
      </c>
      <c r="B1505" s="353" t="s">
        <v>778</v>
      </c>
      <c r="C1505" s="6" t="s">
        <v>37</v>
      </c>
      <c r="D1505" s="6" t="s">
        <v>1468</v>
      </c>
      <c r="E1505" s="372">
        <v>609300</v>
      </c>
      <c r="F1505" s="402">
        <v>609300</v>
      </c>
      <c r="G1505" s="400">
        <f t="shared" si="23"/>
        <v>100</v>
      </c>
    </row>
    <row r="1506" spans="1:7">
      <c r="A1506" s="54" t="s">
        <v>278</v>
      </c>
      <c r="B1506" s="353" t="s">
        <v>778</v>
      </c>
      <c r="C1506" s="6" t="s">
        <v>37</v>
      </c>
      <c r="D1506" s="6" t="s">
        <v>1357</v>
      </c>
      <c r="E1506" s="372">
        <v>609300</v>
      </c>
      <c r="F1506" s="402">
        <v>609300</v>
      </c>
      <c r="G1506" s="400">
        <f t="shared" si="23"/>
        <v>100</v>
      </c>
    </row>
    <row r="1507" spans="1:7" ht="51">
      <c r="A1507" s="54" t="s">
        <v>280</v>
      </c>
      <c r="B1507" s="353" t="s">
        <v>778</v>
      </c>
      <c r="C1507" s="6" t="s">
        <v>37</v>
      </c>
      <c r="D1507" s="6" t="s">
        <v>420</v>
      </c>
      <c r="E1507" s="372">
        <v>609300</v>
      </c>
      <c r="F1507" s="402">
        <v>609300</v>
      </c>
      <c r="G1507" s="400">
        <f t="shared" si="23"/>
        <v>100</v>
      </c>
    </row>
    <row r="1508" spans="1:7" ht="51">
      <c r="A1508" s="54" t="s">
        <v>417</v>
      </c>
      <c r="B1508" s="6" t="s">
        <v>1149</v>
      </c>
      <c r="C1508" s="6" t="s">
        <v>1468</v>
      </c>
      <c r="D1508" s="6" t="s">
        <v>1468</v>
      </c>
      <c r="E1508" s="373">
        <v>1915178.8</v>
      </c>
      <c r="F1508" s="400">
        <v>1468116.87</v>
      </c>
      <c r="G1508" s="400">
        <f t="shared" si="23"/>
        <v>76.656909005049556</v>
      </c>
    </row>
    <row r="1509" spans="1:7" ht="51">
      <c r="A1509" s="54" t="s">
        <v>417</v>
      </c>
      <c r="B1509" s="6" t="s">
        <v>768</v>
      </c>
      <c r="C1509" s="6" t="s">
        <v>1468</v>
      </c>
      <c r="D1509" s="6" t="s">
        <v>1468</v>
      </c>
      <c r="E1509" s="373">
        <v>1915178.8</v>
      </c>
      <c r="F1509" s="400">
        <v>1468116.87</v>
      </c>
      <c r="G1509" s="400">
        <f t="shared" si="23"/>
        <v>76.656909005049556</v>
      </c>
    </row>
    <row r="1510" spans="1:7" ht="63.75">
      <c r="A1510" s="54" t="s">
        <v>1754</v>
      </c>
      <c r="B1510" s="6" t="s">
        <v>768</v>
      </c>
      <c r="C1510" s="6" t="s">
        <v>322</v>
      </c>
      <c r="D1510" s="6" t="s">
        <v>1468</v>
      </c>
      <c r="E1510" s="373">
        <v>1915178.8</v>
      </c>
      <c r="F1510" s="400">
        <v>1468116.87</v>
      </c>
      <c r="G1510" s="400">
        <f t="shared" si="23"/>
        <v>76.656909005049556</v>
      </c>
    </row>
    <row r="1511" spans="1:7" ht="25.5">
      <c r="A1511" s="54" t="s">
        <v>1509</v>
      </c>
      <c r="B1511" s="353" t="s">
        <v>768</v>
      </c>
      <c r="C1511" s="6" t="s">
        <v>37</v>
      </c>
      <c r="D1511" s="6" t="s">
        <v>1468</v>
      </c>
      <c r="E1511" s="374">
        <v>1915178.8</v>
      </c>
      <c r="F1511" s="400">
        <v>1468116.87</v>
      </c>
      <c r="G1511" s="400">
        <f t="shared" si="23"/>
        <v>76.656909005049556</v>
      </c>
    </row>
    <row r="1512" spans="1:7">
      <c r="A1512" s="54" t="s">
        <v>278</v>
      </c>
      <c r="B1512" s="353" t="s">
        <v>768</v>
      </c>
      <c r="C1512" s="6" t="s">
        <v>37</v>
      </c>
      <c r="D1512" s="6" t="s">
        <v>1357</v>
      </c>
      <c r="E1512" s="374">
        <v>1915178.8</v>
      </c>
      <c r="F1512" s="400">
        <v>1468116.87</v>
      </c>
      <c r="G1512" s="400">
        <f t="shared" si="23"/>
        <v>76.656909005049556</v>
      </c>
    </row>
    <row r="1513" spans="1:7" ht="51">
      <c r="A1513" s="54" t="s">
        <v>93</v>
      </c>
      <c r="B1513" s="353" t="s">
        <v>768</v>
      </c>
      <c r="C1513" s="6" t="s">
        <v>37</v>
      </c>
      <c r="D1513" s="6" t="s">
        <v>414</v>
      </c>
      <c r="E1513" s="374">
        <v>1915178.8</v>
      </c>
      <c r="F1513" s="400">
        <v>1468116.87</v>
      </c>
      <c r="G1513" s="400">
        <f t="shared" si="23"/>
        <v>76.656909005049556</v>
      </c>
    </row>
    <row r="1514" spans="1:7" ht="51">
      <c r="A1514" s="54" t="s">
        <v>419</v>
      </c>
      <c r="B1514" s="353" t="s">
        <v>1150</v>
      </c>
      <c r="C1514" s="6" t="s">
        <v>1468</v>
      </c>
      <c r="D1514" s="6" t="s">
        <v>1468</v>
      </c>
      <c r="E1514" s="372">
        <v>925774.33</v>
      </c>
      <c r="F1514" s="400">
        <v>922154.71</v>
      </c>
      <c r="G1514" s="400">
        <f t="shared" si="23"/>
        <v>99.609017026860101</v>
      </c>
    </row>
    <row r="1515" spans="1:7" ht="51">
      <c r="A1515" s="54" t="s">
        <v>419</v>
      </c>
      <c r="B1515" s="353" t="s">
        <v>770</v>
      </c>
      <c r="C1515" s="6" t="s">
        <v>1468</v>
      </c>
      <c r="D1515" s="6" t="s">
        <v>1468</v>
      </c>
      <c r="E1515" s="372">
        <v>925774.33</v>
      </c>
      <c r="F1515" s="400">
        <v>922154.71</v>
      </c>
      <c r="G1515" s="400">
        <f t="shared" si="23"/>
        <v>99.609017026860101</v>
      </c>
    </row>
    <row r="1516" spans="1:7" ht="63.75">
      <c r="A1516" s="54" t="s">
        <v>1754</v>
      </c>
      <c r="B1516" s="353" t="s">
        <v>770</v>
      </c>
      <c r="C1516" s="6" t="s">
        <v>322</v>
      </c>
      <c r="D1516" s="6" t="s">
        <v>1468</v>
      </c>
      <c r="E1516" s="372">
        <v>925774.33</v>
      </c>
      <c r="F1516" s="400">
        <v>922154.71</v>
      </c>
      <c r="G1516" s="400">
        <f t="shared" si="23"/>
        <v>99.609017026860101</v>
      </c>
    </row>
    <row r="1517" spans="1:7" ht="25.5">
      <c r="A1517" s="54" t="s">
        <v>1509</v>
      </c>
      <c r="B1517" s="353" t="s">
        <v>770</v>
      </c>
      <c r="C1517" s="6" t="s">
        <v>37</v>
      </c>
      <c r="D1517" s="6" t="s">
        <v>1468</v>
      </c>
      <c r="E1517" s="372">
        <v>925774.33</v>
      </c>
      <c r="F1517" s="400">
        <v>922154.71</v>
      </c>
      <c r="G1517" s="400">
        <f t="shared" si="23"/>
        <v>99.609017026860101</v>
      </c>
    </row>
    <row r="1518" spans="1:7">
      <c r="A1518" s="54" t="s">
        <v>278</v>
      </c>
      <c r="B1518" s="353" t="s">
        <v>770</v>
      </c>
      <c r="C1518" s="6" t="s">
        <v>37</v>
      </c>
      <c r="D1518" s="6" t="s">
        <v>1357</v>
      </c>
      <c r="E1518" s="372">
        <v>925774.33</v>
      </c>
      <c r="F1518" s="400">
        <v>922154.71</v>
      </c>
      <c r="G1518" s="400">
        <f t="shared" si="23"/>
        <v>99.609017026860101</v>
      </c>
    </row>
    <row r="1519" spans="1:7" ht="38.25">
      <c r="A1519" s="54" t="s">
        <v>260</v>
      </c>
      <c r="B1519" s="353" t="s">
        <v>770</v>
      </c>
      <c r="C1519" s="6" t="s">
        <v>37</v>
      </c>
      <c r="D1519" s="6" t="s">
        <v>418</v>
      </c>
      <c r="E1519" s="372">
        <v>925774.33</v>
      </c>
      <c r="F1519" s="400">
        <v>922154.71</v>
      </c>
      <c r="G1519" s="400">
        <f t="shared" si="23"/>
        <v>99.609017026860101</v>
      </c>
    </row>
    <row r="1520" spans="1:7" ht="25.5">
      <c r="A1520" s="54" t="s">
        <v>710</v>
      </c>
      <c r="B1520" s="353" t="s">
        <v>1151</v>
      </c>
      <c r="C1520" s="6" t="s">
        <v>1468</v>
      </c>
      <c r="D1520" s="6" t="s">
        <v>1468</v>
      </c>
      <c r="E1520" s="372">
        <v>16191623.789999999</v>
      </c>
      <c r="F1520" s="400">
        <v>13824213.310000001</v>
      </c>
      <c r="G1520" s="400">
        <f t="shared" si="23"/>
        <v>85.378795167769894</v>
      </c>
    </row>
    <row r="1521" spans="1:7" ht="38.25">
      <c r="A1521" s="54" t="s">
        <v>516</v>
      </c>
      <c r="B1521" s="353" t="s">
        <v>1152</v>
      </c>
      <c r="C1521" s="6" t="s">
        <v>1468</v>
      </c>
      <c r="D1521" s="6" t="s">
        <v>1468</v>
      </c>
      <c r="E1521" s="372">
        <v>2498000</v>
      </c>
      <c r="F1521" s="400">
        <v>1055424.48</v>
      </c>
      <c r="G1521" s="400">
        <f t="shared" si="23"/>
        <v>42.250779823859084</v>
      </c>
    </row>
    <row r="1522" spans="1:7" ht="38.25">
      <c r="A1522" s="54" t="s">
        <v>516</v>
      </c>
      <c r="B1522" s="353" t="s">
        <v>921</v>
      </c>
      <c r="C1522" s="6" t="s">
        <v>1468</v>
      </c>
      <c r="D1522" s="6" t="s">
        <v>1468</v>
      </c>
      <c r="E1522" s="372">
        <v>2498000</v>
      </c>
      <c r="F1522" s="400">
        <v>1055424.48</v>
      </c>
      <c r="G1522" s="400">
        <f t="shared" si="23"/>
        <v>42.250779823859084</v>
      </c>
    </row>
    <row r="1523" spans="1:7" ht="25.5">
      <c r="A1523" s="54" t="s">
        <v>1755</v>
      </c>
      <c r="B1523" s="353" t="s">
        <v>921</v>
      </c>
      <c r="C1523" s="6" t="s">
        <v>1756</v>
      </c>
      <c r="D1523" s="6" t="s">
        <v>1468</v>
      </c>
      <c r="E1523" s="372">
        <v>860620.01</v>
      </c>
      <c r="F1523" s="400">
        <v>860424.48</v>
      </c>
      <c r="G1523" s="400">
        <f t="shared" si="23"/>
        <v>99.977280333047332</v>
      </c>
    </row>
    <row r="1524" spans="1:7" ht="25.5">
      <c r="A1524" s="54" t="s">
        <v>1502</v>
      </c>
      <c r="B1524" s="353" t="s">
        <v>921</v>
      </c>
      <c r="C1524" s="6" t="s">
        <v>1503</v>
      </c>
      <c r="D1524" s="6" t="s">
        <v>1468</v>
      </c>
      <c r="E1524" s="372">
        <v>860620.01</v>
      </c>
      <c r="F1524" s="400">
        <v>860424.48</v>
      </c>
      <c r="G1524" s="400">
        <f t="shared" si="23"/>
        <v>99.977280333047332</v>
      </c>
    </row>
    <row r="1525" spans="1:7" ht="25.5">
      <c r="A1525" s="54" t="s">
        <v>282</v>
      </c>
      <c r="B1525" s="353" t="s">
        <v>921</v>
      </c>
      <c r="C1525" s="6" t="s">
        <v>1503</v>
      </c>
      <c r="D1525" s="6" t="s">
        <v>1359</v>
      </c>
      <c r="E1525" s="372">
        <v>62620.01</v>
      </c>
      <c r="F1525" s="402">
        <v>62620.01</v>
      </c>
      <c r="G1525" s="400">
        <f t="shared" si="23"/>
        <v>100</v>
      </c>
    </row>
    <row r="1526" spans="1:7" ht="38.25">
      <c r="A1526" s="54" t="s">
        <v>305</v>
      </c>
      <c r="B1526" s="353" t="s">
        <v>921</v>
      </c>
      <c r="C1526" s="6" t="s">
        <v>1503</v>
      </c>
      <c r="D1526" s="6" t="s">
        <v>428</v>
      </c>
      <c r="E1526" s="372">
        <v>62620.01</v>
      </c>
      <c r="F1526" s="402">
        <v>62620.01</v>
      </c>
      <c r="G1526" s="400">
        <f t="shared" si="23"/>
        <v>100</v>
      </c>
    </row>
    <row r="1527" spans="1:7">
      <c r="A1527" s="54" t="s">
        <v>283</v>
      </c>
      <c r="B1527" s="353" t="s">
        <v>921</v>
      </c>
      <c r="C1527" s="6" t="s">
        <v>1503</v>
      </c>
      <c r="D1527" s="6" t="s">
        <v>1363</v>
      </c>
      <c r="E1527" s="372">
        <v>798000</v>
      </c>
      <c r="F1527" s="400">
        <f>SUM(F1528:F1529)</f>
        <v>797804.47</v>
      </c>
      <c r="G1527" s="400">
        <f t="shared" si="23"/>
        <v>99.975497493734338</v>
      </c>
    </row>
    <row r="1528" spans="1:7">
      <c r="A1528" s="54" t="s">
        <v>180</v>
      </c>
      <c r="B1528" s="353" t="s">
        <v>921</v>
      </c>
      <c r="C1528" s="6" t="s">
        <v>1503</v>
      </c>
      <c r="D1528" s="6" t="s">
        <v>452</v>
      </c>
      <c r="E1528" s="372">
        <v>498000</v>
      </c>
      <c r="F1528" s="400">
        <v>497804.47</v>
      </c>
      <c r="G1528" s="400">
        <f t="shared" si="23"/>
        <v>99.960736947791162</v>
      </c>
    </row>
    <row r="1529" spans="1:7">
      <c r="A1529" s="54" t="s">
        <v>46</v>
      </c>
      <c r="B1529" s="353" t="s">
        <v>921</v>
      </c>
      <c r="C1529" s="6" t="s">
        <v>1503</v>
      </c>
      <c r="D1529" s="6" t="s">
        <v>476</v>
      </c>
      <c r="E1529" s="372">
        <v>300000</v>
      </c>
      <c r="F1529" s="400">
        <v>300000</v>
      </c>
      <c r="G1529" s="400">
        <f t="shared" si="23"/>
        <v>100</v>
      </c>
    </row>
    <row r="1530" spans="1:7">
      <c r="A1530" s="54" t="s">
        <v>1759</v>
      </c>
      <c r="B1530" s="353" t="s">
        <v>921</v>
      </c>
      <c r="C1530" s="6" t="s">
        <v>1760</v>
      </c>
      <c r="D1530" s="6" t="s">
        <v>1468</v>
      </c>
      <c r="E1530" s="372">
        <v>195000</v>
      </c>
      <c r="F1530" s="402">
        <v>195000</v>
      </c>
      <c r="G1530" s="400">
        <f t="shared" si="23"/>
        <v>100</v>
      </c>
    </row>
    <row r="1531" spans="1:7" ht="25.5">
      <c r="A1531" s="54" t="s">
        <v>1506</v>
      </c>
      <c r="B1531" s="353" t="s">
        <v>921</v>
      </c>
      <c r="C1531" s="6" t="s">
        <v>666</v>
      </c>
      <c r="D1531" s="6" t="s">
        <v>1468</v>
      </c>
      <c r="E1531" s="372">
        <v>195000</v>
      </c>
      <c r="F1531" s="402">
        <v>195000</v>
      </c>
      <c r="G1531" s="400">
        <f t="shared" si="23"/>
        <v>100</v>
      </c>
    </row>
    <row r="1532" spans="1:7">
      <c r="A1532" s="54" t="s">
        <v>174</v>
      </c>
      <c r="B1532" s="353" t="s">
        <v>921</v>
      </c>
      <c r="C1532" s="6" t="s">
        <v>666</v>
      </c>
      <c r="D1532" s="6" t="s">
        <v>1365</v>
      </c>
      <c r="E1532" s="372">
        <v>195000</v>
      </c>
      <c r="F1532" s="402">
        <v>195000</v>
      </c>
      <c r="G1532" s="400">
        <f t="shared" si="23"/>
        <v>100</v>
      </c>
    </row>
    <row r="1533" spans="1:7">
      <c r="A1533" s="54" t="s">
        <v>127</v>
      </c>
      <c r="B1533" s="353" t="s">
        <v>921</v>
      </c>
      <c r="C1533" s="6" t="s">
        <v>666</v>
      </c>
      <c r="D1533" s="6" t="s">
        <v>466</v>
      </c>
      <c r="E1533" s="372">
        <v>195000</v>
      </c>
      <c r="F1533" s="402">
        <v>195000</v>
      </c>
      <c r="G1533" s="400">
        <f t="shared" si="23"/>
        <v>100</v>
      </c>
    </row>
    <row r="1534" spans="1:7">
      <c r="A1534" s="54" t="s">
        <v>1757</v>
      </c>
      <c r="B1534" s="353" t="s">
        <v>921</v>
      </c>
      <c r="C1534" s="6" t="s">
        <v>1758</v>
      </c>
      <c r="D1534" s="6" t="s">
        <v>1468</v>
      </c>
      <c r="E1534" s="372">
        <v>1442379.99</v>
      </c>
      <c r="F1534" s="400">
        <v>0</v>
      </c>
      <c r="G1534" s="400">
        <f t="shared" si="23"/>
        <v>0</v>
      </c>
    </row>
    <row r="1535" spans="1:7">
      <c r="A1535" s="54" t="s">
        <v>517</v>
      </c>
      <c r="B1535" s="353" t="s">
        <v>921</v>
      </c>
      <c r="C1535" s="6" t="s">
        <v>518</v>
      </c>
      <c r="D1535" s="6" t="s">
        <v>1468</v>
      </c>
      <c r="E1535" s="372">
        <v>1442379.99</v>
      </c>
      <c r="F1535" s="400">
        <v>0</v>
      </c>
      <c r="G1535" s="400">
        <f t="shared" si="23"/>
        <v>0</v>
      </c>
    </row>
    <row r="1536" spans="1:7">
      <c r="A1536" s="54" t="s">
        <v>278</v>
      </c>
      <c r="B1536" s="353" t="s">
        <v>921</v>
      </c>
      <c r="C1536" s="6" t="s">
        <v>518</v>
      </c>
      <c r="D1536" s="6" t="s">
        <v>1357</v>
      </c>
      <c r="E1536" s="372">
        <v>1442379.99</v>
      </c>
      <c r="F1536" s="400">
        <v>0</v>
      </c>
      <c r="G1536" s="400">
        <f t="shared" si="23"/>
        <v>0</v>
      </c>
    </row>
    <row r="1537" spans="1:7">
      <c r="A1537" s="54" t="s">
        <v>70</v>
      </c>
      <c r="B1537" s="353" t="s">
        <v>921</v>
      </c>
      <c r="C1537" s="6" t="s">
        <v>518</v>
      </c>
      <c r="D1537" s="6" t="s">
        <v>515</v>
      </c>
      <c r="E1537" s="372">
        <v>1442379.99</v>
      </c>
      <c r="F1537" s="400">
        <v>0</v>
      </c>
      <c r="G1537" s="400">
        <f t="shared" si="23"/>
        <v>0</v>
      </c>
    </row>
    <row r="1538" spans="1:7" ht="63.75">
      <c r="A1538" s="54" t="s">
        <v>533</v>
      </c>
      <c r="B1538" s="353" t="s">
        <v>1491</v>
      </c>
      <c r="C1538" s="6" t="s">
        <v>1468</v>
      </c>
      <c r="D1538" s="6" t="s">
        <v>1468</v>
      </c>
      <c r="E1538" s="372">
        <v>19600</v>
      </c>
      <c r="F1538" s="400">
        <v>0</v>
      </c>
      <c r="G1538" s="400">
        <f t="shared" si="23"/>
        <v>0</v>
      </c>
    </row>
    <row r="1539" spans="1:7" ht="63.75">
      <c r="A1539" s="54" t="s">
        <v>533</v>
      </c>
      <c r="B1539" s="353" t="s">
        <v>779</v>
      </c>
      <c r="C1539" s="6" t="s">
        <v>1468</v>
      </c>
      <c r="D1539" s="6" t="s">
        <v>1468</v>
      </c>
      <c r="E1539" s="372">
        <v>19600</v>
      </c>
      <c r="F1539" s="400">
        <v>0</v>
      </c>
      <c r="G1539" s="400">
        <f t="shared" si="23"/>
        <v>0</v>
      </c>
    </row>
    <row r="1540" spans="1:7" ht="25.5">
      <c r="A1540" s="54" t="s">
        <v>1755</v>
      </c>
      <c r="B1540" s="353" t="s">
        <v>779</v>
      </c>
      <c r="C1540" s="6" t="s">
        <v>1756</v>
      </c>
      <c r="D1540" s="6" t="s">
        <v>1468</v>
      </c>
      <c r="E1540" s="372">
        <v>19600</v>
      </c>
      <c r="F1540" s="400">
        <v>0</v>
      </c>
      <c r="G1540" s="400">
        <f t="shared" si="23"/>
        <v>0</v>
      </c>
    </row>
    <row r="1541" spans="1:7" ht="25.5">
      <c r="A1541" s="54" t="s">
        <v>1502</v>
      </c>
      <c r="B1541" s="353" t="s">
        <v>779</v>
      </c>
      <c r="C1541" s="6" t="s">
        <v>1503</v>
      </c>
      <c r="D1541" s="6" t="s">
        <v>1468</v>
      </c>
      <c r="E1541" s="372">
        <v>19600</v>
      </c>
      <c r="F1541" s="400">
        <v>0</v>
      </c>
      <c r="G1541" s="400">
        <f t="shared" si="23"/>
        <v>0</v>
      </c>
    </row>
    <row r="1542" spans="1:7">
      <c r="A1542" s="54" t="s">
        <v>278</v>
      </c>
      <c r="B1542" s="353" t="s">
        <v>779</v>
      </c>
      <c r="C1542" s="6" t="s">
        <v>1503</v>
      </c>
      <c r="D1542" s="6" t="s">
        <v>1357</v>
      </c>
      <c r="E1542" s="372">
        <v>19600</v>
      </c>
      <c r="F1542" s="400">
        <v>0</v>
      </c>
      <c r="G1542" s="400">
        <f t="shared" si="23"/>
        <v>0</v>
      </c>
    </row>
    <row r="1543" spans="1:7">
      <c r="A1543" s="54" t="s">
        <v>1489</v>
      </c>
      <c r="B1543" s="353" t="s">
        <v>779</v>
      </c>
      <c r="C1543" s="6" t="s">
        <v>1503</v>
      </c>
      <c r="D1543" s="6" t="s">
        <v>1490</v>
      </c>
      <c r="E1543" s="372">
        <v>19600</v>
      </c>
      <c r="F1543" s="400">
        <v>0</v>
      </c>
      <c r="G1543" s="400">
        <f t="shared" si="23"/>
        <v>0</v>
      </c>
    </row>
    <row r="1544" spans="1:7" ht="38.25">
      <c r="A1544" s="54" t="s">
        <v>478</v>
      </c>
      <c r="B1544" s="353" t="s">
        <v>1153</v>
      </c>
      <c r="C1544" s="6" t="s">
        <v>1468</v>
      </c>
      <c r="D1544" s="6" t="s">
        <v>1468</v>
      </c>
      <c r="E1544" s="372">
        <v>4335128.53</v>
      </c>
      <c r="F1544" s="400">
        <v>4019000.18</v>
      </c>
      <c r="G1544" s="400">
        <f t="shared" si="23"/>
        <v>92.707751389322695</v>
      </c>
    </row>
    <row r="1545" spans="1:7" ht="38.25">
      <c r="A1545" s="54" t="s">
        <v>478</v>
      </c>
      <c r="B1545" s="353" t="s">
        <v>822</v>
      </c>
      <c r="C1545" s="6" t="s">
        <v>1468</v>
      </c>
      <c r="D1545" s="6" t="s">
        <v>1468</v>
      </c>
      <c r="E1545" s="372">
        <v>4211496.3</v>
      </c>
      <c r="F1545" s="400">
        <v>3935935.43</v>
      </c>
      <c r="G1545" s="400">
        <f t="shared" ref="G1545:G1608" si="24">F1545/E1545*100</f>
        <v>93.456936671177886</v>
      </c>
    </row>
    <row r="1546" spans="1:7" ht="63.75">
      <c r="A1546" s="54" t="s">
        <v>1754</v>
      </c>
      <c r="B1546" s="353" t="s">
        <v>822</v>
      </c>
      <c r="C1546" s="6" t="s">
        <v>322</v>
      </c>
      <c r="D1546" s="6" t="s">
        <v>1468</v>
      </c>
      <c r="E1546" s="372">
        <v>3790281.9</v>
      </c>
      <c r="F1546" s="400">
        <v>3518579.82</v>
      </c>
      <c r="G1546" s="400">
        <f t="shared" si="24"/>
        <v>92.831612867633922</v>
      </c>
    </row>
    <row r="1547" spans="1:7">
      <c r="A1547" s="54" t="s">
        <v>1487</v>
      </c>
      <c r="B1547" s="353" t="s">
        <v>822</v>
      </c>
      <c r="C1547" s="6" t="s">
        <v>165</v>
      </c>
      <c r="D1547" s="6" t="s">
        <v>1468</v>
      </c>
      <c r="E1547" s="372">
        <v>3790281.9</v>
      </c>
      <c r="F1547" s="400">
        <v>3518579.82</v>
      </c>
      <c r="G1547" s="400">
        <f t="shared" si="24"/>
        <v>92.831612867633922</v>
      </c>
    </row>
    <row r="1548" spans="1:7">
      <c r="A1548" s="54" t="s">
        <v>283</v>
      </c>
      <c r="B1548" s="353" t="s">
        <v>822</v>
      </c>
      <c r="C1548" s="6" t="s">
        <v>165</v>
      </c>
      <c r="D1548" s="6" t="s">
        <v>1363</v>
      </c>
      <c r="E1548" s="372">
        <v>3790281.9</v>
      </c>
      <c r="F1548" s="400">
        <v>3518579.82</v>
      </c>
      <c r="G1548" s="400">
        <f t="shared" si="24"/>
        <v>92.831612867633922</v>
      </c>
    </row>
    <row r="1549" spans="1:7" ht="25.5">
      <c r="A1549" s="54" t="s">
        <v>185</v>
      </c>
      <c r="B1549" s="353" t="s">
        <v>822</v>
      </c>
      <c r="C1549" s="6" t="s">
        <v>165</v>
      </c>
      <c r="D1549" s="6" t="s">
        <v>477</v>
      </c>
      <c r="E1549" s="372">
        <v>3790281.9</v>
      </c>
      <c r="F1549" s="400">
        <v>3518579.82</v>
      </c>
      <c r="G1549" s="400">
        <f t="shared" si="24"/>
        <v>92.831612867633922</v>
      </c>
    </row>
    <row r="1550" spans="1:7" ht="25.5">
      <c r="A1550" s="54" t="s">
        <v>1755</v>
      </c>
      <c r="B1550" s="353" t="s">
        <v>822</v>
      </c>
      <c r="C1550" s="6" t="s">
        <v>1756</v>
      </c>
      <c r="D1550" s="6" t="s">
        <v>1468</v>
      </c>
      <c r="E1550" s="372">
        <v>325135.87</v>
      </c>
      <c r="F1550" s="400">
        <v>321300.83</v>
      </c>
      <c r="G1550" s="400">
        <f t="shared" si="24"/>
        <v>98.820480803917448</v>
      </c>
    </row>
    <row r="1551" spans="1:7" ht="25.5">
      <c r="A1551" s="54" t="s">
        <v>1502</v>
      </c>
      <c r="B1551" s="353" t="s">
        <v>822</v>
      </c>
      <c r="C1551" s="6" t="s">
        <v>1503</v>
      </c>
      <c r="D1551" s="6" t="s">
        <v>1468</v>
      </c>
      <c r="E1551" s="372">
        <v>325135.87</v>
      </c>
      <c r="F1551" s="400">
        <v>321300.83</v>
      </c>
      <c r="G1551" s="400">
        <f t="shared" si="24"/>
        <v>98.820480803917448</v>
      </c>
    </row>
    <row r="1552" spans="1:7">
      <c r="A1552" s="54" t="s">
        <v>283</v>
      </c>
      <c r="B1552" s="353" t="s">
        <v>822</v>
      </c>
      <c r="C1552" s="6" t="s">
        <v>1503</v>
      </c>
      <c r="D1552" s="6" t="s">
        <v>1363</v>
      </c>
      <c r="E1552" s="372">
        <v>325135.87</v>
      </c>
      <c r="F1552" s="400">
        <v>321300.83</v>
      </c>
      <c r="G1552" s="400">
        <f t="shared" si="24"/>
        <v>98.820480803917448</v>
      </c>
    </row>
    <row r="1553" spans="1:7" ht="25.5">
      <c r="A1553" s="54" t="s">
        <v>185</v>
      </c>
      <c r="B1553" s="353" t="s">
        <v>822</v>
      </c>
      <c r="C1553" s="6" t="s">
        <v>1503</v>
      </c>
      <c r="D1553" s="6" t="s">
        <v>477</v>
      </c>
      <c r="E1553" s="372">
        <v>325135.87</v>
      </c>
      <c r="F1553" s="400">
        <v>321300.83</v>
      </c>
      <c r="G1553" s="400">
        <f t="shared" si="24"/>
        <v>98.820480803917448</v>
      </c>
    </row>
    <row r="1554" spans="1:7">
      <c r="A1554" s="54" t="s">
        <v>1757</v>
      </c>
      <c r="B1554" s="353" t="s">
        <v>822</v>
      </c>
      <c r="C1554" s="6" t="s">
        <v>1758</v>
      </c>
      <c r="D1554" s="6" t="s">
        <v>1468</v>
      </c>
      <c r="E1554" s="372">
        <v>96078.53</v>
      </c>
      <c r="F1554" s="400">
        <v>96054.78</v>
      </c>
      <c r="G1554" s="400">
        <f t="shared" si="24"/>
        <v>99.975280637620074</v>
      </c>
    </row>
    <row r="1555" spans="1:7">
      <c r="A1555" s="54" t="s">
        <v>1507</v>
      </c>
      <c r="B1555" s="353" t="s">
        <v>822</v>
      </c>
      <c r="C1555" s="6" t="s">
        <v>1508</v>
      </c>
      <c r="D1555" s="6" t="s">
        <v>1468</v>
      </c>
      <c r="E1555" s="372">
        <v>96078.53</v>
      </c>
      <c r="F1555" s="400">
        <v>96054.78</v>
      </c>
      <c r="G1555" s="400">
        <f t="shared" si="24"/>
        <v>99.975280637620074</v>
      </c>
    </row>
    <row r="1556" spans="1:7">
      <c r="A1556" s="54" t="s">
        <v>283</v>
      </c>
      <c r="B1556" s="353" t="s">
        <v>822</v>
      </c>
      <c r="C1556" s="6" t="s">
        <v>1508</v>
      </c>
      <c r="D1556" s="6" t="s">
        <v>1363</v>
      </c>
      <c r="E1556" s="372">
        <v>96078.53</v>
      </c>
      <c r="F1556" s="400">
        <v>96054.78</v>
      </c>
      <c r="G1556" s="400">
        <f t="shared" si="24"/>
        <v>99.975280637620074</v>
      </c>
    </row>
    <row r="1557" spans="1:7" ht="25.5">
      <c r="A1557" s="54" t="s">
        <v>185</v>
      </c>
      <c r="B1557" s="353" t="s">
        <v>822</v>
      </c>
      <c r="C1557" s="6" t="s">
        <v>1508</v>
      </c>
      <c r="D1557" s="6" t="s">
        <v>477</v>
      </c>
      <c r="E1557" s="372">
        <v>96078.53</v>
      </c>
      <c r="F1557" s="400">
        <v>96054.78</v>
      </c>
      <c r="G1557" s="400">
        <f t="shared" si="24"/>
        <v>99.975280637620074</v>
      </c>
    </row>
    <row r="1558" spans="1:7" ht="51">
      <c r="A1558" s="54" t="s">
        <v>672</v>
      </c>
      <c r="B1558" s="353" t="s">
        <v>823</v>
      </c>
      <c r="C1558" s="6" t="s">
        <v>1468</v>
      </c>
      <c r="D1558" s="6" t="s">
        <v>1468</v>
      </c>
      <c r="E1558" s="372">
        <v>46872.23</v>
      </c>
      <c r="F1558" s="400">
        <v>6304.75</v>
      </c>
      <c r="G1558" s="400">
        <f t="shared" si="24"/>
        <v>13.450928193516715</v>
      </c>
    </row>
    <row r="1559" spans="1:7" ht="63.75">
      <c r="A1559" s="54" t="s">
        <v>1754</v>
      </c>
      <c r="B1559" s="353" t="s">
        <v>823</v>
      </c>
      <c r="C1559" s="6" t="s">
        <v>322</v>
      </c>
      <c r="D1559" s="6" t="s">
        <v>1468</v>
      </c>
      <c r="E1559" s="372">
        <v>46872.23</v>
      </c>
      <c r="F1559" s="400">
        <v>6304.75</v>
      </c>
      <c r="G1559" s="400">
        <f t="shared" si="24"/>
        <v>13.450928193516715</v>
      </c>
    </row>
    <row r="1560" spans="1:7">
      <c r="A1560" s="54" t="s">
        <v>1487</v>
      </c>
      <c r="B1560" s="353" t="s">
        <v>823</v>
      </c>
      <c r="C1560" s="6" t="s">
        <v>165</v>
      </c>
      <c r="D1560" s="6" t="s">
        <v>1468</v>
      </c>
      <c r="E1560" s="372">
        <v>46872.23</v>
      </c>
      <c r="F1560" s="400">
        <v>6304.75</v>
      </c>
      <c r="G1560" s="400">
        <f t="shared" si="24"/>
        <v>13.450928193516715</v>
      </c>
    </row>
    <row r="1561" spans="1:7">
      <c r="A1561" s="54" t="s">
        <v>283</v>
      </c>
      <c r="B1561" s="353" t="s">
        <v>823</v>
      </c>
      <c r="C1561" s="6" t="s">
        <v>165</v>
      </c>
      <c r="D1561" s="6" t="s">
        <v>1363</v>
      </c>
      <c r="E1561" s="372">
        <v>46872.23</v>
      </c>
      <c r="F1561" s="400">
        <v>6304.75</v>
      </c>
      <c r="G1561" s="400">
        <f t="shared" si="24"/>
        <v>13.450928193516715</v>
      </c>
    </row>
    <row r="1562" spans="1:7" ht="25.5">
      <c r="A1562" s="54" t="s">
        <v>185</v>
      </c>
      <c r="B1562" s="353" t="s">
        <v>823</v>
      </c>
      <c r="C1562" s="6" t="s">
        <v>165</v>
      </c>
      <c r="D1562" s="6" t="s">
        <v>477</v>
      </c>
      <c r="E1562" s="372">
        <v>46872.23</v>
      </c>
      <c r="F1562" s="400">
        <v>6304.75</v>
      </c>
      <c r="G1562" s="400">
        <f t="shared" si="24"/>
        <v>13.450928193516715</v>
      </c>
    </row>
    <row r="1563" spans="1:7" ht="51">
      <c r="A1563" s="54" t="s">
        <v>2067</v>
      </c>
      <c r="B1563" s="353" t="s">
        <v>2068</v>
      </c>
      <c r="C1563" s="6" t="s">
        <v>1468</v>
      </c>
      <c r="D1563" s="6" t="s">
        <v>1468</v>
      </c>
      <c r="E1563" s="372">
        <v>76760</v>
      </c>
      <c r="F1563" s="402">
        <v>76760</v>
      </c>
      <c r="G1563" s="400">
        <f t="shared" si="24"/>
        <v>100</v>
      </c>
    </row>
    <row r="1564" spans="1:7" ht="25.5">
      <c r="A1564" s="54" t="s">
        <v>1755</v>
      </c>
      <c r="B1564" s="353" t="s">
        <v>2068</v>
      </c>
      <c r="C1564" s="6" t="s">
        <v>1756</v>
      </c>
      <c r="D1564" s="6" t="s">
        <v>1468</v>
      </c>
      <c r="E1564" s="372">
        <v>76760</v>
      </c>
      <c r="F1564" s="402">
        <v>76760</v>
      </c>
      <c r="G1564" s="400">
        <f t="shared" si="24"/>
        <v>100</v>
      </c>
    </row>
    <row r="1565" spans="1:7" ht="25.5">
      <c r="A1565" s="54" t="s">
        <v>1502</v>
      </c>
      <c r="B1565" s="353" t="s">
        <v>2068</v>
      </c>
      <c r="C1565" s="6" t="s">
        <v>1503</v>
      </c>
      <c r="D1565" s="6" t="s">
        <v>1468</v>
      </c>
      <c r="E1565" s="372">
        <v>76760</v>
      </c>
      <c r="F1565" s="402">
        <v>76760</v>
      </c>
      <c r="G1565" s="400">
        <f t="shared" si="24"/>
        <v>100</v>
      </c>
    </row>
    <row r="1566" spans="1:7">
      <c r="A1566" s="54" t="s">
        <v>283</v>
      </c>
      <c r="B1566" s="353" t="s">
        <v>2068</v>
      </c>
      <c r="C1566" s="6" t="s">
        <v>1503</v>
      </c>
      <c r="D1566" s="6" t="s">
        <v>1363</v>
      </c>
      <c r="E1566" s="372">
        <v>76760</v>
      </c>
      <c r="F1566" s="402">
        <v>76760</v>
      </c>
      <c r="G1566" s="400">
        <f t="shared" si="24"/>
        <v>100</v>
      </c>
    </row>
    <row r="1567" spans="1:7" ht="25.5">
      <c r="A1567" s="54" t="s">
        <v>185</v>
      </c>
      <c r="B1567" s="353" t="s">
        <v>2068</v>
      </c>
      <c r="C1567" s="6" t="s">
        <v>1503</v>
      </c>
      <c r="D1567" s="6" t="s">
        <v>477</v>
      </c>
      <c r="E1567" s="372">
        <v>76760</v>
      </c>
      <c r="F1567" s="402">
        <v>76760</v>
      </c>
      <c r="G1567" s="400">
        <f t="shared" si="24"/>
        <v>100</v>
      </c>
    </row>
    <row r="1568" spans="1:7" ht="51">
      <c r="A1568" s="54" t="s">
        <v>594</v>
      </c>
      <c r="B1568" s="353" t="s">
        <v>1154</v>
      </c>
      <c r="C1568" s="6" t="s">
        <v>1468</v>
      </c>
      <c r="D1568" s="6" t="s">
        <v>1468</v>
      </c>
      <c r="E1568" s="372">
        <v>60000</v>
      </c>
      <c r="F1568" s="402">
        <v>60000</v>
      </c>
      <c r="G1568" s="400">
        <f t="shared" si="24"/>
        <v>100</v>
      </c>
    </row>
    <row r="1569" spans="1:7" ht="51">
      <c r="A1569" s="54" t="s">
        <v>594</v>
      </c>
      <c r="B1569" s="353" t="s">
        <v>783</v>
      </c>
      <c r="C1569" s="6" t="s">
        <v>1468</v>
      </c>
      <c r="D1569" s="6" t="s">
        <v>1468</v>
      </c>
      <c r="E1569" s="372">
        <v>60000</v>
      </c>
      <c r="F1569" s="402">
        <v>60000</v>
      </c>
      <c r="G1569" s="400">
        <f t="shared" si="24"/>
        <v>100</v>
      </c>
    </row>
    <row r="1570" spans="1:7">
      <c r="A1570" s="54" t="s">
        <v>1759</v>
      </c>
      <c r="B1570" s="353" t="s">
        <v>783</v>
      </c>
      <c r="C1570" s="6" t="s">
        <v>1760</v>
      </c>
      <c r="D1570" s="6" t="s">
        <v>1468</v>
      </c>
      <c r="E1570" s="372">
        <v>60000</v>
      </c>
      <c r="F1570" s="402">
        <v>60000</v>
      </c>
      <c r="G1570" s="400">
        <f t="shared" si="24"/>
        <v>100</v>
      </c>
    </row>
    <row r="1571" spans="1:7" ht="25.5">
      <c r="A1571" s="54" t="s">
        <v>426</v>
      </c>
      <c r="B1571" s="353" t="s">
        <v>783</v>
      </c>
      <c r="C1571" s="6" t="s">
        <v>427</v>
      </c>
      <c r="D1571" s="6" t="s">
        <v>1468</v>
      </c>
      <c r="E1571" s="372">
        <v>60000</v>
      </c>
      <c r="F1571" s="402">
        <v>60000</v>
      </c>
      <c r="G1571" s="400">
        <f t="shared" si="24"/>
        <v>100</v>
      </c>
    </row>
    <row r="1572" spans="1:7">
      <c r="A1572" s="54" t="s">
        <v>278</v>
      </c>
      <c r="B1572" s="353" t="s">
        <v>783</v>
      </c>
      <c r="C1572" s="6" t="s">
        <v>427</v>
      </c>
      <c r="D1572" s="6" t="s">
        <v>1357</v>
      </c>
      <c r="E1572" s="372">
        <v>60000</v>
      </c>
      <c r="F1572" s="402">
        <v>60000</v>
      </c>
      <c r="G1572" s="400">
        <f t="shared" si="24"/>
        <v>100</v>
      </c>
    </row>
    <row r="1573" spans="1:7">
      <c r="A1573" s="54" t="s">
        <v>261</v>
      </c>
      <c r="B1573" s="353" t="s">
        <v>783</v>
      </c>
      <c r="C1573" s="6" t="s">
        <v>427</v>
      </c>
      <c r="D1573" s="6" t="s">
        <v>424</v>
      </c>
      <c r="E1573" s="372">
        <v>60000</v>
      </c>
      <c r="F1573" s="402">
        <v>60000</v>
      </c>
      <c r="G1573" s="400">
        <f t="shared" si="24"/>
        <v>100</v>
      </c>
    </row>
    <row r="1574" spans="1:7" ht="25.5">
      <c r="A1574" s="54" t="s">
        <v>1216</v>
      </c>
      <c r="B1574" s="353" t="s">
        <v>1217</v>
      </c>
      <c r="C1574" s="6" t="s">
        <v>1468</v>
      </c>
      <c r="D1574" s="6" t="s">
        <v>1468</v>
      </c>
      <c r="E1574" s="372">
        <v>6465100</v>
      </c>
      <c r="F1574" s="400">
        <v>6457477.9400000004</v>
      </c>
      <c r="G1574" s="400">
        <f t="shared" si="24"/>
        <v>99.88210453047904</v>
      </c>
    </row>
    <row r="1575" spans="1:7" ht="25.5">
      <c r="A1575" s="54" t="s">
        <v>1216</v>
      </c>
      <c r="B1575" s="353" t="s">
        <v>1239</v>
      </c>
      <c r="C1575" s="6" t="s">
        <v>1468</v>
      </c>
      <c r="D1575" s="6" t="s">
        <v>1468</v>
      </c>
      <c r="E1575" s="372">
        <v>6181422</v>
      </c>
      <c r="F1575" s="400">
        <v>6173810.3399999999</v>
      </c>
      <c r="G1575" s="400">
        <f t="shared" si="24"/>
        <v>99.876862314205368</v>
      </c>
    </row>
    <row r="1576" spans="1:7" ht="63.75">
      <c r="A1576" s="54" t="s">
        <v>1754</v>
      </c>
      <c r="B1576" s="353" t="s">
        <v>1239</v>
      </c>
      <c r="C1576" s="6" t="s">
        <v>322</v>
      </c>
      <c r="D1576" s="6" t="s">
        <v>1468</v>
      </c>
      <c r="E1576" s="375">
        <v>5950842</v>
      </c>
      <c r="F1576" s="400">
        <v>5946758.1500000004</v>
      </c>
      <c r="G1576" s="400">
        <f t="shared" si="24"/>
        <v>99.93137357705011</v>
      </c>
    </row>
    <row r="1577" spans="1:7" ht="25.5">
      <c r="A1577" s="54" t="s">
        <v>1509</v>
      </c>
      <c r="B1577" s="353" t="s">
        <v>1239</v>
      </c>
      <c r="C1577" s="6" t="s">
        <v>37</v>
      </c>
      <c r="D1577" s="6" t="s">
        <v>1468</v>
      </c>
      <c r="E1577" s="375">
        <v>5950842</v>
      </c>
      <c r="F1577" s="400">
        <v>5946758.1500000004</v>
      </c>
      <c r="G1577" s="400">
        <f t="shared" si="24"/>
        <v>99.93137357705011</v>
      </c>
    </row>
    <row r="1578" spans="1:7">
      <c r="A1578" s="54" t="s">
        <v>278</v>
      </c>
      <c r="B1578" s="353" t="s">
        <v>1239</v>
      </c>
      <c r="C1578" s="6" t="s">
        <v>37</v>
      </c>
      <c r="D1578" s="6" t="s">
        <v>1357</v>
      </c>
      <c r="E1578" s="375">
        <v>5950842</v>
      </c>
      <c r="F1578" s="400">
        <v>5946758.1500000004</v>
      </c>
      <c r="G1578" s="400">
        <f t="shared" si="24"/>
        <v>99.93137357705011</v>
      </c>
    </row>
    <row r="1579" spans="1:7">
      <c r="A1579" s="54" t="s">
        <v>261</v>
      </c>
      <c r="B1579" s="353" t="s">
        <v>1239</v>
      </c>
      <c r="C1579" s="6" t="s">
        <v>37</v>
      </c>
      <c r="D1579" s="6" t="s">
        <v>424</v>
      </c>
      <c r="E1579" s="375">
        <v>5950842</v>
      </c>
      <c r="F1579" s="400">
        <v>5946758.1500000004</v>
      </c>
      <c r="G1579" s="400">
        <f t="shared" si="24"/>
        <v>99.93137357705011</v>
      </c>
    </row>
    <row r="1580" spans="1:7" ht="25.5">
      <c r="A1580" s="54" t="s">
        <v>1755</v>
      </c>
      <c r="B1580" s="353" t="s">
        <v>1239</v>
      </c>
      <c r="C1580" s="6" t="s">
        <v>1756</v>
      </c>
      <c r="D1580" s="6" t="s">
        <v>1468</v>
      </c>
      <c r="E1580" s="375">
        <v>230480</v>
      </c>
      <c r="F1580" s="400">
        <v>227030.36</v>
      </c>
      <c r="G1580" s="400">
        <f t="shared" si="24"/>
        <v>98.503280111072527</v>
      </c>
    </row>
    <row r="1581" spans="1:7" ht="25.5">
      <c r="A1581" s="54" t="s">
        <v>1502</v>
      </c>
      <c r="B1581" s="353" t="s">
        <v>1239</v>
      </c>
      <c r="C1581" s="6" t="s">
        <v>1503</v>
      </c>
      <c r="D1581" s="6" t="s">
        <v>1468</v>
      </c>
      <c r="E1581" s="375">
        <v>230480</v>
      </c>
      <c r="F1581" s="400">
        <v>227030.36</v>
      </c>
      <c r="G1581" s="400">
        <f t="shared" si="24"/>
        <v>98.503280111072527</v>
      </c>
    </row>
    <row r="1582" spans="1:7">
      <c r="A1582" s="54" t="s">
        <v>278</v>
      </c>
      <c r="B1582" s="353" t="s">
        <v>1239</v>
      </c>
      <c r="C1582" s="6" t="s">
        <v>1503</v>
      </c>
      <c r="D1582" s="6" t="s">
        <v>1357</v>
      </c>
      <c r="E1582" s="375">
        <v>230480</v>
      </c>
      <c r="F1582" s="400">
        <v>227030.36</v>
      </c>
      <c r="G1582" s="400">
        <f t="shared" si="24"/>
        <v>98.503280111072527</v>
      </c>
    </row>
    <row r="1583" spans="1:7">
      <c r="A1583" s="54" t="s">
        <v>261</v>
      </c>
      <c r="B1583" s="353" t="s">
        <v>1239</v>
      </c>
      <c r="C1583" s="6" t="s">
        <v>1503</v>
      </c>
      <c r="D1583" s="6" t="s">
        <v>424</v>
      </c>
      <c r="E1583" s="375">
        <v>230480</v>
      </c>
      <c r="F1583" s="400">
        <v>227030.36</v>
      </c>
      <c r="G1583" s="400">
        <f t="shared" si="24"/>
        <v>98.503280111072527</v>
      </c>
    </row>
    <row r="1584" spans="1:7">
      <c r="A1584" s="54" t="s">
        <v>1757</v>
      </c>
      <c r="B1584" s="353" t="s">
        <v>1239</v>
      </c>
      <c r="C1584" s="6" t="s">
        <v>1758</v>
      </c>
      <c r="D1584" s="6" t="s">
        <v>1468</v>
      </c>
      <c r="E1584" s="375">
        <v>100</v>
      </c>
      <c r="F1584" s="400">
        <v>21.83</v>
      </c>
      <c r="G1584" s="400">
        <f t="shared" si="24"/>
        <v>21.83</v>
      </c>
    </row>
    <row r="1585" spans="1:7">
      <c r="A1585" s="54" t="s">
        <v>1507</v>
      </c>
      <c r="B1585" s="353" t="s">
        <v>1239</v>
      </c>
      <c r="C1585" s="6" t="s">
        <v>1508</v>
      </c>
      <c r="D1585" s="6" t="s">
        <v>1468</v>
      </c>
      <c r="E1585" s="375">
        <v>100</v>
      </c>
      <c r="F1585" s="400">
        <v>21.83</v>
      </c>
      <c r="G1585" s="400">
        <f t="shared" si="24"/>
        <v>21.83</v>
      </c>
    </row>
    <row r="1586" spans="1:7">
      <c r="A1586" s="54" t="s">
        <v>278</v>
      </c>
      <c r="B1586" s="353" t="s">
        <v>1239</v>
      </c>
      <c r="C1586" s="6" t="s">
        <v>1508</v>
      </c>
      <c r="D1586" s="6" t="s">
        <v>1357</v>
      </c>
      <c r="E1586" s="375">
        <v>100</v>
      </c>
      <c r="F1586" s="400">
        <v>21.83</v>
      </c>
      <c r="G1586" s="400">
        <f t="shared" si="24"/>
        <v>21.83</v>
      </c>
    </row>
    <row r="1587" spans="1:7">
      <c r="A1587" s="54" t="s">
        <v>261</v>
      </c>
      <c r="B1587" s="353" t="s">
        <v>1239</v>
      </c>
      <c r="C1587" s="6" t="s">
        <v>1508</v>
      </c>
      <c r="D1587" s="6" t="s">
        <v>424</v>
      </c>
      <c r="E1587" s="375">
        <v>100</v>
      </c>
      <c r="F1587" s="400">
        <v>21.83</v>
      </c>
      <c r="G1587" s="400">
        <f t="shared" si="24"/>
        <v>21.83</v>
      </c>
    </row>
    <row r="1588" spans="1:7" ht="51">
      <c r="A1588" s="54" t="s">
        <v>1367</v>
      </c>
      <c r="B1588" s="353" t="s">
        <v>1368</v>
      </c>
      <c r="C1588" s="6" t="s">
        <v>1468</v>
      </c>
      <c r="D1588" s="6" t="s">
        <v>1468</v>
      </c>
      <c r="E1588" s="375">
        <v>225438.6</v>
      </c>
      <c r="F1588" s="402">
        <v>225438.6</v>
      </c>
      <c r="G1588" s="400">
        <f t="shared" si="24"/>
        <v>100</v>
      </c>
    </row>
    <row r="1589" spans="1:7" ht="63.75">
      <c r="A1589" s="54" t="s">
        <v>1754</v>
      </c>
      <c r="B1589" s="353" t="s">
        <v>1368</v>
      </c>
      <c r="C1589" s="6" t="s">
        <v>322</v>
      </c>
      <c r="D1589" s="6" t="s">
        <v>1468</v>
      </c>
      <c r="E1589" s="375">
        <v>225438.6</v>
      </c>
      <c r="F1589" s="402">
        <v>225438.6</v>
      </c>
      <c r="G1589" s="400">
        <f t="shared" si="24"/>
        <v>100</v>
      </c>
    </row>
    <row r="1590" spans="1:7" ht="25.5">
      <c r="A1590" s="54" t="s">
        <v>1509</v>
      </c>
      <c r="B1590" s="353" t="s">
        <v>1368</v>
      </c>
      <c r="C1590" s="6" t="s">
        <v>37</v>
      </c>
      <c r="D1590" s="6" t="s">
        <v>1468</v>
      </c>
      <c r="E1590" s="375">
        <v>225438.6</v>
      </c>
      <c r="F1590" s="402">
        <v>225438.6</v>
      </c>
      <c r="G1590" s="400">
        <f t="shared" si="24"/>
        <v>100</v>
      </c>
    </row>
    <row r="1591" spans="1:7">
      <c r="A1591" s="54" t="s">
        <v>278</v>
      </c>
      <c r="B1591" s="353" t="s">
        <v>1368</v>
      </c>
      <c r="C1591" s="6" t="s">
        <v>37</v>
      </c>
      <c r="D1591" s="6" t="s">
        <v>1357</v>
      </c>
      <c r="E1591" s="375">
        <v>225438.6</v>
      </c>
      <c r="F1591" s="402">
        <v>225438.6</v>
      </c>
      <c r="G1591" s="400">
        <f t="shared" si="24"/>
        <v>100</v>
      </c>
    </row>
    <row r="1592" spans="1:7">
      <c r="A1592" s="54" t="s">
        <v>261</v>
      </c>
      <c r="B1592" s="353" t="s">
        <v>1368</v>
      </c>
      <c r="C1592" s="6" t="s">
        <v>37</v>
      </c>
      <c r="D1592" s="6" t="s">
        <v>424</v>
      </c>
      <c r="E1592" s="375">
        <v>225438.6</v>
      </c>
      <c r="F1592" s="402">
        <v>225438.6</v>
      </c>
      <c r="G1592" s="400">
        <f t="shared" si="24"/>
        <v>100</v>
      </c>
    </row>
    <row r="1593" spans="1:7" ht="38.25">
      <c r="A1593" s="54" t="s">
        <v>2000</v>
      </c>
      <c r="B1593" s="353" t="s">
        <v>2005</v>
      </c>
      <c r="C1593" s="6" t="s">
        <v>1468</v>
      </c>
      <c r="D1593" s="6" t="s">
        <v>1468</v>
      </c>
      <c r="E1593" s="375">
        <v>58239.4</v>
      </c>
      <c r="F1593" s="400">
        <v>58229</v>
      </c>
      <c r="G1593" s="400">
        <f t="shared" si="24"/>
        <v>99.982142673173144</v>
      </c>
    </row>
    <row r="1594" spans="1:7" ht="25.5">
      <c r="A1594" s="54" t="s">
        <v>1755</v>
      </c>
      <c r="B1594" s="353" t="s">
        <v>2005</v>
      </c>
      <c r="C1594" s="6" t="s">
        <v>1756</v>
      </c>
      <c r="D1594" s="6" t="s">
        <v>1468</v>
      </c>
      <c r="E1594" s="375">
        <v>58239.4</v>
      </c>
      <c r="F1594" s="400">
        <v>58229</v>
      </c>
      <c r="G1594" s="400">
        <f t="shared" si="24"/>
        <v>99.982142673173144</v>
      </c>
    </row>
    <row r="1595" spans="1:7" ht="25.5">
      <c r="A1595" s="54" t="s">
        <v>1502</v>
      </c>
      <c r="B1595" s="353" t="s">
        <v>2005</v>
      </c>
      <c r="C1595" s="6" t="s">
        <v>1503</v>
      </c>
      <c r="D1595" s="6" t="s">
        <v>1468</v>
      </c>
      <c r="E1595" s="375">
        <v>58239.4</v>
      </c>
      <c r="F1595" s="400">
        <v>58229</v>
      </c>
      <c r="G1595" s="400">
        <f t="shared" si="24"/>
        <v>99.982142673173144</v>
      </c>
    </row>
    <row r="1596" spans="1:7">
      <c r="A1596" s="54" t="s">
        <v>278</v>
      </c>
      <c r="B1596" s="353" t="s">
        <v>2005</v>
      </c>
      <c r="C1596" s="6" t="s">
        <v>1503</v>
      </c>
      <c r="D1596" s="6" t="s">
        <v>1357</v>
      </c>
      <c r="E1596" s="375">
        <v>58239.4</v>
      </c>
      <c r="F1596" s="400">
        <v>58229</v>
      </c>
      <c r="G1596" s="400">
        <f t="shared" si="24"/>
        <v>99.982142673173144</v>
      </c>
    </row>
    <row r="1597" spans="1:7">
      <c r="A1597" s="54" t="s">
        <v>261</v>
      </c>
      <c r="B1597" s="353" t="s">
        <v>2005</v>
      </c>
      <c r="C1597" s="6" t="s">
        <v>1503</v>
      </c>
      <c r="D1597" s="6" t="s">
        <v>424</v>
      </c>
      <c r="E1597" s="375">
        <v>58239.4</v>
      </c>
      <c r="F1597" s="400">
        <v>58229</v>
      </c>
      <c r="G1597" s="400">
        <f t="shared" si="24"/>
        <v>99.982142673173144</v>
      </c>
    </row>
    <row r="1598" spans="1:7" ht="25.5">
      <c r="A1598" s="54" t="s">
        <v>520</v>
      </c>
      <c r="B1598" s="353" t="s">
        <v>1155</v>
      </c>
      <c r="C1598" s="6" t="s">
        <v>1468</v>
      </c>
      <c r="D1598" s="6" t="s">
        <v>1468</v>
      </c>
      <c r="E1598" s="375">
        <v>2813795.26</v>
      </c>
      <c r="F1598" s="400">
        <v>2232310.71</v>
      </c>
      <c r="G1598" s="400">
        <f t="shared" si="24"/>
        <v>79.334510997790233</v>
      </c>
    </row>
    <row r="1599" spans="1:7" ht="51">
      <c r="A1599" s="54" t="s">
        <v>462</v>
      </c>
      <c r="B1599" s="353" t="s">
        <v>928</v>
      </c>
      <c r="C1599" s="6" t="s">
        <v>1468</v>
      </c>
      <c r="D1599" s="6" t="s">
        <v>1468</v>
      </c>
      <c r="E1599" s="375">
        <v>60600</v>
      </c>
      <c r="F1599" s="402">
        <v>60600</v>
      </c>
      <c r="G1599" s="400">
        <f t="shared" si="24"/>
        <v>100</v>
      </c>
    </row>
    <row r="1600" spans="1:7">
      <c r="A1600" s="54" t="s">
        <v>1765</v>
      </c>
      <c r="B1600" s="353" t="s">
        <v>928</v>
      </c>
      <c r="C1600" s="6" t="s">
        <v>1766</v>
      </c>
      <c r="D1600" s="6" t="s">
        <v>1468</v>
      </c>
      <c r="E1600" s="375">
        <v>60600</v>
      </c>
      <c r="F1600" s="402">
        <v>60600</v>
      </c>
      <c r="G1600" s="400">
        <f t="shared" si="24"/>
        <v>100</v>
      </c>
    </row>
    <row r="1601" spans="1:7">
      <c r="A1601" s="54" t="s">
        <v>94</v>
      </c>
      <c r="B1601" s="353" t="s">
        <v>928</v>
      </c>
      <c r="C1601" s="6" t="s">
        <v>519</v>
      </c>
      <c r="D1601" s="6" t="s">
        <v>1468</v>
      </c>
      <c r="E1601" s="375">
        <v>60600</v>
      </c>
      <c r="F1601" s="402">
        <v>60600</v>
      </c>
      <c r="G1601" s="400">
        <f t="shared" si="24"/>
        <v>100</v>
      </c>
    </row>
    <row r="1602" spans="1:7">
      <c r="A1602" s="54" t="s">
        <v>291</v>
      </c>
      <c r="B1602" s="353" t="s">
        <v>928</v>
      </c>
      <c r="C1602" s="6" t="s">
        <v>519</v>
      </c>
      <c r="D1602" s="6" t="s">
        <v>1378</v>
      </c>
      <c r="E1602" s="375">
        <v>60600</v>
      </c>
      <c r="F1602" s="402">
        <v>60600</v>
      </c>
      <c r="G1602" s="400">
        <f t="shared" si="24"/>
        <v>100</v>
      </c>
    </row>
    <row r="1603" spans="1:7">
      <c r="A1603" s="54" t="s">
        <v>1379</v>
      </c>
      <c r="B1603" s="353" t="s">
        <v>928</v>
      </c>
      <c r="C1603" s="6" t="s">
        <v>519</v>
      </c>
      <c r="D1603" s="6" t="s">
        <v>461</v>
      </c>
      <c r="E1603" s="375">
        <v>60600</v>
      </c>
      <c r="F1603" s="402">
        <v>60600</v>
      </c>
      <c r="G1603" s="400">
        <f t="shared" si="24"/>
        <v>100</v>
      </c>
    </row>
    <row r="1604" spans="1:7" ht="25.5">
      <c r="A1604" s="54" t="s">
        <v>520</v>
      </c>
      <c r="B1604" s="353" t="s">
        <v>923</v>
      </c>
      <c r="C1604" s="6" t="s">
        <v>1468</v>
      </c>
      <c r="D1604" s="6" t="s">
        <v>1468</v>
      </c>
      <c r="E1604" s="375">
        <v>361324.73</v>
      </c>
      <c r="F1604" s="400">
        <v>265634.73</v>
      </c>
      <c r="G1604" s="400">
        <f t="shared" si="24"/>
        <v>73.516897113574259</v>
      </c>
    </row>
    <row r="1605" spans="1:7" ht="25.5">
      <c r="A1605" s="54" t="s">
        <v>1755</v>
      </c>
      <c r="B1605" s="353" t="s">
        <v>923</v>
      </c>
      <c r="C1605" s="6" t="s">
        <v>1756</v>
      </c>
      <c r="D1605" s="6" t="s">
        <v>1468</v>
      </c>
      <c r="E1605" s="375">
        <v>25326.59</v>
      </c>
      <c r="F1605" s="400">
        <v>25326.59</v>
      </c>
      <c r="G1605" s="400">
        <f t="shared" si="24"/>
        <v>100</v>
      </c>
    </row>
    <row r="1606" spans="1:7" ht="25.5">
      <c r="A1606" s="54" t="s">
        <v>1502</v>
      </c>
      <c r="B1606" s="353" t="s">
        <v>923</v>
      </c>
      <c r="C1606" s="6" t="s">
        <v>1503</v>
      </c>
      <c r="D1606" s="6" t="s">
        <v>1468</v>
      </c>
      <c r="E1606" s="375">
        <v>25326.59</v>
      </c>
      <c r="F1606" s="400">
        <v>25326.59</v>
      </c>
      <c r="G1606" s="400">
        <f t="shared" si="24"/>
        <v>100</v>
      </c>
    </row>
    <row r="1607" spans="1:7">
      <c r="A1607" s="54" t="s">
        <v>283</v>
      </c>
      <c r="B1607" s="353" t="s">
        <v>923</v>
      </c>
      <c r="C1607" s="6" t="s">
        <v>1503</v>
      </c>
      <c r="D1607" s="6" t="s">
        <v>1363</v>
      </c>
      <c r="E1607" s="375">
        <v>25326.59</v>
      </c>
      <c r="F1607" s="400">
        <v>25326.59</v>
      </c>
      <c r="G1607" s="400">
        <f t="shared" si="24"/>
        <v>100</v>
      </c>
    </row>
    <row r="1608" spans="1:7">
      <c r="A1608" s="54" t="s">
        <v>180</v>
      </c>
      <c r="B1608" s="353" t="s">
        <v>923</v>
      </c>
      <c r="C1608" s="6" t="s">
        <v>1503</v>
      </c>
      <c r="D1608" s="6" t="s">
        <v>452</v>
      </c>
      <c r="E1608" s="375">
        <v>25326.59</v>
      </c>
      <c r="F1608" s="400">
        <v>25326.59</v>
      </c>
      <c r="G1608" s="400">
        <f t="shared" si="24"/>
        <v>100</v>
      </c>
    </row>
    <row r="1609" spans="1:7" ht="25.5">
      <c r="A1609" s="54" t="s">
        <v>1767</v>
      </c>
      <c r="B1609" s="353" t="s">
        <v>923</v>
      </c>
      <c r="C1609" s="6" t="s">
        <v>1768</v>
      </c>
      <c r="D1609" s="6" t="s">
        <v>1468</v>
      </c>
      <c r="E1609" s="375">
        <v>3112.33</v>
      </c>
      <c r="F1609" s="402">
        <v>3112.33</v>
      </c>
      <c r="G1609" s="400">
        <f t="shared" ref="G1609:G1647" si="25">F1609/E1609*100</f>
        <v>100</v>
      </c>
    </row>
    <row r="1610" spans="1:7">
      <c r="A1610" s="54" t="s">
        <v>527</v>
      </c>
      <c r="B1610" s="353" t="s">
        <v>923</v>
      </c>
      <c r="C1610" s="6" t="s">
        <v>528</v>
      </c>
      <c r="D1610" s="6" t="s">
        <v>1468</v>
      </c>
      <c r="E1610" s="375">
        <v>3112.33</v>
      </c>
      <c r="F1610" s="402">
        <v>3112.33</v>
      </c>
      <c r="G1610" s="400">
        <f t="shared" si="25"/>
        <v>100</v>
      </c>
    </row>
    <row r="1611" spans="1:7" ht="25.5">
      <c r="A1611" s="54" t="s">
        <v>294</v>
      </c>
      <c r="B1611" s="353" t="s">
        <v>923</v>
      </c>
      <c r="C1611" s="6" t="s">
        <v>528</v>
      </c>
      <c r="D1611" s="6" t="s">
        <v>1380</v>
      </c>
      <c r="E1611" s="375">
        <v>3112.33</v>
      </c>
      <c r="F1611" s="402">
        <v>3112.33</v>
      </c>
      <c r="G1611" s="400">
        <f t="shared" si="25"/>
        <v>100</v>
      </c>
    </row>
    <row r="1612" spans="1:7" ht="25.5">
      <c r="A1612" s="54" t="s">
        <v>295</v>
      </c>
      <c r="B1612" s="353" t="s">
        <v>923</v>
      </c>
      <c r="C1612" s="6" t="s">
        <v>528</v>
      </c>
      <c r="D1612" s="6" t="s">
        <v>526</v>
      </c>
      <c r="E1612" s="375">
        <v>3112.33</v>
      </c>
      <c r="F1612" s="402">
        <v>3112.33</v>
      </c>
      <c r="G1612" s="400">
        <f t="shared" si="25"/>
        <v>100</v>
      </c>
    </row>
    <row r="1613" spans="1:7">
      <c r="A1613" s="54" t="s">
        <v>1757</v>
      </c>
      <c r="B1613" s="353" t="s">
        <v>923</v>
      </c>
      <c r="C1613" s="6" t="s">
        <v>1758</v>
      </c>
      <c r="D1613" s="6" t="s">
        <v>1468</v>
      </c>
      <c r="E1613" s="375">
        <v>332885.81</v>
      </c>
      <c r="F1613" s="400">
        <f>F1614+F1617</f>
        <v>237195.81</v>
      </c>
      <c r="G1613" s="400">
        <f t="shared" si="25"/>
        <v>71.254407029245257</v>
      </c>
    </row>
    <row r="1614" spans="1:7">
      <c r="A1614" s="54" t="s">
        <v>1516</v>
      </c>
      <c r="B1614" s="353" t="s">
        <v>923</v>
      </c>
      <c r="C1614" s="6" t="s">
        <v>242</v>
      </c>
      <c r="D1614" s="6" t="s">
        <v>1468</v>
      </c>
      <c r="E1614" s="375">
        <v>321635.81</v>
      </c>
      <c r="F1614" s="400">
        <v>225945.81</v>
      </c>
      <c r="G1614" s="400">
        <f t="shared" si="25"/>
        <v>70.248959529724004</v>
      </c>
    </row>
    <row r="1615" spans="1:7">
      <c r="A1615" s="54" t="s">
        <v>278</v>
      </c>
      <c r="B1615" s="353" t="s">
        <v>923</v>
      </c>
      <c r="C1615" s="6" t="s">
        <v>242</v>
      </c>
      <c r="D1615" s="6" t="s">
        <v>1357</v>
      </c>
      <c r="E1615" s="375">
        <v>321635.81</v>
      </c>
      <c r="F1615" s="400">
        <v>225945.81</v>
      </c>
      <c r="G1615" s="400">
        <f t="shared" si="25"/>
        <v>70.248959529724004</v>
      </c>
    </row>
    <row r="1616" spans="1:7">
      <c r="A1616" s="54" t="s">
        <v>261</v>
      </c>
      <c r="B1616" s="353" t="s">
        <v>923</v>
      </c>
      <c r="C1616" s="6" t="s">
        <v>242</v>
      </c>
      <c r="D1616" s="6" t="s">
        <v>424</v>
      </c>
      <c r="E1616" s="375">
        <v>321635.81</v>
      </c>
      <c r="F1616" s="400">
        <v>225945.81</v>
      </c>
      <c r="G1616" s="400">
        <f t="shared" si="25"/>
        <v>70.248959529724004</v>
      </c>
    </row>
    <row r="1617" spans="1:7">
      <c r="A1617" s="54" t="s">
        <v>1507</v>
      </c>
      <c r="B1617" s="353" t="s">
        <v>923</v>
      </c>
      <c r="C1617" s="6" t="s">
        <v>1508</v>
      </c>
      <c r="D1617" s="6" t="s">
        <v>1468</v>
      </c>
      <c r="E1617" s="375">
        <v>11250</v>
      </c>
      <c r="F1617" s="402">
        <v>11250</v>
      </c>
      <c r="G1617" s="400">
        <f t="shared" si="25"/>
        <v>100</v>
      </c>
    </row>
    <row r="1618" spans="1:7">
      <c r="A1618" s="54" t="s">
        <v>278</v>
      </c>
      <c r="B1618" s="353" t="s">
        <v>923</v>
      </c>
      <c r="C1618" s="6" t="s">
        <v>1508</v>
      </c>
      <c r="D1618" s="6" t="s">
        <v>1357</v>
      </c>
      <c r="E1618" s="375">
        <v>2250</v>
      </c>
      <c r="F1618" s="402">
        <v>2250</v>
      </c>
      <c r="G1618" s="400">
        <f t="shared" si="25"/>
        <v>100</v>
      </c>
    </row>
    <row r="1619" spans="1:7">
      <c r="A1619" s="54" t="s">
        <v>261</v>
      </c>
      <c r="B1619" s="353" t="s">
        <v>923</v>
      </c>
      <c r="C1619" s="6" t="s">
        <v>1508</v>
      </c>
      <c r="D1619" s="6" t="s">
        <v>424</v>
      </c>
      <c r="E1619" s="375">
        <v>2250</v>
      </c>
      <c r="F1619" s="402">
        <v>2250</v>
      </c>
      <c r="G1619" s="400">
        <f t="shared" si="25"/>
        <v>100</v>
      </c>
    </row>
    <row r="1620" spans="1:7">
      <c r="A1620" s="54" t="s">
        <v>283</v>
      </c>
      <c r="B1620" s="353" t="s">
        <v>923</v>
      </c>
      <c r="C1620" s="6" t="s">
        <v>1508</v>
      </c>
      <c r="D1620" s="6" t="s">
        <v>1363</v>
      </c>
      <c r="E1620" s="375">
        <v>9000</v>
      </c>
      <c r="F1620" s="402">
        <v>9000</v>
      </c>
      <c r="G1620" s="400">
        <f t="shared" si="25"/>
        <v>100</v>
      </c>
    </row>
    <row r="1621" spans="1:7">
      <c r="A1621" s="54" t="s">
        <v>180</v>
      </c>
      <c r="B1621" s="353" t="s">
        <v>923</v>
      </c>
      <c r="C1621" s="6" t="s">
        <v>1508</v>
      </c>
      <c r="D1621" s="6" t="s">
        <v>452</v>
      </c>
      <c r="E1621" s="375">
        <v>9000</v>
      </c>
      <c r="F1621" s="402">
        <v>9000</v>
      </c>
      <c r="G1621" s="400">
        <f t="shared" si="25"/>
        <v>100</v>
      </c>
    </row>
    <row r="1622" spans="1:7" ht="38.25">
      <c r="A1622" s="54" t="s">
        <v>1856</v>
      </c>
      <c r="B1622" s="353" t="s">
        <v>1857</v>
      </c>
      <c r="C1622" s="6" t="s">
        <v>1468</v>
      </c>
      <c r="D1622" s="6" t="s">
        <v>1468</v>
      </c>
      <c r="E1622" s="375">
        <v>463311.01</v>
      </c>
      <c r="F1622" s="400">
        <v>458980.01</v>
      </c>
      <c r="G1622" s="400">
        <f t="shared" si="25"/>
        <v>99.06520676035737</v>
      </c>
    </row>
    <row r="1623" spans="1:7">
      <c r="A1623" s="54" t="s">
        <v>1757</v>
      </c>
      <c r="B1623" s="353" t="s">
        <v>1857</v>
      </c>
      <c r="C1623" s="6" t="s">
        <v>1758</v>
      </c>
      <c r="D1623" s="6" t="s">
        <v>1468</v>
      </c>
      <c r="E1623" s="375">
        <v>463311.01</v>
      </c>
      <c r="F1623" s="400">
        <v>458980.01</v>
      </c>
      <c r="G1623" s="400">
        <f t="shared" si="25"/>
        <v>99.06520676035737</v>
      </c>
    </row>
    <row r="1624" spans="1:7">
      <c r="A1624" s="54" t="s">
        <v>1516</v>
      </c>
      <c r="B1624" s="353" t="s">
        <v>1857</v>
      </c>
      <c r="C1624" s="6" t="s">
        <v>242</v>
      </c>
      <c r="D1624" s="6" t="s">
        <v>1468</v>
      </c>
      <c r="E1624" s="375">
        <v>463290.01</v>
      </c>
      <c r="F1624" s="400">
        <v>458980.01</v>
      </c>
      <c r="G1624" s="400">
        <f t="shared" si="25"/>
        <v>99.069697186002344</v>
      </c>
    </row>
    <row r="1625" spans="1:7">
      <c r="A1625" s="54" t="s">
        <v>218</v>
      </c>
      <c r="B1625" s="353" t="s">
        <v>1857</v>
      </c>
      <c r="C1625" s="6" t="s">
        <v>242</v>
      </c>
      <c r="D1625" s="6" t="s">
        <v>1362</v>
      </c>
      <c r="E1625" s="375">
        <v>13759.48</v>
      </c>
      <c r="F1625" s="400">
        <v>13759.48</v>
      </c>
      <c r="G1625" s="400">
        <f t="shared" si="25"/>
        <v>100</v>
      </c>
    </row>
    <row r="1626" spans="1:7">
      <c r="A1626" s="54" t="s">
        <v>179</v>
      </c>
      <c r="B1626" s="353" t="s">
        <v>1857</v>
      </c>
      <c r="C1626" s="6" t="s">
        <v>242</v>
      </c>
      <c r="D1626" s="6" t="s">
        <v>448</v>
      </c>
      <c r="E1626" s="375">
        <v>13759.48</v>
      </c>
      <c r="F1626" s="400">
        <v>13759.48</v>
      </c>
      <c r="G1626" s="400">
        <f t="shared" si="25"/>
        <v>100</v>
      </c>
    </row>
    <row r="1627" spans="1:7">
      <c r="A1627" s="54" t="s">
        <v>283</v>
      </c>
      <c r="B1627" s="353" t="s">
        <v>1857</v>
      </c>
      <c r="C1627" s="6" t="s">
        <v>242</v>
      </c>
      <c r="D1627" s="6" t="s">
        <v>1363</v>
      </c>
      <c r="E1627" s="375">
        <v>449530.53</v>
      </c>
      <c r="F1627" s="400">
        <v>445220.53</v>
      </c>
      <c r="G1627" s="400">
        <f t="shared" si="25"/>
        <v>99.041221961053466</v>
      </c>
    </row>
    <row r="1628" spans="1:7">
      <c r="A1628" s="54" t="s">
        <v>3</v>
      </c>
      <c r="B1628" s="353" t="s">
        <v>1857</v>
      </c>
      <c r="C1628" s="6" t="s">
        <v>242</v>
      </c>
      <c r="D1628" s="6" t="s">
        <v>474</v>
      </c>
      <c r="E1628" s="375">
        <v>4310</v>
      </c>
      <c r="F1628" s="400">
        <v>0</v>
      </c>
      <c r="G1628" s="400">
        <f t="shared" si="25"/>
        <v>0</v>
      </c>
    </row>
    <row r="1629" spans="1:7" ht="25.5">
      <c r="A1629" s="54" t="s">
        <v>185</v>
      </c>
      <c r="B1629" s="353" t="s">
        <v>1857</v>
      </c>
      <c r="C1629" s="6" t="s">
        <v>242</v>
      </c>
      <c r="D1629" s="6" t="s">
        <v>477</v>
      </c>
      <c r="E1629" s="375">
        <v>445220.53</v>
      </c>
      <c r="F1629" s="402">
        <v>445220.53</v>
      </c>
      <c r="G1629" s="400">
        <f t="shared" si="25"/>
        <v>100</v>
      </c>
    </row>
    <row r="1630" spans="1:7">
      <c r="A1630" s="54" t="s">
        <v>1507</v>
      </c>
      <c r="B1630" s="353" t="s">
        <v>1857</v>
      </c>
      <c r="C1630" s="6" t="s">
        <v>1508</v>
      </c>
      <c r="D1630" s="6" t="s">
        <v>1468</v>
      </c>
      <c r="E1630" s="375">
        <v>21</v>
      </c>
      <c r="F1630" s="400">
        <v>0</v>
      </c>
      <c r="G1630" s="400">
        <f t="shared" si="25"/>
        <v>0</v>
      </c>
    </row>
    <row r="1631" spans="1:7">
      <c r="A1631" s="54" t="s">
        <v>218</v>
      </c>
      <c r="B1631" s="353" t="s">
        <v>1857</v>
      </c>
      <c r="C1631" s="6" t="s">
        <v>1508</v>
      </c>
      <c r="D1631" s="6" t="s">
        <v>1362</v>
      </c>
      <c r="E1631" s="375">
        <v>21</v>
      </c>
      <c r="F1631" s="400">
        <v>0</v>
      </c>
      <c r="G1631" s="400">
        <f t="shared" si="25"/>
        <v>0</v>
      </c>
    </row>
    <row r="1632" spans="1:7">
      <c r="A1632" s="54" t="s">
        <v>179</v>
      </c>
      <c r="B1632" s="353" t="s">
        <v>1857</v>
      </c>
      <c r="C1632" s="6" t="s">
        <v>1508</v>
      </c>
      <c r="D1632" s="6" t="s">
        <v>448</v>
      </c>
      <c r="E1632" s="375">
        <v>21</v>
      </c>
      <c r="F1632" s="400">
        <v>0</v>
      </c>
      <c r="G1632" s="400">
        <f t="shared" si="25"/>
        <v>0</v>
      </c>
    </row>
    <row r="1633" spans="1:7" ht="51">
      <c r="A1633" s="54" t="s">
        <v>621</v>
      </c>
      <c r="B1633" s="353" t="s">
        <v>862</v>
      </c>
      <c r="C1633" s="6" t="s">
        <v>1468</v>
      </c>
      <c r="D1633" s="6" t="s">
        <v>1468</v>
      </c>
      <c r="E1633" s="375">
        <v>1144969.52</v>
      </c>
      <c r="F1633" s="400">
        <v>931567.05</v>
      </c>
      <c r="G1633" s="400">
        <f t="shared" si="25"/>
        <v>81.361733542042231</v>
      </c>
    </row>
    <row r="1634" spans="1:7" ht="25.5">
      <c r="A1634" s="54" t="s">
        <v>1755</v>
      </c>
      <c r="B1634" s="353" t="s">
        <v>862</v>
      </c>
      <c r="C1634" s="6" t="s">
        <v>1756</v>
      </c>
      <c r="D1634" s="6" t="s">
        <v>1468</v>
      </c>
      <c r="E1634" s="375">
        <v>1144969.52</v>
      </c>
      <c r="F1634" s="400">
        <v>931567.05</v>
      </c>
      <c r="G1634" s="400">
        <f t="shared" si="25"/>
        <v>81.361733542042231</v>
      </c>
    </row>
    <row r="1635" spans="1:7" ht="25.5">
      <c r="A1635" s="54" t="s">
        <v>1502</v>
      </c>
      <c r="B1635" s="353" t="s">
        <v>862</v>
      </c>
      <c r="C1635" s="6" t="s">
        <v>1503</v>
      </c>
      <c r="D1635" s="6" t="s">
        <v>1468</v>
      </c>
      <c r="E1635" s="375">
        <v>1144969.52</v>
      </c>
      <c r="F1635" s="400">
        <v>931567.05</v>
      </c>
      <c r="G1635" s="400">
        <f t="shared" si="25"/>
        <v>81.361733542042231</v>
      </c>
    </row>
    <row r="1636" spans="1:7">
      <c r="A1636" s="54" t="s">
        <v>278</v>
      </c>
      <c r="B1636" s="353" t="s">
        <v>862</v>
      </c>
      <c r="C1636" s="6" t="s">
        <v>1503</v>
      </c>
      <c r="D1636" s="6" t="s">
        <v>1357</v>
      </c>
      <c r="E1636" s="375">
        <v>1144969.52</v>
      </c>
      <c r="F1636" s="400">
        <v>931567.05</v>
      </c>
      <c r="G1636" s="400">
        <f t="shared" si="25"/>
        <v>81.361733542042231</v>
      </c>
    </row>
    <row r="1637" spans="1:7">
      <c r="A1637" s="54" t="s">
        <v>261</v>
      </c>
      <c r="B1637" s="353" t="s">
        <v>862</v>
      </c>
      <c r="C1637" s="6" t="s">
        <v>1503</v>
      </c>
      <c r="D1637" s="6" t="s">
        <v>424</v>
      </c>
      <c r="E1637" s="375">
        <v>1144969.52</v>
      </c>
      <c r="F1637" s="400">
        <v>931567.05</v>
      </c>
      <c r="G1637" s="400">
        <f t="shared" si="25"/>
        <v>81.361733542042231</v>
      </c>
    </row>
    <row r="1638" spans="1:7" ht="38.25">
      <c r="A1638" s="54" t="s">
        <v>492</v>
      </c>
      <c r="B1638" s="353" t="s">
        <v>863</v>
      </c>
      <c r="C1638" s="6" t="s">
        <v>1468</v>
      </c>
      <c r="D1638" s="6" t="s">
        <v>1468</v>
      </c>
      <c r="E1638" s="375">
        <v>745690</v>
      </c>
      <c r="F1638" s="400">
        <v>515528.92</v>
      </c>
      <c r="G1638" s="400">
        <f t="shared" si="25"/>
        <v>69.134482157464888</v>
      </c>
    </row>
    <row r="1639" spans="1:7" ht="25.5">
      <c r="A1639" s="54" t="s">
        <v>1755</v>
      </c>
      <c r="B1639" s="353" t="s">
        <v>863</v>
      </c>
      <c r="C1639" s="6" t="s">
        <v>1756</v>
      </c>
      <c r="D1639" s="6" t="s">
        <v>1468</v>
      </c>
      <c r="E1639" s="375">
        <v>745690</v>
      </c>
      <c r="F1639" s="400">
        <v>515528.92</v>
      </c>
      <c r="G1639" s="400">
        <f t="shared" si="25"/>
        <v>69.134482157464888</v>
      </c>
    </row>
    <row r="1640" spans="1:7" ht="25.5">
      <c r="A1640" s="54" t="s">
        <v>1502</v>
      </c>
      <c r="B1640" s="353" t="s">
        <v>863</v>
      </c>
      <c r="C1640" s="6" t="s">
        <v>1503</v>
      </c>
      <c r="D1640" s="6" t="s">
        <v>1468</v>
      </c>
      <c r="E1640" s="375">
        <v>745690</v>
      </c>
      <c r="F1640" s="400">
        <v>515528.92</v>
      </c>
      <c r="G1640" s="400">
        <f t="shared" si="25"/>
        <v>69.134482157464888</v>
      </c>
    </row>
    <row r="1641" spans="1:7">
      <c r="A1641" s="54" t="s">
        <v>218</v>
      </c>
      <c r="B1641" s="353" t="s">
        <v>863</v>
      </c>
      <c r="C1641" s="6" t="s">
        <v>1503</v>
      </c>
      <c r="D1641" s="6" t="s">
        <v>1362</v>
      </c>
      <c r="E1641" s="375">
        <v>745690</v>
      </c>
      <c r="F1641" s="400">
        <v>515528.92</v>
      </c>
      <c r="G1641" s="400">
        <f t="shared" si="25"/>
        <v>69.134482157464888</v>
      </c>
    </row>
    <row r="1642" spans="1:7">
      <c r="A1642" s="54" t="s">
        <v>179</v>
      </c>
      <c r="B1642" s="353" t="s">
        <v>863</v>
      </c>
      <c r="C1642" s="6" t="s">
        <v>1503</v>
      </c>
      <c r="D1642" s="6" t="s">
        <v>448</v>
      </c>
      <c r="E1642" s="375">
        <v>745690</v>
      </c>
      <c r="F1642" s="400">
        <v>515528.92</v>
      </c>
      <c r="G1642" s="400">
        <f t="shared" si="25"/>
        <v>69.134482157464888</v>
      </c>
    </row>
    <row r="1643" spans="1:7" ht="51">
      <c r="A1643" s="54" t="s">
        <v>808</v>
      </c>
      <c r="B1643" s="353" t="s">
        <v>809</v>
      </c>
      <c r="C1643" s="6" t="s">
        <v>1468</v>
      </c>
      <c r="D1643" s="6" t="s">
        <v>1468</v>
      </c>
      <c r="E1643" s="375">
        <v>37900</v>
      </c>
      <c r="F1643" s="400">
        <v>0</v>
      </c>
      <c r="G1643" s="400">
        <f t="shared" si="25"/>
        <v>0</v>
      </c>
    </row>
    <row r="1644" spans="1:7" ht="25.5">
      <c r="A1644" s="54" t="s">
        <v>1755</v>
      </c>
      <c r="B1644" s="353" t="s">
        <v>809</v>
      </c>
      <c r="C1644" s="6" t="s">
        <v>1756</v>
      </c>
      <c r="D1644" s="6" t="s">
        <v>1468</v>
      </c>
      <c r="E1644" s="327">
        <v>37900</v>
      </c>
      <c r="F1644" s="400">
        <v>0</v>
      </c>
      <c r="G1644" s="400">
        <f t="shared" si="25"/>
        <v>0</v>
      </c>
    </row>
    <row r="1645" spans="1:7" ht="25.5">
      <c r="A1645" s="54" t="s">
        <v>1502</v>
      </c>
      <c r="B1645" s="353" t="s">
        <v>809</v>
      </c>
      <c r="C1645" s="6" t="s">
        <v>1503</v>
      </c>
      <c r="D1645" s="6" t="s">
        <v>1468</v>
      </c>
      <c r="E1645" s="327">
        <v>37900</v>
      </c>
      <c r="F1645" s="400">
        <v>0</v>
      </c>
      <c r="G1645" s="400">
        <f t="shared" si="25"/>
        <v>0</v>
      </c>
    </row>
    <row r="1646" spans="1:7">
      <c r="A1646" s="54" t="s">
        <v>283</v>
      </c>
      <c r="B1646" s="353" t="s">
        <v>809</v>
      </c>
      <c r="C1646" s="6" t="s">
        <v>1503</v>
      </c>
      <c r="D1646" s="6" t="s">
        <v>1363</v>
      </c>
      <c r="E1646" s="327">
        <v>37900</v>
      </c>
      <c r="F1646" s="400">
        <v>0</v>
      </c>
      <c r="G1646" s="400">
        <f t="shared" si="25"/>
        <v>0</v>
      </c>
    </row>
    <row r="1647" spans="1:7">
      <c r="A1647" s="54" t="s">
        <v>180</v>
      </c>
      <c r="B1647" s="353" t="s">
        <v>809</v>
      </c>
      <c r="C1647" s="6" t="s">
        <v>1503</v>
      </c>
      <c r="D1647" s="6" t="s">
        <v>452</v>
      </c>
      <c r="E1647" s="327">
        <v>37900</v>
      </c>
      <c r="F1647" s="400">
        <v>0</v>
      </c>
      <c r="G1647" s="400">
        <f t="shared" si="25"/>
        <v>0</v>
      </c>
    </row>
  </sheetData>
  <autoFilter ref="A6:E1647">
    <filterColumn colId="1"/>
  </autoFilter>
  <mergeCells count="8">
    <mergeCell ref="F5:F6"/>
    <mergeCell ref="G5:G6"/>
    <mergeCell ref="A2:G2"/>
    <mergeCell ref="A3:G3"/>
    <mergeCell ref="A1:E1"/>
    <mergeCell ref="A5:A6"/>
    <mergeCell ref="B5:D5"/>
    <mergeCell ref="E5:E6"/>
  </mergeCells>
  <pageMargins left="0.51181102362204722" right="0.23622047244094491" top="0.19685039370078741" bottom="0.19685039370078741" header="0.15748031496062992" footer="0.15748031496062992"/>
  <pageSetup paperSize="9" scale="80" orientation="portrait" r:id="rId1"/>
</worksheet>
</file>

<file path=xl/worksheets/sheet11.xml><?xml version="1.0" encoding="utf-8"?>
<worksheet xmlns="http://schemas.openxmlformats.org/spreadsheetml/2006/main" xmlns:r="http://schemas.openxmlformats.org/officeDocument/2006/relationships">
  <sheetPr>
    <tabColor rgb="FFFF0000"/>
  </sheetPr>
  <dimension ref="A1:J1077"/>
  <sheetViews>
    <sheetView topLeftCell="A2" workbookViewId="0">
      <selection activeCell="A4" sqref="A4"/>
    </sheetView>
  </sheetViews>
  <sheetFormatPr defaultRowHeight="12.75"/>
  <cols>
    <col min="1" max="1" width="38.28515625" style="4" customWidth="1"/>
    <col min="2" max="2" width="11.5703125" style="154" customWidth="1"/>
    <col min="3" max="3" width="5.140625" style="4" customWidth="1"/>
    <col min="4" max="4" width="6.85546875" style="4" customWidth="1"/>
    <col min="5" max="5" width="15.28515625" style="4" customWidth="1"/>
    <col min="6" max="6" width="15.7109375" style="21" customWidth="1"/>
    <col min="7" max="16384" width="9.140625" style="4"/>
  </cols>
  <sheetData>
    <row r="1" spans="1:6" ht="45.75" customHeight="1">
      <c r="A1" s="442" t="str">
        <f>"Приложение №"&amp;Н2цср1&amp;"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2"/>
      <c r="C1" s="442"/>
      <c r="D1" s="442"/>
      <c r="E1" s="442"/>
      <c r="F1" s="442"/>
    </row>
    <row r="2" spans="1:6" ht="47.25" customHeight="1">
      <c r="A2" s="442" t="str">
        <f>"Приложение "&amp;Н1цср1&amp;" к решению
Богучанского районного Совета депутатов
от "&amp;Р1дата&amp;" года №"&amp;Р1номер</f>
        <v>Приложение  к решению
Богучанского районного Совета депутатов
от 2020  года №</v>
      </c>
      <c r="B2" s="442"/>
      <c r="C2" s="442"/>
      <c r="D2" s="442"/>
      <c r="E2" s="442"/>
      <c r="F2" s="442"/>
    </row>
    <row r="3" spans="1:6" ht="154.5" customHeight="1">
      <c r="A3" s="462" t="s">
        <v>2062</v>
      </c>
      <c r="B3" s="462"/>
      <c r="C3" s="462"/>
      <c r="D3" s="462"/>
      <c r="E3" s="462"/>
      <c r="F3" s="462"/>
    </row>
    <row r="4" spans="1:6">
      <c r="F4" s="10" t="s">
        <v>95</v>
      </c>
    </row>
    <row r="5" spans="1:6" ht="12.75" customHeight="1">
      <c r="A5" s="476" t="s">
        <v>1773</v>
      </c>
      <c r="B5" s="484" t="s">
        <v>212</v>
      </c>
      <c r="C5" s="489"/>
      <c r="D5" s="485"/>
      <c r="E5" s="481" t="s">
        <v>1488</v>
      </c>
      <c r="F5" s="481" t="s">
        <v>1633</v>
      </c>
    </row>
    <row r="6" spans="1:6" ht="51">
      <c r="A6" s="477"/>
      <c r="B6" s="146" t="s">
        <v>1771</v>
      </c>
      <c r="C6" s="352" t="s">
        <v>1772</v>
      </c>
      <c r="D6" s="352" t="s">
        <v>1775</v>
      </c>
      <c r="E6" s="481"/>
      <c r="F6" s="481"/>
    </row>
    <row r="7" spans="1:6" s="13" customFormat="1">
      <c r="A7" s="320" t="s">
        <v>765</v>
      </c>
      <c r="B7" s="321" t="s">
        <v>1468</v>
      </c>
      <c r="C7" s="321" t="s">
        <v>1468</v>
      </c>
      <c r="D7" s="322" t="s">
        <v>1468</v>
      </c>
      <c r="E7" s="56">
        <f>1903103151+22470000</f>
        <v>1925573151</v>
      </c>
      <c r="F7" s="56">
        <f>1882974463+45430000</f>
        <v>1928404463</v>
      </c>
    </row>
    <row r="8" spans="1:6" ht="25.5">
      <c r="A8" s="54" t="s">
        <v>535</v>
      </c>
      <c r="B8" s="140" t="s">
        <v>1105</v>
      </c>
      <c r="C8" s="139" t="s">
        <v>1468</v>
      </c>
      <c r="D8" s="139" t="s">
        <v>1468</v>
      </c>
      <c r="E8" s="217">
        <v>1199325978</v>
      </c>
      <c r="F8" s="138">
        <v>1197908578</v>
      </c>
    </row>
    <row r="9" spans="1:6" ht="38.25">
      <c r="A9" s="54" t="s">
        <v>536</v>
      </c>
      <c r="B9" s="140" t="s">
        <v>1106</v>
      </c>
      <c r="C9" s="139" t="s">
        <v>1468</v>
      </c>
      <c r="D9" s="139" t="s">
        <v>1468</v>
      </c>
      <c r="E9" s="217">
        <v>1122268017</v>
      </c>
      <c r="F9" s="138">
        <v>1122268017</v>
      </c>
    </row>
    <row r="10" spans="1:6" ht="153">
      <c r="A10" s="54" t="s">
        <v>499</v>
      </c>
      <c r="B10" s="155" t="s">
        <v>870</v>
      </c>
      <c r="C10" s="139" t="s">
        <v>1468</v>
      </c>
      <c r="D10" s="139" t="s">
        <v>1468</v>
      </c>
      <c r="E10" s="217">
        <v>69833121</v>
      </c>
      <c r="F10" s="138">
        <v>69833121</v>
      </c>
    </row>
    <row r="11" spans="1:6" ht="76.5">
      <c r="A11" s="54" t="s">
        <v>1754</v>
      </c>
      <c r="B11" s="155" t="s">
        <v>870</v>
      </c>
      <c r="C11" s="139" t="s">
        <v>322</v>
      </c>
      <c r="D11" s="140" t="s">
        <v>1468</v>
      </c>
      <c r="E11" s="217">
        <v>25231916</v>
      </c>
      <c r="F11" s="138">
        <v>25231916</v>
      </c>
    </row>
    <row r="12" spans="1:6" ht="25.5">
      <c r="A12" s="54" t="s">
        <v>1487</v>
      </c>
      <c r="B12" s="155" t="s">
        <v>870</v>
      </c>
      <c r="C12" s="139" t="s">
        <v>165</v>
      </c>
      <c r="D12" s="139" t="s">
        <v>1468</v>
      </c>
      <c r="E12" s="217">
        <v>25231916</v>
      </c>
      <c r="F12" s="138">
        <v>25231916</v>
      </c>
    </row>
    <row r="13" spans="1:6">
      <c r="A13" s="54" t="s">
        <v>173</v>
      </c>
      <c r="B13" s="155" t="s">
        <v>870</v>
      </c>
      <c r="C13" s="139" t="s">
        <v>165</v>
      </c>
      <c r="D13" s="139" t="s">
        <v>1364</v>
      </c>
      <c r="E13" s="217">
        <v>25231916</v>
      </c>
      <c r="F13" s="138">
        <v>25231916</v>
      </c>
    </row>
    <row r="14" spans="1:6">
      <c r="A14" s="54" t="s">
        <v>186</v>
      </c>
      <c r="B14" s="155" t="s">
        <v>870</v>
      </c>
      <c r="C14" s="139" t="s">
        <v>165</v>
      </c>
      <c r="D14" s="139" t="s">
        <v>497</v>
      </c>
      <c r="E14" s="217">
        <v>25231916</v>
      </c>
      <c r="F14" s="138">
        <v>25231916</v>
      </c>
    </row>
    <row r="15" spans="1:6" ht="38.25">
      <c r="A15" s="54" t="s">
        <v>1755</v>
      </c>
      <c r="B15" s="155" t="s">
        <v>870</v>
      </c>
      <c r="C15" s="139" t="s">
        <v>1756</v>
      </c>
      <c r="D15" s="139" t="s">
        <v>1468</v>
      </c>
      <c r="E15" s="217">
        <v>44508205</v>
      </c>
      <c r="F15" s="138">
        <v>44508205</v>
      </c>
    </row>
    <row r="16" spans="1:6" ht="38.25">
      <c r="A16" s="54" t="s">
        <v>1502</v>
      </c>
      <c r="B16" s="155" t="s">
        <v>870</v>
      </c>
      <c r="C16" s="139" t="s">
        <v>1503</v>
      </c>
      <c r="D16" s="139" t="s">
        <v>1468</v>
      </c>
      <c r="E16" s="217">
        <v>44508205</v>
      </c>
      <c r="F16" s="138">
        <v>44508205</v>
      </c>
    </row>
    <row r="17" spans="1:6">
      <c r="A17" s="54" t="s">
        <v>173</v>
      </c>
      <c r="B17" s="155" t="s">
        <v>870</v>
      </c>
      <c r="C17" s="139" t="s">
        <v>1503</v>
      </c>
      <c r="D17" s="140" t="s">
        <v>1364</v>
      </c>
      <c r="E17" s="217">
        <v>44508205</v>
      </c>
      <c r="F17" s="138">
        <v>44508205</v>
      </c>
    </row>
    <row r="18" spans="1:6">
      <c r="A18" s="54" t="s">
        <v>186</v>
      </c>
      <c r="B18" s="155" t="s">
        <v>870</v>
      </c>
      <c r="C18" s="139" t="s">
        <v>1503</v>
      </c>
      <c r="D18" s="139" t="s">
        <v>497</v>
      </c>
      <c r="E18" s="217">
        <v>44508205</v>
      </c>
      <c r="F18" s="138">
        <v>44508205</v>
      </c>
    </row>
    <row r="19" spans="1:6">
      <c r="A19" s="54" t="s">
        <v>1757</v>
      </c>
      <c r="B19" s="155" t="s">
        <v>870</v>
      </c>
      <c r="C19" s="139" t="s">
        <v>1758</v>
      </c>
      <c r="D19" s="139" t="s">
        <v>1468</v>
      </c>
      <c r="E19" s="217">
        <v>93000</v>
      </c>
      <c r="F19" s="138">
        <v>93000</v>
      </c>
    </row>
    <row r="20" spans="1:6">
      <c r="A20" s="54" t="s">
        <v>1507</v>
      </c>
      <c r="B20" s="155" t="s">
        <v>870</v>
      </c>
      <c r="C20" s="139" t="s">
        <v>1508</v>
      </c>
      <c r="D20" s="139" t="s">
        <v>1468</v>
      </c>
      <c r="E20" s="217">
        <v>93000</v>
      </c>
      <c r="F20" s="138">
        <v>93000</v>
      </c>
    </row>
    <row r="21" spans="1:6">
      <c r="A21" s="54" t="s">
        <v>173</v>
      </c>
      <c r="B21" s="155" t="s">
        <v>870</v>
      </c>
      <c r="C21" s="139" t="s">
        <v>1508</v>
      </c>
      <c r="D21" s="139" t="s">
        <v>1364</v>
      </c>
      <c r="E21" s="217">
        <v>93000</v>
      </c>
      <c r="F21" s="138">
        <v>93000</v>
      </c>
    </row>
    <row r="22" spans="1:6">
      <c r="A22" s="54" t="s">
        <v>186</v>
      </c>
      <c r="B22" s="155" t="s">
        <v>870</v>
      </c>
      <c r="C22" s="139" t="s">
        <v>1508</v>
      </c>
      <c r="D22" s="139" t="s">
        <v>497</v>
      </c>
      <c r="E22" s="217">
        <v>93000</v>
      </c>
      <c r="F22" s="138">
        <v>93000</v>
      </c>
    </row>
    <row r="23" spans="1:6" ht="165.75">
      <c r="A23" s="54" t="s">
        <v>502</v>
      </c>
      <c r="B23" s="155" t="s">
        <v>878</v>
      </c>
      <c r="C23" s="139" t="s">
        <v>1468</v>
      </c>
      <c r="D23" s="139" t="s">
        <v>1468</v>
      </c>
      <c r="E23" s="217">
        <v>55306926</v>
      </c>
      <c r="F23" s="138">
        <v>55306926</v>
      </c>
    </row>
    <row r="24" spans="1:6" ht="76.5">
      <c r="A24" s="54" t="s">
        <v>1754</v>
      </c>
      <c r="B24" s="155" t="s">
        <v>878</v>
      </c>
      <c r="C24" s="139" t="s">
        <v>322</v>
      </c>
      <c r="D24" s="139" t="s">
        <v>1468</v>
      </c>
      <c r="E24" s="217">
        <v>40230498</v>
      </c>
      <c r="F24" s="138">
        <v>40230498</v>
      </c>
    </row>
    <row r="25" spans="1:6" ht="25.5">
      <c r="A25" s="54" t="s">
        <v>1487</v>
      </c>
      <c r="B25" s="155" t="s">
        <v>878</v>
      </c>
      <c r="C25" s="139" t="s">
        <v>165</v>
      </c>
      <c r="D25" s="139" t="s">
        <v>1468</v>
      </c>
      <c r="E25" s="217">
        <v>40230498</v>
      </c>
      <c r="F25" s="138">
        <v>40230498</v>
      </c>
    </row>
    <row r="26" spans="1:6">
      <c r="A26" s="54" t="s">
        <v>173</v>
      </c>
      <c r="B26" s="155" t="s">
        <v>878</v>
      </c>
      <c r="C26" s="139" t="s">
        <v>165</v>
      </c>
      <c r="D26" s="139" t="s">
        <v>1364</v>
      </c>
      <c r="E26" s="217">
        <v>40230498</v>
      </c>
      <c r="F26" s="138">
        <v>40230498</v>
      </c>
    </row>
    <row r="27" spans="1:6">
      <c r="A27" s="54" t="s">
        <v>187</v>
      </c>
      <c r="B27" s="155" t="s">
        <v>878</v>
      </c>
      <c r="C27" s="139" t="s">
        <v>165</v>
      </c>
      <c r="D27" s="139" t="s">
        <v>484</v>
      </c>
      <c r="E27" s="217">
        <v>40230498</v>
      </c>
      <c r="F27" s="138">
        <v>40230498</v>
      </c>
    </row>
    <row r="28" spans="1:6" ht="38.25">
      <c r="A28" s="54" t="s">
        <v>1755</v>
      </c>
      <c r="B28" s="155" t="s">
        <v>878</v>
      </c>
      <c r="C28" s="139" t="s">
        <v>1756</v>
      </c>
      <c r="D28" s="139" t="s">
        <v>1468</v>
      </c>
      <c r="E28" s="217">
        <v>15026428</v>
      </c>
      <c r="F28" s="138">
        <v>15026428</v>
      </c>
    </row>
    <row r="29" spans="1:6" ht="38.25">
      <c r="A29" s="54" t="s">
        <v>1502</v>
      </c>
      <c r="B29" s="155" t="s">
        <v>878</v>
      </c>
      <c r="C29" s="139" t="s">
        <v>1503</v>
      </c>
      <c r="D29" s="139" t="s">
        <v>1468</v>
      </c>
      <c r="E29" s="217">
        <v>15026428</v>
      </c>
      <c r="F29" s="138">
        <v>15026428</v>
      </c>
    </row>
    <row r="30" spans="1:6">
      <c r="A30" s="54" t="s">
        <v>173</v>
      </c>
      <c r="B30" s="155" t="s">
        <v>878</v>
      </c>
      <c r="C30" s="139" t="s">
        <v>1503</v>
      </c>
      <c r="D30" s="139" t="s">
        <v>1364</v>
      </c>
      <c r="E30" s="217">
        <v>15026428</v>
      </c>
      <c r="F30" s="138">
        <v>15026428</v>
      </c>
    </row>
    <row r="31" spans="1:6">
      <c r="A31" s="54" t="s">
        <v>187</v>
      </c>
      <c r="B31" s="155" t="s">
        <v>878</v>
      </c>
      <c r="C31" s="139" t="s">
        <v>1503</v>
      </c>
      <c r="D31" s="139" t="s">
        <v>484</v>
      </c>
      <c r="E31" s="217">
        <v>15026428</v>
      </c>
      <c r="F31" s="138">
        <v>15026428</v>
      </c>
    </row>
    <row r="32" spans="1:6">
      <c r="A32" s="54" t="s">
        <v>1757</v>
      </c>
      <c r="B32" s="155" t="s">
        <v>878</v>
      </c>
      <c r="C32" s="139" t="s">
        <v>1758</v>
      </c>
      <c r="D32" s="139" t="s">
        <v>1468</v>
      </c>
      <c r="E32" s="217">
        <v>50000</v>
      </c>
      <c r="F32" s="138">
        <v>50000</v>
      </c>
    </row>
    <row r="33" spans="1:6">
      <c r="A33" s="54" t="s">
        <v>1507</v>
      </c>
      <c r="B33" s="155" t="s">
        <v>878</v>
      </c>
      <c r="C33" s="139" t="s">
        <v>1508</v>
      </c>
      <c r="D33" s="139" t="s">
        <v>1468</v>
      </c>
      <c r="E33" s="217">
        <v>50000</v>
      </c>
      <c r="F33" s="138">
        <v>50000</v>
      </c>
    </row>
    <row r="34" spans="1:6">
      <c r="A34" s="54" t="s">
        <v>173</v>
      </c>
      <c r="B34" s="155" t="s">
        <v>878</v>
      </c>
      <c r="C34" s="139" t="s">
        <v>1508</v>
      </c>
      <c r="D34" s="139" t="s">
        <v>1364</v>
      </c>
      <c r="E34" s="217">
        <v>50000</v>
      </c>
      <c r="F34" s="138">
        <v>50000</v>
      </c>
    </row>
    <row r="35" spans="1:6">
      <c r="A35" s="54" t="s">
        <v>187</v>
      </c>
      <c r="B35" s="155" t="s">
        <v>878</v>
      </c>
      <c r="C35" s="139" t="s">
        <v>1508</v>
      </c>
      <c r="D35" s="139" t="s">
        <v>484</v>
      </c>
      <c r="E35" s="217">
        <v>50000</v>
      </c>
      <c r="F35" s="138">
        <v>50000</v>
      </c>
    </row>
    <row r="36" spans="1:6" ht="153">
      <c r="A36" s="54" t="s">
        <v>503</v>
      </c>
      <c r="B36" s="155" t="s">
        <v>882</v>
      </c>
      <c r="C36" s="139" t="s">
        <v>1468</v>
      </c>
      <c r="D36" s="139" t="s">
        <v>1468</v>
      </c>
      <c r="E36" s="217">
        <v>30350679</v>
      </c>
      <c r="F36" s="138">
        <v>30350679</v>
      </c>
    </row>
    <row r="37" spans="1:6" ht="76.5">
      <c r="A37" s="54" t="s">
        <v>1754</v>
      </c>
      <c r="B37" s="155" t="s">
        <v>882</v>
      </c>
      <c r="C37" s="139" t="s">
        <v>322</v>
      </c>
      <c r="D37" s="139" t="s">
        <v>1468</v>
      </c>
      <c r="E37" s="217">
        <v>17358400</v>
      </c>
      <c r="F37" s="138">
        <v>17358400</v>
      </c>
    </row>
    <row r="38" spans="1:6" ht="25.5">
      <c r="A38" s="54" t="s">
        <v>1487</v>
      </c>
      <c r="B38" s="155" t="s">
        <v>882</v>
      </c>
      <c r="C38" s="139" t="s">
        <v>165</v>
      </c>
      <c r="D38" s="139" t="s">
        <v>1468</v>
      </c>
      <c r="E38" s="217">
        <v>17358400</v>
      </c>
      <c r="F38" s="138">
        <v>17358400</v>
      </c>
    </row>
    <row r="39" spans="1:6">
      <c r="A39" s="54" t="s">
        <v>173</v>
      </c>
      <c r="B39" s="155" t="s">
        <v>882</v>
      </c>
      <c r="C39" s="139" t="s">
        <v>165</v>
      </c>
      <c r="D39" s="139" t="s">
        <v>1364</v>
      </c>
      <c r="E39" s="217">
        <v>17358400</v>
      </c>
      <c r="F39" s="138">
        <v>17358400</v>
      </c>
    </row>
    <row r="40" spans="1:6">
      <c r="A40" s="54" t="s">
        <v>1240</v>
      </c>
      <c r="B40" s="155" t="s">
        <v>882</v>
      </c>
      <c r="C40" s="139" t="s">
        <v>165</v>
      </c>
      <c r="D40" s="139" t="s">
        <v>1241</v>
      </c>
      <c r="E40" s="217">
        <v>17358400</v>
      </c>
      <c r="F40" s="138">
        <v>17358400</v>
      </c>
    </row>
    <row r="41" spans="1:6" ht="38.25">
      <c r="A41" s="54" t="s">
        <v>1755</v>
      </c>
      <c r="B41" s="155" t="s">
        <v>882</v>
      </c>
      <c r="C41" s="140" t="s">
        <v>1756</v>
      </c>
      <c r="D41" s="140" t="s">
        <v>1468</v>
      </c>
      <c r="E41" s="217">
        <v>685000</v>
      </c>
      <c r="F41" s="138">
        <v>685000</v>
      </c>
    </row>
    <row r="42" spans="1:6" ht="38.25">
      <c r="A42" s="54" t="s">
        <v>1502</v>
      </c>
      <c r="B42" s="155" t="s">
        <v>882</v>
      </c>
      <c r="C42" s="139" t="s">
        <v>1503</v>
      </c>
      <c r="D42" s="139" t="s">
        <v>1468</v>
      </c>
      <c r="E42" s="217">
        <v>685000</v>
      </c>
      <c r="F42" s="141">
        <v>685000</v>
      </c>
    </row>
    <row r="43" spans="1:6">
      <c r="A43" s="54" t="s">
        <v>173</v>
      </c>
      <c r="B43" s="155" t="s">
        <v>882</v>
      </c>
      <c r="C43" s="139" t="s">
        <v>1503</v>
      </c>
      <c r="D43" s="139" t="s">
        <v>1364</v>
      </c>
      <c r="E43" s="217">
        <v>685000</v>
      </c>
      <c r="F43" s="141">
        <v>685000</v>
      </c>
    </row>
    <row r="44" spans="1:6">
      <c r="A44" s="54" t="s">
        <v>1240</v>
      </c>
      <c r="B44" s="155" t="s">
        <v>882</v>
      </c>
      <c r="C44" s="139" t="s">
        <v>1503</v>
      </c>
      <c r="D44" s="139" t="s">
        <v>1241</v>
      </c>
      <c r="E44" s="217">
        <v>685000</v>
      </c>
      <c r="F44" s="141">
        <v>685000</v>
      </c>
    </row>
    <row r="45" spans="1:6" ht="38.25">
      <c r="A45" s="54" t="s">
        <v>1763</v>
      </c>
      <c r="B45" s="155" t="s">
        <v>882</v>
      </c>
      <c r="C45" s="139" t="s">
        <v>1764</v>
      </c>
      <c r="D45" s="139" t="s">
        <v>1468</v>
      </c>
      <c r="E45" s="217">
        <v>12307279</v>
      </c>
      <c r="F45" s="141">
        <v>12307279</v>
      </c>
    </row>
    <row r="46" spans="1:6">
      <c r="A46" s="54" t="s">
        <v>1504</v>
      </c>
      <c r="B46" s="155" t="s">
        <v>882</v>
      </c>
      <c r="C46" s="139" t="s">
        <v>1505</v>
      </c>
      <c r="D46" s="139" t="s">
        <v>1468</v>
      </c>
      <c r="E46" s="217">
        <v>12307279</v>
      </c>
      <c r="F46" s="141">
        <v>12307279</v>
      </c>
    </row>
    <row r="47" spans="1:6">
      <c r="A47" s="54" t="s">
        <v>173</v>
      </c>
      <c r="B47" s="155" t="s">
        <v>882</v>
      </c>
      <c r="C47" s="139" t="s">
        <v>1505</v>
      </c>
      <c r="D47" s="139" t="s">
        <v>1364</v>
      </c>
      <c r="E47" s="217">
        <v>12307279</v>
      </c>
      <c r="F47" s="141">
        <v>12307279</v>
      </c>
    </row>
    <row r="48" spans="1:6">
      <c r="A48" s="54" t="s">
        <v>1240</v>
      </c>
      <c r="B48" s="155" t="s">
        <v>882</v>
      </c>
      <c r="C48" s="139" t="s">
        <v>1505</v>
      </c>
      <c r="D48" s="139" t="s">
        <v>1241</v>
      </c>
      <c r="E48" s="217">
        <v>12307279</v>
      </c>
      <c r="F48" s="141">
        <v>12307279</v>
      </c>
    </row>
    <row r="49" spans="1:6" ht="153">
      <c r="A49" s="54" t="s">
        <v>506</v>
      </c>
      <c r="B49" s="155" t="s">
        <v>895</v>
      </c>
      <c r="C49" s="139" t="s">
        <v>1468</v>
      </c>
      <c r="D49" s="139" t="s">
        <v>1468</v>
      </c>
      <c r="E49" s="217">
        <v>911400</v>
      </c>
      <c r="F49" s="141">
        <v>911400</v>
      </c>
    </row>
    <row r="50" spans="1:6" ht="38.25">
      <c r="A50" s="54" t="s">
        <v>1763</v>
      </c>
      <c r="B50" s="155" t="s">
        <v>895</v>
      </c>
      <c r="C50" s="139" t="s">
        <v>1764</v>
      </c>
      <c r="D50" s="139" t="s">
        <v>1468</v>
      </c>
      <c r="E50" s="217">
        <v>911400</v>
      </c>
      <c r="F50" s="141">
        <v>911400</v>
      </c>
    </row>
    <row r="51" spans="1:6">
      <c r="A51" s="54" t="s">
        <v>1504</v>
      </c>
      <c r="B51" s="155" t="s">
        <v>895</v>
      </c>
      <c r="C51" s="139" t="s">
        <v>1505</v>
      </c>
      <c r="D51" s="139" t="s">
        <v>1468</v>
      </c>
      <c r="E51" s="217">
        <v>911400</v>
      </c>
      <c r="F51" s="141">
        <v>911400</v>
      </c>
    </row>
    <row r="52" spans="1:6">
      <c r="A52" s="54" t="s">
        <v>173</v>
      </c>
      <c r="B52" s="155" t="s">
        <v>895</v>
      </c>
      <c r="C52" s="139" t="s">
        <v>1505</v>
      </c>
      <c r="D52" s="139" t="s">
        <v>1364</v>
      </c>
      <c r="E52" s="217">
        <v>911400</v>
      </c>
      <c r="F52" s="141">
        <v>911400</v>
      </c>
    </row>
    <row r="53" spans="1:6">
      <c r="A53" s="54" t="s">
        <v>1238</v>
      </c>
      <c r="B53" s="155" t="s">
        <v>895</v>
      </c>
      <c r="C53" s="139" t="s">
        <v>1505</v>
      </c>
      <c r="D53" s="139" t="s">
        <v>453</v>
      </c>
      <c r="E53" s="217">
        <v>911400</v>
      </c>
      <c r="F53" s="141">
        <v>911400</v>
      </c>
    </row>
    <row r="54" spans="1:6" ht="204">
      <c r="A54" s="54" t="s">
        <v>681</v>
      </c>
      <c r="B54" s="155" t="s">
        <v>871</v>
      </c>
      <c r="C54" s="139" t="s">
        <v>1468</v>
      </c>
      <c r="D54" s="139" t="s">
        <v>1468</v>
      </c>
      <c r="E54" s="217">
        <v>34384501</v>
      </c>
      <c r="F54" s="141">
        <v>34384501</v>
      </c>
    </row>
    <row r="55" spans="1:6" ht="76.5">
      <c r="A55" s="54" t="s">
        <v>1754</v>
      </c>
      <c r="B55" s="155" t="s">
        <v>871</v>
      </c>
      <c r="C55" s="139" t="s">
        <v>322</v>
      </c>
      <c r="D55" s="139" t="s">
        <v>1468</v>
      </c>
      <c r="E55" s="217">
        <v>34384501</v>
      </c>
      <c r="F55" s="141">
        <v>34384501</v>
      </c>
    </row>
    <row r="56" spans="1:6" ht="25.5">
      <c r="A56" s="54" t="s">
        <v>1487</v>
      </c>
      <c r="B56" s="155" t="s">
        <v>871</v>
      </c>
      <c r="C56" s="139" t="s">
        <v>165</v>
      </c>
      <c r="D56" s="139" t="s">
        <v>1468</v>
      </c>
      <c r="E56" s="217">
        <v>34384501</v>
      </c>
      <c r="F56" s="141">
        <v>34384501</v>
      </c>
    </row>
    <row r="57" spans="1:6">
      <c r="A57" s="54" t="s">
        <v>173</v>
      </c>
      <c r="B57" s="155" t="s">
        <v>871</v>
      </c>
      <c r="C57" s="139" t="s">
        <v>165</v>
      </c>
      <c r="D57" s="139" t="s">
        <v>1364</v>
      </c>
      <c r="E57" s="217">
        <v>34384501</v>
      </c>
      <c r="F57" s="141">
        <v>34384501</v>
      </c>
    </row>
    <row r="58" spans="1:6">
      <c r="A58" s="54" t="s">
        <v>186</v>
      </c>
      <c r="B58" s="155" t="s">
        <v>871</v>
      </c>
      <c r="C58" s="139" t="s">
        <v>165</v>
      </c>
      <c r="D58" s="139" t="s">
        <v>497</v>
      </c>
      <c r="E58" s="217">
        <v>34384501</v>
      </c>
      <c r="F58" s="141">
        <v>34384501</v>
      </c>
    </row>
    <row r="59" spans="1:6" ht="216.75">
      <c r="A59" s="54" t="s">
        <v>504</v>
      </c>
      <c r="B59" s="155" t="s">
        <v>879</v>
      </c>
      <c r="C59" s="139" t="s">
        <v>1468</v>
      </c>
      <c r="D59" s="139" t="s">
        <v>1468</v>
      </c>
      <c r="E59" s="217">
        <v>44634389</v>
      </c>
      <c r="F59" s="141">
        <v>44634389</v>
      </c>
    </row>
    <row r="60" spans="1:6" ht="76.5">
      <c r="A60" s="54" t="s">
        <v>1754</v>
      </c>
      <c r="B60" s="155" t="s">
        <v>879</v>
      </c>
      <c r="C60" s="139" t="s">
        <v>322</v>
      </c>
      <c r="D60" s="139" t="s">
        <v>1468</v>
      </c>
      <c r="E60" s="217">
        <v>44634389</v>
      </c>
      <c r="F60" s="141">
        <v>44634389</v>
      </c>
    </row>
    <row r="61" spans="1:6" ht="25.5">
      <c r="A61" s="54" t="s">
        <v>1487</v>
      </c>
      <c r="B61" s="155" t="s">
        <v>879</v>
      </c>
      <c r="C61" s="139" t="s">
        <v>165</v>
      </c>
      <c r="D61" s="139" t="s">
        <v>1468</v>
      </c>
      <c r="E61" s="217">
        <v>44634389</v>
      </c>
      <c r="F61" s="141">
        <v>44634389</v>
      </c>
    </row>
    <row r="62" spans="1:6">
      <c r="A62" s="54" t="s">
        <v>173</v>
      </c>
      <c r="B62" s="155" t="s">
        <v>879</v>
      </c>
      <c r="C62" s="139" t="s">
        <v>165</v>
      </c>
      <c r="D62" s="139" t="s">
        <v>1364</v>
      </c>
      <c r="E62" s="217">
        <v>44634389</v>
      </c>
      <c r="F62" s="141">
        <v>44634389</v>
      </c>
    </row>
    <row r="63" spans="1:6">
      <c r="A63" s="54" t="s">
        <v>187</v>
      </c>
      <c r="B63" s="155" t="s">
        <v>879</v>
      </c>
      <c r="C63" s="139" t="s">
        <v>165</v>
      </c>
      <c r="D63" s="139" t="s">
        <v>484</v>
      </c>
      <c r="E63" s="217">
        <v>44634389</v>
      </c>
      <c r="F63" s="141">
        <v>44634389</v>
      </c>
    </row>
    <row r="64" spans="1:6" ht="204">
      <c r="A64" s="54" t="s">
        <v>685</v>
      </c>
      <c r="B64" s="155" t="s">
        <v>883</v>
      </c>
      <c r="C64" s="139" t="s">
        <v>1468</v>
      </c>
      <c r="D64" s="139" t="s">
        <v>1468</v>
      </c>
      <c r="E64" s="217">
        <v>3613400</v>
      </c>
      <c r="F64" s="141">
        <v>3613400</v>
      </c>
    </row>
    <row r="65" spans="1:6" ht="76.5">
      <c r="A65" s="54" t="s">
        <v>1754</v>
      </c>
      <c r="B65" s="155" t="s">
        <v>883</v>
      </c>
      <c r="C65" s="139" t="s">
        <v>322</v>
      </c>
      <c r="D65" s="139" t="s">
        <v>1468</v>
      </c>
      <c r="E65" s="217">
        <v>2213400</v>
      </c>
      <c r="F65" s="141">
        <v>2213400</v>
      </c>
    </row>
    <row r="66" spans="1:6" ht="25.5">
      <c r="A66" s="54" t="s">
        <v>1487</v>
      </c>
      <c r="B66" s="155" t="s">
        <v>883</v>
      </c>
      <c r="C66" s="139" t="s">
        <v>165</v>
      </c>
      <c r="D66" s="139" t="s">
        <v>1468</v>
      </c>
      <c r="E66" s="217">
        <v>2213400</v>
      </c>
      <c r="F66" s="141">
        <v>2213400</v>
      </c>
    </row>
    <row r="67" spans="1:6">
      <c r="A67" s="54" t="s">
        <v>173</v>
      </c>
      <c r="B67" s="155" t="s">
        <v>883</v>
      </c>
      <c r="C67" s="139" t="s">
        <v>165</v>
      </c>
      <c r="D67" s="139" t="s">
        <v>1364</v>
      </c>
      <c r="E67" s="217">
        <v>2213400</v>
      </c>
      <c r="F67" s="141">
        <v>2213400</v>
      </c>
    </row>
    <row r="68" spans="1:6">
      <c r="A68" s="54" t="s">
        <v>1240</v>
      </c>
      <c r="B68" s="155" t="s">
        <v>883</v>
      </c>
      <c r="C68" s="139" t="s">
        <v>165</v>
      </c>
      <c r="D68" s="139" t="s">
        <v>1241</v>
      </c>
      <c r="E68" s="217">
        <v>2213400</v>
      </c>
      <c r="F68" s="141">
        <v>2213400</v>
      </c>
    </row>
    <row r="69" spans="1:6" ht="38.25">
      <c r="A69" s="54" t="s">
        <v>1763</v>
      </c>
      <c r="B69" s="155" t="s">
        <v>883</v>
      </c>
      <c r="C69" s="139" t="s">
        <v>1764</v>
      </c>
      <c r="D69" s="139" t="s">
        <v>1468</v>
      </c>
      <c r="E69" s="217">
        <v>1400000</v>
      </c>
      <c r="F69" s="141">
        <v>1400000</v>
      </c>
    </row>
    <row r="70" spans="1:6">
      <c r="A70" s="54" t="s">
        <v>1504</v>
      </c>
      <c r="B70" s="155" t="s">
        <v>883</v>
      </c>
      <c r="C70" s="139" t="s">
        <v>1505</v>
      </c>
      <c r="D70" s="139" t="s">
        <v>1468</v>
      </c>
      <c r="E70" s="217">
        <v>1400000</v>
      </c>
      <c r="F70" s="141">
        <v>1400000</v>
      </c>
    </row>
    <row r="71" spans="1:6">
      <c r="A71" s="54" t="s">
        <v>173</v>
      </c>
      <c r="B71" s="155" t="s">
        <v>883</v>
      </c>
      <c r="C71" s="139" t="s">
        <v>1505</v>
      </c>
      <c r="D71" s="139" t="s">
        <v>1364</v>
      </c>
      <c r="E71" s="217">
        <v>1400000</v>
      </c>
      <c r="F71" s="141">
        <v>1400000</v>
      </c>
    </row>
    <row r="72" spans="1:6">
      <c r="A72" s="54" t="s">
        <v>1240</v>
      </c>
      <c r="B72" s="155" t="s">
        <v>883</v>
      </c>
      <c r="C72" s="139" t="s">
        <v>1505</v>
      </c>
      <c r="D72" s="139" t="s">
        <v>1241</v>
      </c>
      <c r="E72" s="217">
        <v>1400000</v>
      </c>
      <c r="F72" s="141">
        <v>1400000</v>
      </c>
    </row>
    <row r="73" spans="1:6" ht="204">
      <c r="A73" s="54" t="s">
        <v>507</v>
      </c>
      <c r="B73" s="155" t="s">
        <v>896</v>
      </c>
      <c r="C73" s="139" t="s">
        <v>1468</v>
      </c>
      <c r="D73" s="139" t="s">
        <v>1468</v>
      </c>
      <c r="E73" s="217">
        <v>1000000</v>
      </c>
      <c r="F73" s="141">
        <v>1000000</v>
      </c>
    </row>
    <row r="74" spans="1:6" ht="38.25">
      <c r="A74" s="54" t="s">
        <v>1763</v>
      </c>
      <c r="B74" s="155" t="s">
        <v>896</v>
      </c>
      <c r="C74" s="139" t="s">
        <v>1764</v>
      </c>
      <c r="D74" s="139" t="s">
        <v>1468</v>
      </c>
      <c r="E74" s="217">
        <v>1000000</v>
      </c>
      <c r="F74" s="141">
        <v>1000000</v>
      </c>
    </row>
    <row r="75" spans="1:6">
      <c r="A75" s="54" t="s">
        <v>1504</v>
      </c>
      <c r="B75" s="155" t="s">
        <v>896</v>
      </c>
      <c r="C75" s="139" t="s">
        <v>1505</v>
      </c>
      <c r="D75" s="139" t="s">
        <v>1468</v>
      </c>
      <c r="E75" s="217">
        <v>1000000</v>
      </c>
      <c r="F75" s="141">
        <v>1000000</v>
      </c>
    </row>
    <row r="76" spans="1:6">
      <c r="A76" s="54" t="s">
        <v>173</v>
      </c>
      <c r="B76" s="155" t="s">
        <v>896</v>
      </c>
      <c r="C76" s="139" t="s">
        <v>1505</v>
      </c>
      <c r="D76" s="139" t="s">
        <v>1364</v>
      </c>
      <c r="E76" s="217">
        <v>1000000</v>
      </c>
      <c r="F76" s="141">
        <v>1000000</v>
      </c>
    </row>
    <row r="77" spans="1:6">
      <c r="A77" s="54" t="s">
        <v>1238</v>
      </c>
      <c r="B77" s="155" t="s">
        <v>896</v>
      </c>
      <c r="C77" s="139" t="s">
        <v>1505</v>
      </c>
      <c r="D77" s="139" t="s">
        <v>453</v>
      </c>
      <c r="E77" s="217">
        <v>1000000</v>
      </c>
      <c r="F77" s="141">
        <v>1000000</v>
      </c>
    </row>
    <row r="78" spans="1:6" ht="191.25">
      <c r="A78" s="54" t="s">
        <v>624</v>
      </c>
      <c r="B78" s="155" t="s">
        <v>885</v>
      </c>
      <c r="C78" s="139" t="s">
        <v>1468</v>
      </c>
      <c r="D78" s="139" t="s">
        <v>1468</v>
      </c>
      <c r="E78" s="217">
        <v>1800000</v>
      </c>
      <c r="F78" s="141">
        <v>1800000</v>
      </c>
    </row>
    <row r="79" spans="1:6" ht="76.5">
      <c r="A79" s="54" t="s">
        <v>1754</v>
      </c>
      <c r="B79" s="155" t="s">
        <v>885</v>
      </c>
      <c r="C79" s="139" t="s">
        <v>322</v>
      </c>
      <c r="D79" s="139" t="s">
        <v>1468</v>
      </c>
      <c r="E79" s="217">
        <v>678000</v>
      </c>
      <c r="F79" s="141">
        <v>678000</v>
      </c>
    </row>
    <row r="80" spans="1:6" ht="25.5">
      <c r="A80" s="54" t="s">
        <v>1487</v>
      </c>
      <c r="B80" s="155" t="s">
        <v>885</v>
      </c>
      <c r="C80" s="139" t="s">
        <v>165</v>
      </c>
      <c r="D80" s="139" t="s">
        <v>1468</v>
      </c>
      <c r="E80" s="217">
        <v>678000</v>
      </c>
      <c r="F80" s="141">
        <v>678000</v>
      </c>
    </row>
    <row r="81" spans="1:6">
      <c r="A81" s="54" t="s">
        <v>173</v>
      </c>
      <c r="B81" s="155" t="s">
        <v>885</v>
      </c>
      <c r="C81" s="139" t="s">
        <v>165</v>
      </c>
      <c r="D81" s="139" t="s">
        <v>1364</v>
      </c>
      <c r="E81" s="217">
        <v>678000</v>
      </c>
      <c r="F81" s="141">
        <v>678000</v>
      </c>
    </row>
    <row r="82" spans="1:6">
      <c r="A82" s="54" t="s">
        <v>187</v>
      </c>
      <c r="B82" s="155" t="s">
        <v>885</v>
      </c>
      <c r="C82" s="139" t="s">
        <v>165</v>
      </c>
      <c r="D82" s="139" t="s">
        <v>484</v>
      </c>
      <c r="E82" s="217">
        <v>678000</v>
      </c>
      <c r="F82" s="141">
        <v>678000</v>
      </c>
    </row>
    <row r="83" spans="1:6" ht="38.25">
      <c r="A83" s="54" t="s">
        <v>1755</v>
      </c>
      <c r="B83" s="155" t="s">
        <v>885</v>
      </c>
      <c r="C83" s="139" t="s">
        <v>1756</v>
      </c>
      <c r="D83" s="139" t="s">
        <v>1468</v>
      </c>
      <c r="E83" s="217">
        <v>1122000</v>
      </c>
      <c r="F83" s="141">
        <v>1122000</v>
      </c>
    </row>
    <row r="84" spans="1:6" ht="38.25">
      <c r="A84" s="54" t="s">
        <v>1502</v>
      </c>
      <c r="B84" s="155" t="s">
        <v>885</v>
      </c>
      <c r="C84" s="139" t="s">
        <v>1503</v>
      </c>
      <c r="D84" s="139" t="s">
        <v>1468</v>
      </c>
      <c r="E84" s="217">
        <v>1122000</v>
      </c>
      <c r="F84" s="141">
        <v>1122000</v>
      </c>
    </row>
    <row r="85" spans="1:6">
      <c r="A85" s="54" t="s">
        <v>173</v>
      </c>
      <c r="B85" s="155" t="s">
        <v>885</v>
      </c>
      <c r="C85" s="139" t="s">
        <v>1503</v>
      </c>
      <c r="D85" s="139" t="s">
        <v>1364</v>
      </c>
      <c r="E85" s="217">
        <v>1122000</v>
      </c>
      <c r="F85" s="141">
        <v>1122000</v>
      </c>
    </row>
    <row r="86" spans="1:6">
      <c r="A86" s="54" t="s">
        <v>187</v>
      </c>
      <c r="B86" s="155" t="s">
        <v>885</v>
      </c>
      <c r="C86" s="139" t="s">
        <v>1503</v>
      </c>
      <c r="D86" s="139" t="s">
        <v>484</v>
      </c>
      <c r="E86" s="217">
        <v>1122000</v>
      </c>
      <c r="F86" s="141">
        <v>1122000</v>
      </c>
    </row>
    <row r="87" spans="1:6" ht="178.5">
      <c r="A87" s="54" t="s">
        <v>686</v>
      </c>
      <c r="B87" s="155" t="s">
        <v>884</v>
      </c>
      <c r="C87" s="139" t="s">
        <v>1468</v>
      </c>
      <c r="D87" s="139" t="s">
        <v>1468</v>
      </c>
      <c r="E87" s="217">
        <v>55200</v>
      </c>
      <c r="F87" s="141">
        <v>55200</v>
      </c>
    </row>
    <row r="88" spans="1:6" ht="38.25">
      <c r="A88" s="54" t="s">
        <v>1763</v>
      </c>
      <c r="B88" s="155" t="s">
        <v>884</v>
      </c>
      <c r="C88" s="139" t="s">
        <v>1764</v>
      </c>
      <c r="D88" s="139" t="s">
        <v>1468</v>
      </c>
      <c r="E88" s="217">
        <v>55200</v>
      </c>
      <c r="F88" s="141">
        <v>55200</v>
      </c>
    </row>
    <row r="89" spans="1:6">
      <c r="A89" s="54" t="s">
        <v>1504</v>
      </c>
      <c r="B89" s="155" t="s">
        <v>884</v>
      </c>
      <c r="C89" s="139" t="s">
        <v>1505</v>
      </c>
      <c r="D89" s="139" t="s">
        <v>1468</v>
      </c>
      <c r="E89" s="217">
        <v>55200</v>
      </c>
      <c r="F89" s="141">
        <v>55200</v>
      </c>
    </row>
    <row r="90" spans="1:6">
      <c r="A90" s="54" t="s">
        <v>173</v>
      </c>
      <c r="B90" s="155" t="s">
        <v>884</v>
      </c>
      <c r="C90" s="139" t="s">
        <v>1505</v>
      </c>
      <c r="D90" s="139" t="s">
        <v>1364</v>
      </c>
      <c r="E90" s="217">
        <v>55200</v>
      </c>
      <c r="F90" s="141">
        <v>55200</v>
      </c>
    </row>
    <row r="91" spans="1:6">
      <c r="A91" s="54" t="s">
        <v>1240</v>
      </c>
      <c r="B91" s="155" t="s">
        <v>884</v>
      </c>
      <c r="C91" s="139" t="s">
        <v>1505</v>
      </c>
      <c r="D91" s="139" t="s">
        <v>1241</v>
      </c>
      <c r="E91" s="217">
        <v>55200</v>
      </c>
      <c r="F91" s="141">
        <v>55200</v>
      </c>
    </row>
    <row r="92" spans="1:6" ht="140.25">
      <c r="A92" s="53" t="s">
        <v>682</v>
      </c>
      <c r="B92" s="140" t="s">
        <v>872</v>
      </c>
      <c r="C92" s="140" t="s">
        <v>1468</v>
      </c>
      <c r="D92" s="140" t="s">
        <v>1468</v>
      </c>
      <c r="E92" s="217">
        <v>989000</v>
      </c>
      <c r="F92" s="141">
        <v>989000</v>
      </c>
    </row>
    <row r="93" spans="1:6" ht="76.5">
      <c r="A93" s="53" t="s">
        <v>1754</v>
      </c>
      <c r="B93" s="140" t="s">
        <v>872</v>
      </c>
      <c r="C93" s="140" t="s">
        <v>322</v>
      </c>
      <c r="D93" s="140" t="s">
        <v>1468</v>
      </c>
      <c r="E93" s="217">
        <v>989000</v>
      </c>
      <c r="F93" s="141">
        <v>989000</v>
      </c>
    </row>
    <row r="94" spans="1:6" ht="25.5">
      <c r="A94" s="54" t="s">
        <v>1487</v>
      </c>
      <c r="B94" s="140" t="s">
        <v>872</v>
      </c>
      <c r="C94" s="140" t="s">
        <v>165</v>
      </c>
      <c r="D94" s="140" t="s">
        <v>1468</v>
      </c>
      <c r="E94" s="217">
        <v>989000</v>
      </c>
      <c r="F94" s="141">
        <v>989000</v>
      </c>
    </row>
    <row r="95" spans="1:6">
      <c r="A95" s="54" t="s">
        <v>173</v>
      </c>
      <c r="B95" s="155" t="s">
        <v>872</v>
      </c>
      <c r="C95" s="139" t="s">
        <v>165</v>
      </c>
      <c r="D95" s="139" t="s">
        <v>1364</v>
      </c>
      <c r="E95" s="217">
        <v>989000</v>
      </c>
      <c r="F95" s="141">
        <v>989000</v>
      </c>
    </row>
    <row r="96" spans="1:6">
      <c r="A96" s="54" t="s">
        <v>186</v>
      </c>
      <c r="B96" s="155" t="s">
        <v>872</v>
      </c>
      <c r="C96" s="139" t="s">
        <v>165</v>
      </c>
      <c r="D96" s="139" t="s">
        <v>497</v>
      </c>
      <c r="E96" s="217">
        <v>989000</v>
      </c>
      <c r="F96" s="141">
        <v>989000</v>
      </c>
    </row>
    <row r="97" spans="1:6" ht="165.75">
      <c r="A97" s="54" t="s">
        <v>687</v>
      </c>
      <c r="B97" s="155" t="s">
        <v>880</v>
      </c>
      <c r="C97" s="139" t="s">
        <v>1468</v>
      </c>
      <c r="D97" s="139" t="s">
        <v>1468</v>
      </c>
      <c r="E97" s="217">
        <v>1273300</v>
      </c>
      <c r="F97" s="141">
        <v>1273300</v>
      </c>
    </row>
    <row r="98" spans="1:6" ht="76.5">
      <c r="A98" s="54" t="s">
        <v>1754</v>
      </c>
      <c r="B98" s="155" t="s">
        <v>880</v>
      </c>
      <c r="C98" s="139" t="s">
        <v>322</v>
      </c>
      <c r="D98" s="139" t="s">
        <v>1468</v>
      </c>
      <c r="E98" s="217">
        <v>1273300</v>
      </c>
      <c r="F98" s="141">
        <v>1273300</v>
      </c>
    </row>
    <row r="99" spans="1:6" ht="25.5">
      <c r="A99" s="54" t="s">
        <v>1487</v>
      </c>
      <c r="B99" s="155" t="s">
        <v>880</v>
      </c>
      <c r="C99" s="139" t="s">
        <v>165</v>
      </c>
      <c r="D99" s="139" t="s">
        <v>1468</v>
      </c>
      <c r="E99" s="217">
        <v>1273300</v>
      </c>
      <c r="F99" s="141">
        <v>1273300</v>
      </c>
    </row>
    <row r="100" spans="1:6">
      <c r="A100" s="54" t="s">
        <v>173</v>
      </c>
      <c r="B100" s="155" t="s">
        <v>880</v>
      </c>
      <c r="C100" s="139" t="s">
        <v>165</v>
      </c>
      <c r="D100" s="139" t="s">
        <v>1364</v>
      </c>
      <c r="E100" s="217">
        <v>1273300</v>
      </c>
      <c r="F100" s="141">
        <v>1273300</v>
      </c>
    </row>
    <row r="101" spans="1:6">
      <c r="A101" s="54" t="s">
        <v>187</v>
      </c>
      <c r="B101" s="155" t="s">
        <v>880</v>
      </c>
      <c r="C101" s="139" t="s">
        <v>165</v>
      </c>
      <c r="D101" s="139" t="s">
        <v>484</v>
      </c>
      <c r="E101" s="217">
        <v>1273300</v>
      </c>
      <c r="F101" s="141">
        <v>1273300</v>
      </c>
    </row>
    <row r="102" spans="1:6" ht="153">
      <c r="A102" s="54" t="s">
        <v>688</v>
      </c>
      <c r="B102" s="155" t="s">
        <v>887</v>
      </c>
      <c r="C102" s="139" t="s">
        <v>1468</v>
      </c>
      <c r="D102" s="139" t="s">
        <v>1468</v>
      </c>
      <c r="E102" s="217">
        <v>330000</v>
      </c>
      <c r="F102" s="141">
        <v>330000</v>
      </c>
    </row>
    <row r="103" spans="1:6" ht="76.5">
      <c r="A103" s="54" t="s">
        <v>1754</v>
      </c>
      <c r="B103" s="155" t="s">
        <v>887</v>
      </c>
      <c r="C103" s="139" t="s">
        <v>322</v>
      </c>
      <c r="D103" s="139" t="s">
        <v>1468</v>
      </c>
      <c r="E103" s="217">
        <v>250000</v>
      </c>
      <c r="F103" s="141">
        <v>250000</v>
      </c>
    </row>
    <row r="104" spans="1:6" ht="25.5">
      <c r="A104" s="54" t="s">
        <v>1487</v>
      </c>
      <c r="B104" s="155" t="s">
        <v>887</v>
      </c>
      <c r="C104" s="139" t="s">
        <v>165</v>
      </c>
      <c r="D104" s="139" t="s">
        <v>1468</v>
      </c>
      <c r="E104" s="217">
        <v>250000</v>
      </c>
      <c r="F104" s="141">
        <v>250000</v>
      </c>
    </row>
    <row r="105" spans="1:6">
      <c r="A105" s="54" t="s">
        <v>173</v>
      </c>
      <c r="B105" s="155" t="s">
        <v>887</v>
      </c>
      <c r="C105" s="139" t="s">
        <v>165</v>
      </c>
      <c r="D105" s="139" t="s">
        <v>1364</v>
      </c>
      <c r="E105" s="217">
        <v>250000</v>
      </c>
      <c r="F105" s="141">
        <v>250000</v>
      </c>
    </row>
    <row r="106" spans="1:6">
      <c r="A106" s="212" t="s">
        <v>1240</v>
      </c>
      <c r="B106" s="155" t="s">
        <v>887</v>
      </c>
      <c r="C106" s="139" t="s">
        <v>165</v>
      </c>
      <c r="D106" s="139" t="s">
        <v>1241</v>
      </c>
      <c r="E106" s="217">
        <v>250000</v>
      </c>
      <c r="F106" s="141">
        <v>250000</v>
      </c>
    </row>
    <row r="107" spans="1:6" ht="38.25">
      <c r="A107" s="54" t="s">
        <v>1763</v>
      </c>
      <c r="B107" s="155" t="s">
        <v>887</v>
      </c>
      <c r="C107" s="139" t="s">
        <v>1764</v>
      </c>
      <c r="D107" s="139" t="s">
        <v>1468</v>
      </c>
      <c r="E107" s="217">
        <v>80000</v>
      </c>
      <c r="F107" s="141">
        <v>80000</v>
      </c>
    </row>
    <row r="108" spans="1:6">
      <c r="A108" s="54" t="s">
        <v>1504</v>
      </c>
      <c r="B108" s="155" t="s">
        <v>887</v>
      </c>
      <c r="C108" s="139" t="s">
        <v>1505</v>
      </c>
      <c r="D108" s="139" t="s">
        <v>1468</v>
      </c>
      <c r="E108" s="217">
        <v>80000</v>
      </c>
      <c r="F108" s="141">
        <v>80000</v>
      </c>
    </row>
    <row r="109" spans="1:6">
      <c r="A109" s="54" t="s">
        <v>173</v>
      </c>
      <c r="B109" s="155" t="s">
        <v>887</v>
      </c>
      <c r="C109" s="139" t="s">
        <v>1505</v>
      </c>
      <c r="D109" s="139" t="s">
        <v>1364</v>
      </c>
      <c r="E109" s="217">
        <v>80000</v>
      </c>
      <c r="F109" s="141">
        <v>80000</v>
      </c>
    </row>
    <row r="110" spans="1:6">
      <c r="A110" s="54" t="s">
        <v>1240</v>
      </c>
      <c r="B110" s="155" t="s">
        <v>887</v>
      </c>
      <c r="C110" s="139" t="s">
        <v>1505</v>
      </c>
      <c r="D110" s="139" t="s">
        <v>1241</v>
      </c>
      <c r="E110" s="217">
        <v>80000</v>
      </c>
      <c r="F110" s="141">
        <v>80000</v>
      </c>
    </row>
    <row r="111" spans="1:6" ht="153">
      <c r="A111" s="54" t="s">
        <v>897</v>
      </c>
      <c r="B111" s="155" t="s">
        <v>898</v>
      </c>
      <c r="C111" s="139" t="s">
        <v>1468</v>
      </c>
      <c r="D111" s="139" t="s">
        <v>1468</v>
      </c>
      <c r="E111" s="217">
        <v>50000</v>
      </c>
      <c r="F111" s="141">
        <v>50000</v>
      </c>
    </row>
    <row r="112" spans="1:6" ht="38.25">
      <c r="A112" s="54" t="s">
        <v>1763</v>
      </c>
      <c r="B112" s="155" t="s">
        <v>898</v>
      </c>
      <c r="C112" s="139" t="s">
        <v>1764</v>
      </c>
      <c r="D112" s="139" t="s">
        <v>1468</v>
      </c>
      <c r="E112" s="217">
        <v>50000</v>
      </c>
      <c r="F112" s="141">
        <v>50000</v>
      </c>
    </row>
    <row r="113" spans="1:6">
      <c r="A113" s="54" t="s">
        <v>1504</v>
      </c>
      <c r="B113" s="155" t="s">
        <v>898</v>
      </c>
      <c r="C113" s="139" t="s">
        <v>1505</v>
      </c>
      <c r="D113" s="139" t="s">
        <v>1468</v>
      </c>
      <c r="E113" s="217">
        <v>50000</v>
      </c>
      <c r="F113" s="141">
        <v>50000</v>
      </c>
    </row>
    <row r="114" spans="1:6">
      <c r="A114" s="54" t="s">
        <v>173</v>
      </c>
      <c r="B114" s="155" t="s">
        <v>898</v>
      </c>
      <c r="C114" s="139" t="s">
        <v>1505</v>
      </c>
      <c r="D114" s="139" t="s">
        <v>1364</v>
      </c>
      <c r="E114" s="217">
        <v>50000</v>
      </c>
      <c r="F114" s="141">
        <v>50000</v>
      </c>
    </row>
    <row r="115" spans="1:6">
      <c r="A115" s="54" t="s">
        <v>1238</v>
      </c>
      <c r="B115" s="155" t="s">
        <v>898</v>
      </c>
      <c r="C115" s="139" t="s">
        <v>1505</v>
      </c>
      <c r="D115" s="139" t="s">
        <v>453</v>
      </c>
      <c r="E115" s="217">
        <v>50000</v>
      </c>
      <c r="F115" s="141">
        <v>50000</v>
      </c>
    </row>
    <row r="116" spans="1:6" ht="153">
      <c r="A116" s="54" t="s">
        <v>683</v>
      </c>
      <c r="B116" s="155" t="s">
        <v>873</v>
      </c>
      <c r="C116" s="139" t="s">
        <v>1468</v>
      </c>
      <c r="D116" s="139" t="s">
        <v>1468</v>
      </c>
      <c r="E116" s="217">
        <v>34289926</v>
      </c>
      <c r="F116" s="141">
        <v>34289926</v>
      </c>
    </row>
    <row r="117" spans="1:6" ht="38.25">
      <c r="A117" s="54" t="s">
        <v>1755</v>
      </c>
      <c r="B117" s="155" t="s">
        <v>873</v>
      </c>
      <c r="C117" s="139" t="s">
        <v>1756</v>
      </c>
      <c r="D117" s="139" t="s">
        <v>1468</v>
      </c>
      <c r="E117" s="217">
        <v>34289926</v>
      </c>
      <c r="F117" s="141">
        <v>34289926</v>
      </c>
    </row>
    <row r="118" spans="1:6" ht="38.25">
      <c r="A118" s="212" t="s">
        <v>1502</v>
      </c>
      <c r="B118" s="155" t="s">
        <v>873</v>
      </c>
      <c r="C118" s="139" t="s">
        <v>1503</v>
      </c>
      <c r="D118" s="139" t="s">
        <v>1468</v>
      </c>
      <c r="E118" s="217">
        <v>34289926</v>
      </c>
      <c r="F118" s="141">
        <v>34289926</v>
      </c>
    </row>
    <row r="119" spans="1:6">
      <c r="A119" s="54" t="s">
        <v>173</v>
      </c>
      <c r="B119" s="155" t="s">
        <v>873</v>
      </c>
      <c r="C119" s="139" t="s">
        <v>1503</v>
      </c>
      <c r="D119" s="139" t="s">
        <v>1364</v>
      </c>
      <c r="E119" s="217">
        <v>34289926</v>
      </c>
      <c r="F119" s="141">
        <v>34289926</v>
      </c>
    </row>
    <row r="120" spans="1:6">
      <c r="A120" s="54" t="s">
        <v>186</v>
      </c>
      <c r="B120" s="155" t="s">
        <v>873</v>
      </c>
      <c r="C120" s="139" t="s">
        <v>1503</v>
      </c>
      <c r="D120" s="139" t="s">
        <v>497</v>
      </c>
      <c r="E120" s="217">
        <v>34289926</v>
      </c>
      <c r="F120" s="141">
        <v>34289926</v>
      </c>
    </row>
    <row r="121" spans="1:6" ht="178.5">
      <c r="A121" s="54" t="s">
        <v>689</v>
      </c>
      <c r="B121" s="155" t="s">
        <v>881</v>
      </c>
      <c r="C121" s="139" t="s">
        <v>1468</v>
      </c>
      <c r="D121" s="139" t="s">
        <v>1468</v>
      </c>
      <c r="E121" s="217">
        <v>81336890</v>
      </c>
      <c r="F121" s="141">
        <v>81336890</v>
      </c>
    </row>
    <row r="122" spans="1:6" ht="38.25">
      <c r="A122" s="54" t="s">
        <v>1755</v>
      </c>
      <c r="B122" s="155" t="s">
        <v>881</v>
      </c>
      <c r="C122" s="139" t="s">
        <v>1756</v>
      </c>
      <c r="D122" s="139" t="s">
        <v>1468</v>
      </c>
      <c r="E122" s="217">
        <v>81336890</v>
      </c>
      <c r="F122" s="141">
        <v>81336890</v>
      </c>
    </row>
    <row r="123" spans="1:6" ht="38.25">
      <c r="A123" s="54" t="s">
        <v>1502</v>
      </c>
      <c r="B123" s="155" t="s">
        <v>881</v>
      </c>
      <c r="C123" s="139" t="s">
        <v>1503</v>
      </c>
      <c r="D123" s="139" t="s">
        <v>1468</v>
      </c>
      <c r="E123" s="217">
        <v>81336890</v>
      </c>
      <c r="F123" s="141">
        <v>81336890</v>
      </c>
    </row>
    <row r="124" spans="1:6">
      <c r="A124" s="54" t="s">
        <v>173</v>
      </c>
      <c r="B124" s="155" t="s">
        <v>881</v>
      </c>
      <c r="C124" s="139" t="s">
        <v>1503</v>
      </c>
      <c r="D124" s="139" t="s">
        <v>1364</v>
      </c>
      <c r="E124" s="217">
        <v>81336890</v>
      </c>
      <c r="F124" s="141">
        <v>81336890</v>
      </c>
    </row>
    <row r="125" spans="1:6">
      <c r="A125" s="54" t="s">
        <v>187</v>
      </c>
      <c r="B125" s="155" t="s">
        <v>881</v>
      </c>
      <c r="C125" s="139" t="s">
        <v>1503</v>
      </c>
      <c r="D125" s="139" t="s">
        <v>484</v>
      </c>
      <c r="E125" s="217">
        <v>81336890</v>
      </c>
      <c r="F125" s="141">
        <v>81336890</v>
      </c>
    </row>
    <row r="126" spans="1:6" ht="165.75">
      <c r="A126" s="54" t="s">
        <v>690</v>
      </c>
      <c r="B126" s="155" t="s">
        <v>888</v>
      </c>
      <c r="C126" s="139" t="s">
        <v>1468</v>
      </c>
      <c r="D126" s="139" t="s">
        <v>1468</v>
      </c>
      <c r="E126" s="217">
        <v>2768144</v>
      </c>
      <c r="F126" s="141">
        <v>2768144</v>
      </c>
    </row>
    <row r="127" spans="1:6" ht="38.25">
      <c r="A127" s="54" t="s">
        <v>1755</v>
      </c>
      <c r="B127" s="155" t="s">
        <v>888</v>
      </c>
      <c r="C127" s="139" t="s">
        <v>1756</v>
      </c>
      <c r="D127" s="139" t="s">
        <v>1468</v>
      </c>
      <c r="E127" s="217">
        <v>1577009</v>
      </c>
      <c r="F127" s="141">
        <v>1577009</v>
      </c>
    </row>
    <row r="128" spans="1:6" ht="38.25">
      <c r="A128" s="54" t="s">
        <v>1502</v>
      </c>
      <c r="B128" s="155" t="s">
        <v>888</v>
      </c>
      <c r="C128" s="139" t="s">
        <v>1503</v>
      </c>
      <c r="D128" s="139" t="s">
        <v>1468</v>
      </c>
      <c r="E128" s="217">
        <v>1577009</v>
      </c>
      <c r="F128" s="141">
        <v>1577009</v>
      </c>
    </row>
    <row r="129" spans="1:6">
      <c r="A129" s="54" t="s">
        <v>173</v>
      </c>
      <c r="B129" s="155" t="s">
        <v>888</v>
      </c>
      <c r="C129" s="139" t="s">
        <v>1503</v>
      </c>
      <c r="D129" s="139" t="s">
        <v>1364</v>
      </c>
      <c r="E129" s="217">
        <v>1577009</v>
      </c>
      <c r="F129" s="141">
        <v>1577009</v>
      </c>
    </row>
    <row r="130" spans="1:6">
      <c r="A130" s="212" t="s">
        <v>1240</v>
      </c>
      <c r="B130" s="155" t="s">
        <v>888</v>
      </c>
      <c r="C130" s="139" t="s">
        <v>1503</v>
      </c>
      <c r="D130" s="139" t="s">
        <v>1241</v>
      </c>
      <c r="E130" s="217">
        <v>1577009</v>
      </c>
      <c r="F130" s="141">
        <v>1577009</v>
      </c>
    </row>
    <row r="131" spans="1:6" ht="38.25">
      <c r="A131" s="54" t="s">
        <v>1763</v>
      </c>
      <c r="B131" s="155" t="s">
        <v>888</v>
      </c>
      <c r="C131" s="139" t="s">
        <v>1764</v>
      </c>
      <c r="D131" s="139" t="s">
        <v>1468</v>
      </c>
      <c r="E131" s="217">
        <v>1191135</v>
      </c>
      <c r="F131" s="141">
        <v>1191135</v>
      </c>
    </row>
    <row r="132" spans="1:6">
      <c r="A132" s="54" t="s">
        <v>1504</v>
      </c>
      <c r="B132" s="155" t="s">
        <v>888</v>
      </c>
      <c r="C132" s="139" t="s">
        <v>1505</v>
      </c>
      <c r="D132" s="139" t="s">
        <v>1468</v>
      </c>
      <c r="E132" s="217">
        <v>1191135</v>
      </c>
      <c r="F132" s="141">
        <v>1191135</v>
      </c>
    </row>
    <row r="133" spans="1:6">
      <c r="A133" s="54" t="s">
        <v>173</v>
      </c>
      <c r="B133" s="155" t="s">
        <v>888</v>
      </c>
      <c r="C133" s="139" t="s">
        <v>1505</v>
      </c>
      <c r="D133" s="139" t="s">
        <v>1364</v>
      </c>
      <c r="E133" s="217">
        <v>1191135</v>
      </c>
      <c r="F133" s="141">
        <v>1191135</v>
      </c>
    </row>
    <row r="134" spans="1:6">
      <c r="A134" s="54" t="s">
        <v>1240</v>
      </c>
      <c r="B134" s="155" t="s">
        <v>888</v>
      </c>
      <c r="C134" s="139" t="s">
        <v>1505</v>
      </c>
      <c r="D134" s="139" t="s">
        <v>1241</v>
      </c>
      <c r="E134" s="217">
        <v>1191135</v>
      </c>
      <c r="F134" s="141">
        <v>1191135</v>
      </c>
    </row>
    <row r="135" spans="1:6" ht="165.75">
      <c r="A135" s="54" t="s">
        <v>1372</v>
      </c>
      <c r="B135" s="155" t="s">
        <v>1373</v>
      </c>
      <c r="C135" s="139" t="s">
        <v>1468</v>
      </c>
      <c r="D135" s="139" t="s">
        <v>1468</v>
      </c>
      <c r="E135" s="217">
        <v>38888</v>
      </c>
      <c r="F135" s="141">
        <v>38888</v>
      </c>
    </row>
    <row r="136" spans="1:6" ht="38.25">
      <c r="A136" s="54" t="s">
        <v>1763</v>
      </c>
      <c r="B136" s="155" t="s">
        <v>1373</v>
      </c>
      <c r="C136" s="139" t="s">
        <v>1764</v>
      </c>
      <c r="D136" s="139" t="s">
        <v>1468</v>
      </c>
      <c r="E136" s="217">
        <v>38888</v>
      </c>
      <c r="F136" s="141">
        <v>38888</v>
      </c>
    </row>
    <row r="137" spans="1:6">
      <c r="A137" s="54" t="s">
        <v>1504</v>
      </c>
      <c r="B137" s="155" t="s">
        <v>1373</v>
      </c>
      <c r="C137" s="139" t="s">
        <v>1505</v>
      </c>
      <c r="D137" s="139" t="s">
        <v>1468</v>
      </c>
      <c r="E137" s="217">
        <v>38888</v>
      </c>
      <c r="F137" s="141">
        <v>38888</v>
      </c>
    </row>
    <row r="138" spans="1:6">
      <c r="A138" s="54" t="s">
        <v>173</v>
      </c>
      <c r="B138" s="155" t="s">
        <v>1373</v>
      </c>
      <c r="C138" s="139" t="s">
        <v>1505</v>
      </c>
      <c r="D138" s="139" t="s">
        <v>1364</v>
      </c>
      <c r="E138" s="217">
        <v>38888</v>
      </c>
      <c r="F138" s="141">
        <v>38888</v>
      </c>
    </row>
    <row r="139" spans="1:6">
      <c r="A139" s="54" t="s">
        <v>1238</v>
      </c>
      <c r="B139" s="155" t="s">
        <v>1373</v>
      </c>
      <c r="C139" s="139" t="s">
        <v>1505</v>
      </c>
      <c r="D139" s="139" t="s">
        <v>453</v>
      </c>
      <c r="E139" s="217">
        <v>38888</v>
      </c>
      <c r="F139" s="141">
        <v>38888</v>
      </c>
    </row>
    <row r="140" spans="1:6" ht="140.25">
      <c r="A140" s="54" t="s">
        <v>684</v>
      </c>
      <c r="B140" s="155" t="s">
        <v>874</v>
      </c>
      <c r="C140" s="139" t="s">
        <v>1468</v>
      </c>
      <c r="D140" s="139" t="s">
        <v>1468</v>
      </c>
      <c r="E140" s="217">
        <v>40173000</v>
      </c>
      <c r="F140" s="141">
        <v>40173000</v>
      </c>
    </row>
    <row r="141" spans="1:6" ht="38.25">
      <c r="A141" s="54" t="s">
        <v>1755</v>
      </c>
      <c r="B141" s="155" t="s">
        <v>874</v>
      </c>
      <c r="C141" s="139" t="s">
        <v>1756</v>
      </c>
      <c r="D141" s="139" t="s">
        <v>1468</v>
      </c>
      <c r="E141" s="217">
        <v>40173000</v>
      </c>
      <c r="F141" s="141">
        <v>40173000</v>
      </c>
    </row>
    <row r="142" spans="1:6" ht="38.25">
      <c r="A142" s="54" t="s">
        <v>1502</v>
      </c>
      <c r="B142" s="155" t="s">
        <v>874</v>
      </c>
      <c r="C142" s="139" t="s">
        <v>1503</v>
      </c>
      <c r="D142" s="139" t="s">
        <v>1468</v>
      </c>
      <c r="E142" s="217">
        <v>40173000</v>
      </c>
      <c r="F142" s="141">
        <v>40173000</v>
      </c>
    </row>
    <row r="143" spans="1:6">
      <c r="A143" s="54" t="s">
        <v>173</v>
      </c>
      <c r="B143" s="155" t="s">
        <v>874</v>
      </c>
      <c r="C143" s="139" t="s">
        <v>1503</v>
      </c>
      <c r="D143" s="139" t="s">
        <v>1364</v>
      </c>
      <c r="E143" s="217">
        <v>40173000</v>
      </c>
      <c r="F143" s="141">
        <v>40173000</v>
      </c>
    </row>
    <row r="144" spans="1:6">
      <c r="A144" s="54" t="s">
        <v>186</v>
      </c>
      <c r="B144" s="155" t="s">
        <v>874</v>
      </c>
      <c r="C144" s="139" t="s">
        <v>1503</v>
      </c>
      <c r="D144" s="139" t="s">
        <v>497</v>
      </c>
      <c r="E144" s="217">
        <v>40173000</v>
      </c>
      <c r="F144" s="141">
        <v>40173000</v>
      </c>
    </row>
    <row r="145" spans="1:6" ht="153">
      <c r="A145" s="54" t="s">
        <v>691</v>
      </c>
      <c r="B145" s="155" t="s">
        <v>886</v>
      </c>
      <c r="C145" s="139" t="s">
        <v>1468</v>
      </c>
      <c r="D145" s="139" t="s">
        <v>1468</v>
      </c>
      <c r="E145" s="217">
        <v>5519000</v>
      </c>
      <c r="F145" s="141">
        <v>5519000</v>
      </c>
    </row>
    <row r="146" spans="1:6" ht="38.25">
      <c r="A146" s="212" t="s">
        <v>1755</v>
      </c>
      <c r="B146" s="155" t="s">
        <v>886</v>
      </c>
      <c r="C146" s="139" t="s">
        <v>1756</v>
      </c>
      <c r="D146" s="139" t="s">
        <v>1468</v>
      </c>
      <c r="E146" s="217">
        <v>5519000</v>
      </c>
      <c r="F146" s="141">
        <v>5519000</v>
      </c>
    </row>
    <row r="147" spans="1:6" ht="38.25">
      <c r="A147" s="54" t="s">
        <v>1502</v>
      </c>
      <c r="B147" s="155" t="s">
        <v>886</v>
      </c>
      <c r="C147" s="139" t="s">
        <v>1503</v>
      </c>
      <c r="D147" s="139" t="s">
        <v>1468</v>
      </c>
      <c r="E147" s="217">
        <v>5519000</v>
      </c>
      <c r="F147" s="141">
        <v>5519000</v>
      </c>
    </row>
    <row r="148" spans="1:6">
      <c r="A148" s="54" t="s">
        <v>173</v>
      </c>
      <c r="B148" s="155" t="s">
        <v>886</v>
      </c>
      <c r="C148" s="139" t="s">
        <v>1503</v>
      </c>
      <c r="D148" s="139" t="s">
        <v>1364</v>
      </c>
      <c r="E148" s="217">
        <v>5519000</v>
      </c>
      <c r="F148" s="141">
        <v>5519000</v>
      </c>
    </row>
    <row r="149" spans="1:6">
      <c r="A149" s="212" t="s">
        <v>187</v>
      </c>
      <c r="B149" s="155" t="s">
        <v>886</v>
      </c>
      <c r="C149" s="139" t="s">
        <v>1503</v>
      </c>
      <c r="D149" s="139" t="s">
        <v>484</v>
      </c>
      <c r="E149" s="217">
        <v>5519000</v>
      </c>
      <c r="F149" s="141">
        <v>5519000</v>
      </c>
    </row>
    <row r="150" spans="1:6" ht="140.25">
      <c r="A150" s="54" t="s">
        <v>1095</v>
      </c>
      <c r="B150" s="155" t="s">
        <v>1096</v>
      </c>
      <c r="C150" s="139" t="s">
        <v>1468</v>
      </c>
      <c r="D150" s="139" t="s">
        <v>1468</v>
      </c>
      <c r="E150" s="217">
        <v>8535278</v>
      </c>
      <c r="F150" s="141">
        <v>8535278</v>
      </c>
    </row>
    <row r="151" spans="1:6" ht="38.25">
      <c r="A151" s="54" t="s">
        <v>1755</v>
      </c>
      <c r="B151" s="155" t="s">
        <v>1096</v>
      </c>
      <c r="C151" s="139" t="s">
        <v>1756</v>
      </c>
      <c r="D151" s="139" t="s">
        <v>1468</v>
      </c>
      <c r="E151" s="217">
        <v>8535278</v>
      </c>
      <c r="F151" s="141">
        <v>8535278</v>
      </c>
    </row>
    <row r="152" spans="1:6" ht="38.25">
      <c r="A152" s="54" t="s">
        <v>1502</v>
      </c>
      <c r="B152" s="155" t="s">
        <v>1096</v>
      </c>
      <c r="C152" s="139" t="s">
        <v>1503</v>
      </c>
      <c r="D152" s="139" t="s">
        <v>1468</v>
      </c>
      <c r="E152" s="217">
        <v>8535278</v>
      </c>
      <c r="F152" s="141">
        <v>8535278</v>
      </c>
    </row>
    <row r="153" spans="1:6">
      <c r="A153" s="54" t="s">
        <v>173</v>
      </c>
      <c r="B153" s="155" t="s">
        <v>1096</v>
      </c>
      <c r="C153" s="139" t="s">
        <v>1503</v>
      </c>
      <c r="D153" s="139" t="s">
        <v>1364</v>
      </c>
      <c r="E153" s="217">
        <v>8535278</v>
      </c>
      <c r="F153" s="141">
        <v>8535278</v>
      </c>
    </row>
    <row r="154" spans="1:6">
      <c r="A154" s="54" t="s">
        <v>186</v>
      </c>
      <c r="B154" s="155" t="s">
        <v>1096</v>
      </c>
      <c r="C154" s="139" t="s">
        <v>1503</v>
      </c>
      <c r="D154" s="139" t="s">
        <v>497</v>
      </c>
      <c r="E154" s="217">
        <v>8535278</v>
      </c>
      <c r="F154" s="141">
        <v>8535278</v>
      </c>
    </row>
    <row r="155" spans="1:6" ht="165.75">
      <c r="A155" s="54" t="s">
        <v>1097</v>
      </c>
      <c r="B155" s="155" t="s">
        <v>1098</v>
      </c>
      <c r="C155" s="139" t="s">
        <v>1468</v>
      </c>
      <c r="D155" s="139" t="s">
        <v>1468</v>
      </c>
      <c r="E155" s="217">
        <v>9764000</v>
      </c>
      <c r="F155" s="141">
        <v>9764000</v>
      </c>
    </row>
    <row r="156" spans="1:6" ht="38.25">
      <c r="A156" s="54" t="s">
        <v>1755</v>
      </c>
      <c r="B156" s="155" t="s">
        <v>1098</v>
      </c>
      <c r="C156" s="139" t="s">
        <v>1756</v>
      </c>
      <c r="D156" s="139" t="s">
        <v>1468</v>
      </c>
      <c r="E156" s="217">
        <v>9764000</v>
      </c>
      <c r="F156" s="141">
        <v>9764000</v>
      </c>
    </row>
    <row r="157" spans="1:6" ht="38.25">
      <c r="A157" s="54" t="s">
        <v>1502</v>
      </c>
      <c r="B157" s="155" t="s">
        <v>1098</v>
      </c>
      <c r="C157" s="139" t="s">
        <v>1503</v>
      </c>
      <c r="D157" s="139" t="s">
        <v>1468</v>
      </c>
      <c r="E157" s="217">
        <v>9764000</v>
      </c>
      <c r="F157" s="141">
        <v>9764000</v>
      </c>
    </row>
    <row r="158" spans="1:6">
      <c r="A158" s="54" t="s">
        <v>173</v>
      </c>
      <c r="B158" s="155" t="s">
        <v>1098</v>
      </c>
      <c r="C158" s="139" t="s">
        <v>1503</v>
      </c>
      <c r="D158" s="139" t="s">
        <v>1364</v>
      </c>
      <c r="E158" s="217">
        <v>9764000</v>
      </c>
      <c r="F158" s="141">
        <v>9764000</v>
      </c>
    </row>
    <row r="159" spans="1:6">
      <c r="A159" s="54" t="s">
        <v>187</v>
      </c>
      <c r="B159" s="155" t="s">
        <v>1098</v>
      </c>
      <c r="C159" s="139" t="s">
        <v>1503</v>
      </c>
      <c r="D159" s="139" t="s">
        <v>484</v>
      </c>
      <c r="E159" s="217">
        <v>9764000</v>
      </c>
      <c r="F159" s="141">
        <v>9764000</v>
      </c>
    </row>
    <row r="160" spans="1:6" ht="153">
      <c r="A160" s="54" t="s">
        <v>1099</v>
      </c>
      <c r="B160" s="155" t="s">
        <v>1100</v>
      </c>
      <c r="C160" s="139" t="s">
        <v>1468</v>
      </c>
      <c r="D160" s="139" t="s">
        <v>1468</v>
      </c>
      <c r="E160" s="217">
        <v>396480</v>
      </c>
      <c r="F160" s="141">
        <v>396480</v>
      </c>
    </row>
    <row r="161" spans="1:6" ht="38.25">
      <c r="A161" s="54" t="s">
        <v>1755</v>
      </c>
      <c r="B161" s="140" t="s">
        <v>1100</v>
      </c>
      <c r="C161" s="139" t="s">
        <v>1756</v>
      </c>
      <c r="D161" s="139" t="s">
        <v>1468</v>
      </c>
      <c r="E161" s="217">
        <v>253743</v>
      </c>
      <c r="F161" s="141">
        <v>253743</v>
      </c>
    </row>
    <row r="162" spans="1:6" ht="38.25">
      <c r="A162" s="54" t="s">
        <v>1502</v>
      </c>
      <c r="B162" s="155" t="s">
        <v>1100</v>
      </c>
      <c r="C162" s="139" t="s">
        <v>1503</v>
      </c>
      <c r="D162" s="139" t="s">
        <v>1468</v>
      </c>
      <c r="E162" s="217">
        <v>253743</v>
      </c>
      <c r="F162" s="141">
        <v>253743</v>
      </c>
    </row>
    <row r="163" spans="1:6">
      <c r="A163" s="54" t="s">
        <v>173</v>
      </c>
      <c r="B163" s="155" t="s">
        <v>1100</v>
      </c>
      <c r="C163" s="139" t="s">
        <v>1503</v>
      </c>
      <c r="D163" s="139" t="s">
        <v>1364</v>
      </c>
      <c r="E163" s="217">
        <v>253743</v>
      </c>
      <c r="F163" s="141">
        <v>253743</v>
      </c>
    </row>
    <row r="164" spans="1:6">
      <c r="A164" s="54" t="s">
        <v>1240</v>
      </c>
      <c r="B164" s="155" t="s">
        <v>1100</v>
      </c>
      <c r="C164" s="139" t="s">
        <v>1503</v>
      </c>
      <c r="D164" s="139" t="s">
        <v>1241</v>
      </c>
      <c r="E164" s="217">
        <v>253743</v>
      </c>
      <c r="F164" s="141">
        <v>253743</v>
      </c>
    </row>
    <row r="165" spans="1:6" ht="38.25">
      <c r="A165" s="54" t="s">
        <v>1763</v>
      </c>
      <c r="B165" s="155" t="s">
        <v>1100</v>
      </c>
      <c r="C165" s="139" t="s">
        <v>1764</v>
      </c>
      <c r="D165" s="139" t="s">
        <v>1468</v>
      </c>
      <c r="E165" s="217">
        <v>142737</v>
      </c>
      <c r="F165" s="141">
        <v>142737</v>
      </c>
    </row>
    <row r="166" spans="1:6">
      <c r="A166" s="54" t="s">
        <v>1504</v>
      </c>
      <c r="B166" s="155" t="s">
        <v>1100</v>
      </c>
      <c r="C166" s="139" t="s">
        <v>1505</v>
      </c>
      <c r="D166" s="139" t="s">
        <v>1468</v>
      </c>
      <c r="E166" s="217">
        <v>142737</v>
      </c>
      <c r="F166" s="141">
        <v>142737</v>
      </c>
    </row>
    <row r="167" spans="1:6">
      <c r="A167" s="54" t="s">
        <v>173</v>
      </c>
      <c r="B167" s="155" t="s">
        <v>1100</v>
      </c>
      <c r="C167" s="139" t="s">
        <v>1505</v>
      </c>
      <c r="D167" s="139" t="s">
        <v>1364</v>
      </c>
      <c r="E167" s="217">
        <v>142737</v>
      </c>
      <c r="F167" s="141">
        <v>142737</v>
      </c>
    </row>
    <row r="168" spans="1:6">
      <c r="A168" s="54" t="s">
        <v>1240</v>
      </c>
      <c r="B168" s="155" t="s">
        <v>1100</v>
      </c>
      <c r="C168" s="139" t="s">
        <v>1505</v>
      </c>
      <c r="D168" s="139" t="s">
        <v>1241</v>
      </c>
      <c r="E168" s="217">
        <v>142737</v>
      </c>
      <c r="F168" s="141">
        <v>142737</v>
      </c>
    </row>
    <row r="169" spans="1:6" ht="153">
      <c r="A169" s="54" t="s">
        <v>1374</v>
      </c>
      <c r="B169" s="140" t="s">
        <v>1375</v>
      </c>
      <c r="C169" s="139" t="s">
        <v>1468</v>
      </c>
      <c r="D169" s="139" t="s">
        <v>1468</v>
      </c>
      <c r="E169" s="217">
        <v>183365</v>
      </c>
      <c r="F169" s="141">
        <v>183365</v>
      </c>
    </row>
    <row r="170" spans="1:6" ht="38.25">
      <c r="A170" s="54" t="s">
        <v>1763</v>
      </c>
      <c r="B170" s="155" t="s">
        <v>1375</v>
      </c>
      <c r="C170" s="139" t="s">
        <v>1764</v>
      </c>
      <c r="D170" s="139" t="s">
        <v>1468</v>
      </c>
      <c r="E170" s="217">
        <v>183365</v>
      </c>
      <c r="F170" s="141">
        <v>183365</v>
      </c>
    </row>
    <row r="171" spans="1:6">
      <c r="A171" s="54" t="s">
        <v>1504</v>
      </c>
      <c r="B171" s="155" t="s">
        <v>1375</v>
      </c>
      <c r="C171" s="139" t="s">
        <v>1505</v>
      </c>
      <c r="D171" s="139" t="s">
        <v>1468</v>
      </c>
      <c r="E171" s="217">
        <v>183365</v>
      </c>
      <c r="F171" s="141">
        <v>183365</v>
      </c>
    </row>
    <row r="172" spans="1:6">
      <c r="A172" s="54" t="s">
        <v>173</v>
      </c>
      <c r="B172" s="155" t="s">
        <v>1375</v>
      </c>
      <c r="C172" s="139" t="s">
        <v>1505</v>
      </c>
      <c r="D172" s="139" t="s">
        <v>1364</v>
      </c>
      <c r="E172" s="217">
        <v>183365</v>
      </c>
      <c r="F172" s="141">
        <v>183365</v>
      </c>
    </row>
    <row r="173" spans="1:6">
      <c r="A173" s="54" t="s">
        <v>1238</v>
      </c>
      <c r="B173" s="155" t="s">
        <v>1375</v>
      </c>
      <c r="C173" s="139" t="s">
        <v>1505</v>
      </c>
      <c r="D173" s="139" t="s">
        <v>453</v>
      </c>
      <c r="E173" s="217">
        <v>183365</v>
      </c>
      <c r="F173" s="141">
        <v>183365</v>
      </c>
    </row>
    <row r="174" spans="1:6" ht="76.5">
      <c r="A174" s="54" t="s">
        <v>1212</v>
      </c>
      <c r="B174" s="155" t="s">
        <v>1213</v>
      </c>
      <c r="C174" s="139" t="s">
        <v>1468</v>
      </c>
      <c r="D174" s="139" t="s">
        <v>1468</v>
      </c>
      <c r="E174" s="217">
        <v>317600</v>
      </c>
      <c r="F174" s="141">
        <v>317600</v>
      </c>
    </row>
    <row r="175" spans="1:6" ht="38.25">
      <c r="A175" s="54" t="s">
        <v>1763</v>
      </c>
      <c r="B175" s="155" t="s">
        <v>1213</v>
      </c>
      <c r="C175" s="139" t="s">
        <v>1764</v>
      </c>
      <c r="D175" s="139" t="s">
        <v>1468</v>
      </c>
      <c r="E175" s="217">
        <v>317600</v>
      </c>
      <c r="F175" s="141">
        <v>317600</v>
      </c>
    </row>
    <row r="176" spans="1:6">
      <c r="A176" s="54" t="s">
        <v>1504</v>
      </c>
      <c r="B176" s="155" t="s">
        <v>1213</v>
      </c>
      <c r="C176" s="139" t="s">
        <v>1505</v>
      </c>
      <c r="D176" s="139" t="s">
        <v>1468</v>
      </c>
      <c r="E176" s="217">
        <v>317600</v>
      </c>
      <c r="F176" s="141">
        <v>317600</v>
      </c>
    </row>
    <row r="177" spans="1:6">
      <c r="A177" s="54" t="s">
        <v>173</v>
      </c>
      <c r="B177" s="155" t="s">
        <v>1213</v>
      </c>
      <c r="C177" s="139" t="s">
        <v>1505</v>
      </c>
      <c r="D177" s="139" t="s">
        <v>1364</v>
      </c>
      <c r="E177" s="217">
        <v>317600</v>
      </c>
      <c r="F177" s="141">
        <v>317600</v>
      </c>
    </row>
    <row r="178" spans="1:6">
      <c r="A178" s="54" t="s">
        <v>1238</v>
      </c>
      <c r="B178" s="155" t="s">
        <v>1213</v>
      </c>
      <c r="C178" s="139" t="s">
        <v>1505</v>
      </c>
      <c r="D178" s="139" t="s">
        <v>453</v>
      </c>
      <c r="E178" s="217">
        <v>317600</v>
      </c>
      <c r="F178" s="141">
        <v>317600</v>
      </c>
    </row>
    <row r="179" spans="1:6" ht="280.5">
      <c r="A179" s="54" t="s">
        <v>868</v>
      </c>
      <c r="B179" s="155" t="s">
        <v>869</v>
      </c>
      <c r="C179" s="139" t="s">
        <v>1468</v>
      </c>
      <c r="D179" s="139" t="s">
        <v>1468</v>
      </c>
      <c r="E179" s="217">
        <v>69732400</v>
      </c>
      <c r="F179" s="141">
        <v>69732400</v>
      </c>
    </row>
    <row r="180" spans="1:6" ht="76.5">
      <c r="A180" s="54" t="s">
        <v>1754</v>
      </c>
      <c r="B180" s="155" t="s">
        <v>869</v>
      </c>
      <c r="C180" s="139" t="s">
        <v>322</v>
      </c>
      <c r="D180" s="139" t="s">
        <v>1468</v>
      </c>
      <c r="E180" s="217">
        <v>68597129</v>
      </c>
      <c r="F180" s="141">
        <v>68597129</v>
      </c>
    </row>
    <row r="181" spans="1:6" ht="25.5">
      <c r="A181" s="54" t="s">
        <v>1487</v>
      </c>
      <c r="B181" s="155" t="s">
        <v>869</v>
      </c>
      <c r="C181" s="139" t="s">
        <v>165</v>
      </c>
      <c r="D181" s="139" t="s">
        <v>1468</v>
      </c>
      <c r="E181" s="217">
        <v>68597129</v>
      </c>
      <c r="F181" s="141">
        <v>68597129</v>
      </c>
    </row>
    <row r="182" spans="1:6">
      <c r="A182" s="212" t="s">
        <v>173</v>
      </c>
      <c r="B182" s="155" t="s">
        <v>869</v>
      </c>
      <c r="C182" s="139" t="s">
        <v>165</v>
      </c>
      <c r="D182" s="139" t="s">
        <v>1364</v>
      </c>
      <c r="E182" s="217">
        <v>68597129</v>
      </c>
      <c r="F182" s="141">
        <v>68597129</v>
      </c>
    </row>
    <row r="183" spans="1:6">
      <c r="A183" s="54" t="s">
        <v>186</v>
      </c>
      <c r="B183" s="155" t="s">
        <v>869</v>
      </c>
      <c r="C183" s="139" t="s">
        <v>165</v>
      </c>
      <c r="D183" s="139" t="s">
        <v>497</v>
      </c>
      <c r="E183" s="217">
        <v>68597129</v>
      </c>
      <c r="F183" s="141">
        <v>68597129</v>
      </c>
    </row>
    <row r="184" spans="1:6" ht="38.25">
      <c r="A184" s="54" t="s">
        <v>1755</v>
      </c>
      <c r="B184" s="155" t="s">
        <v>869</v>
      </c>
      <c r="C184" s="139" t="s">
        <v>1756</v>
      </c>
      <c r="D184" s="139" t="s">
        <v>1468</v>
      </c>
      <c r="E184" s="217">
        <v>1135271</v>
      </c>
      <c r="F184" s="141">
        <v>1135271</v>
      </c>
    </row>
    <row r="185" spans="1:6" ht="38.25">
      <c r="A185" s="54" t="s">
        <v>1502</v>
      </c>
      <c r="B185" s="155" t="s">
        <v>869</v>
      </c>
      <c r="C185" s="139" t="s">
        <v>1503</v>
      </c>
      <c r="D185" s="139" t="s">
        <v>1468</v>
      </c>
      <c r="E185" s="217">
        <v>1135271</v>
      </c>
      <c r="F185" s="141">
        <v>1135271</v>
      </c>
    </row>
    <row r="186" spans="1:6">
      <c r="A186" s="54" t="s">
        <v>173</v>
      </c>
      <c r="B186" s="155" t="s">
        <v>869</v>
      </c>
      <c r="C186" s="139" t="s">
        <v>1503</v>
      </c>
      <c r="D186" s="139" t="s">
        <v>1364</v>
      </c>
      <c r="E186" s="217">
        <v>1135271</v>
      </c>
      <c r="F186" s="141">
        <v>1135271</v>
      </c>
    </row>
    <row r="187" spans="1:6">
      <c r="A187" s="54" t="s">
        <v>186</v>
      </c>
      <c r="B187" s="155" t="s">
        <v>869</v>
      </c>
      <c r="C187" s="139" t="s">
        <v>1503</v>
      </c>
      <c r="D187" s="139" t="s">
        <v>497</v>
      </c>
      <c r="E187" s="217">
        <v>1135271</v>
      </c>
      <c r="F187" s="141">
        <v>1135271</v>
      </c>
    </row>
    <row r="188" spans="1:6" ht="255">
      <c r="A188" s="54" t="s">
        <v>1101</v>
      </c>
      <c r="B188" s="155" t="s">
        <v>877</v>
      </c>
      <c r="C188" s="139" t="s">
        <v>1468</v>
      </c>
      <c r="D188" s="139" t="s">
        <v>1468</v>
      </c>
      <c r="E188" s="217">
        <v>74361300</v>
      </c>
      <c r="F188" s="141">
        <v>74361300</v>
      </c>
    </row>
    <row r="189" spans="1:6" ht="76.5">
      <c r="A189" s="212" t="s">
        <v>1754</v>
      </c>
      <c r="B189" s="155" t="s">
        <v>877</v>
      </c>
      <c r="C189" s="139" t="s">
        <v>322</v>
      </c>
      <c r="D189" s="139" t="s">
        <v>1468</v>
      </c>
      <c r="E189" s="217">
        <v>70585683</v>
      </c>
      <c r="F189" s="141">
        <v>70585683</v>
      </c>
    </row>
    <row r="190" spans="1:6" ht="25.5">
      <c r="A190" s="54" t="s">
        <v>1487</v>
      </c>
      <c r="B190" s="155" t="s">
        <v>877</v>
      </c>
      <c r="C190" s="139" t="s">
        <v>165</v>
      </c>
      <c r="D190" s="139" t="s">
        <v>1468</v>
      </c>
      <c r="E190" s="217">
        <v>70585683</v>
      </c>
      <c r="F190" s="141">
        <v>70585683</v>
      </c>
    </row>
    <row r="191" spans="1:6">
      <c r="A191" s="54" t="s">
        <v>173</v>
      </c>
      <c r="B191" s="155" t="s">
        <v>877</v>
      </c>
      <c r="C191" s="139" t="s">
        <v>165</v>
      </c>
      <c r="D191" s="139" t="s">
        <v>1364</v>
      </c>
      <c r="E191" s="217">
        <v>70585683</v>
      </c>
      <c r="F191" s="141">
        <v>70585683</v>
      </c>
    </row>
    <row r="192" spans="1:6">
      <c r="A192" s="54" t="s">
        <v>187</v>
      </c>
      <c r="B192" s="155" t="s">
        <v>877</v>
      </c>
      <c r="C192" s="139" t="s">
        <v>165</v>
      </c>
      <c r="D192" s="139" t="s">
        <v>484</v>
      </c>
      <c r="E192" s="217">
        <v>70585683</v>
      </c>
      <c r="F192" s="141">
        <v>70585683</v>
      </c>
    </row>
    <row r="193" spans="1:6" ht="38.25">
      <c r="A193" s="54" t="s">
        <v>1755</v>
      </c>
      <c r="B193" s="155" t="s">
        <v>877</v>
      </c>
      <c r="C193" s="139" t="s">
        <v>1756</v>
      </c>
      <c r="D193" s="139" t="s">
        <v>1468</v>
      </c>
      <c r="E193" s="217">
        <v>3775617</v>
      </c>
      <c r="F193" s="141">
        <v>3775617</v>
      </c>
    </row>
    <row r="194" spans="1:6" ht="38.25">
      <c r="A194" s="54" t="s">
        <v>1502</v>
      </c>
      <c r="B194" s="140" t="s">
        <v>877</v>
      </c>
      <c r="C194" s="139" t="s">
        <v>1503</v>
      </c>
      <c r="D194" s="139" t="s">
        <v>1468</v>
      </c>
      <c r="E194" s="217">
        <v>3775617</v>
      </c>
      <c r="F194" s="141">
        <v>3775617</v>
      </c>
    </row>
    <row r="195" spans="1:6">
      <c r="A195" s="54" t="s">
        <v>173</v>
      </c>
      <c r="B195" s="140" t="s">
        <v>877</v>
      </c>
      <c r="C195" s="139" t="s">
        <v>1503</v>
      </c>
      <c r="D195" s="139" t="s">
        <v>1364</v>
      </c>
      <c r="E195" s="217">
        <v>3775617</v>
      </c>
      <c r="F195" s="141">
        <v>3775617</v>
      </c>
    </row>
    <row r="196" spans="1:6">
      <c r="A196" s="54" t="s">
        <v>187</v>
      </c>
      <c r="B196" s="140" t="s">
        <v>877</v>
      </c>
      <c r="C196" s="139" t="s">
        <v>1503</v>
      </c>
      <c r="D196" s="139" t="s">
        <v>484</v>
      </c>
      <c r="E196" s="217">
        <v>3775617</v>
      </c>
      <c r="F196" s="141">
        <v>3775617</v>
      </c>
    </row>
    <row r="197" spans="1:6" ht="216.75">
      <c r="A197" s="212" t="s">
        <v>628</v>
      </c>
      <c r="B197" s="140" t="s">
        <v>913</v>
      </c>
      <c r="C197" s="139" t="s">
        <v>1468</v>
      </c>
      <c r="D197" s="139" t="s">
        <v>1468</v>
      </c>
      <c r="E197" s="217">
        <v>734200</v>
      </c>
      <c r="F197" s="141">
        <v>734200</v>
      </c>
    </row>
    <row r="198" spans="1:6" ht="38.25">
      <c r="A198" s="54" t="s">
        <v>1755</v>
      </c>
      <c r="B198" s="140" t="s">
        <v>913</v>
      </c>
      <c r="C198" s="139" t="s">
        <v>1756</v>
      </c>
      <c r="D198" s="139" t="s">
        <v>1468</v>
      </c>
      <c r="E198" s="217">
        <v>734200</v>
      </c>
      <c r="F198" s="141">
        <v>734200</v>
      </c>
    </row>
    <row r="199" spans="1:6" ht="38.25">
      <c r="A199" s="54" t="s">
        <v>1502</v>
      </c>
      <c r="B199" s="140" t="s">
        <v>913</v>
      </c>
      <c r="C199" s="139" t="s">
        <v>1503</v>
      </c>
      <c r="D199" s="139" t="s">
        <v>1468</v>
      </c>
      <c r="E199" s="217">
        <v>734200</v>
      </c>
      <c r="F199" s="141">
        <v>734200</v>
      </c>
    </row>
    <row r="200" spans="1:6">
      <c r="A200" s="212" t="s">
        <v>174</v>
      </c>
      <c r="B200" s="140" t="s">
        <v>913</v>
      </c>
      <c r="C200" s="139" t="s">
        <v>1503</v>
      </c>
      <c r="D200" s="139" t="s">
        <v>1365</v>
      </c>
      <c r="E200" s="217">
        <v>734200</v>
      </c>
      <c r="F200" s="141">
        <v>734200</v>
      </c>
    </row>
    <row r="201" spans="1:6">
      <c r="A201" s="54" t="s">
        <v>127</v>
      </c>
      <c r="B201" s="140" t="s">
        <v>913</v>
      </c>
      <c r="C201" s="139" t="s">
        <v>1503</v>
      </c>
      <c r="D201" s="139" t="s">
        <v>466</v>
      </c>
      <c r="E201" s="217">
        <v>734200</v>
      </c>
      <c r="F201" s="141">
        <v>734200</v>
      </c>
    </row>
    <row r="202" spans="1:6" ht="153">
      <c r="A202" s="54" t="s">
        <v>513</v>
      </c>
      <c r="B202" s="140" t="s">
        <v>915</v>
      </c>
      <c r="C202" s="139" t="s">
        <v>1468</v>
      </c>
      <c r="D202" s="139" t="s">
        <v>1468</v>
      </c>
      <c r="E202" s="217">
        <v>5631800</v>
      </c>
      <c r="F202" s="141">
        <v>5631800</v>
      </c>
    </row>
    <row r="203" spans="1:6" ht="38.25">
      <c r="A203" s="54" t="s">
        <v>1755</v>
      </c>
      <c r="B203" s="140" t="s">
        <v>915</v>
      </c>
      <c r="C203" s="139" t="s">
        <v>1756</v>
      </c>
      <c r="D203" s="139" t="s">
        <v>1468</v>
      </c>
      <c r="E203" s="217">
        <v>110400</v>
      </c>
      <c r="F203" s="141">
        <v>110400</v>
      </c>
    </row>
    <row r="204" spans="1:6" ht="38.25">
      <c r="A204" s="212" t="s">
        <v>1502</v>
      </c>
      <c r="B204" s="140" t="s">
        <v>915</v>
      </c>
      <c r="C204" s="139" t="s">
        <v>1503</v>
      </c>
      <c r="D204" s="139" t="s">
        <v>1468</v>
      </c>
      <c r="E204" s="217">
        <v>110400</v>
      </c>
      <c r="F204" s="141">
        <v>110400</v>
      </c>
    </row>
    <row r="205" spans="1:6">
      <c r="A205" s="212" t="s">
        <v>174</v>
      </c>
      <c r="B205" s="140" t="s">
        <v>915</v>
      </c>
      <c r="C205" s="139" t="s">
        <v>1503</v>
      </c>
      <c r="D205" s="139" t="s">
        <v>1365</v>
      </c>
      <c r="E205" s="217">
        <v>110400</v>
      </c>
      <c r="F205" s="141">
        <v>110400</v>
      </c>
    </row>
    <row r="206" spans="1:6">
      <c r="A206" s="54" t="s">
        <v>26</v>
      </c>
      <c r="B206" s="140" t="s">
        <v>915</v>
      </c>
      <c r="C206" s="139" t="s">
        <v>1503</v>
      </c>
      <c r="D206" s="139" t="s">
        <v>512</v>
      </c>
      <c r="E206" s="217">
        <v>110400</v>
      </c>
      <c r="F206" s="141">
        <v>110400</v>
      </c>
    </row>
    <row r="207" spans="1:6" ht="25.5">
      <c r="A207" s="54" t="s">
        <v>1759</v>
      </c>
      <c r="B207" s="140" t="s">
        <v>915</v>
      </c>
      <c r="C207" s="139" t="s">
        <v>1760</v>
      </c>
      <c r="D207" s="139" t="s">
        <v>1468</v>
      </c>
      <c r="E207" s="217">
        <v>5521400</v>
      </c>
      <c r="F207" s="141">
        <v>5521400</v>
      </c>
    </row>
    <row r="208" spans="1:6" ht="38.25">
      <c r="A208" s="54" t="s">
        <v>1506</v>
      </c>
      <c r="B208" s="140" t="s">
        <v>915</v>
      </c>
      <c r="C208" s="139" t="s">
        <v>666</v>
      </c>
      <c r="D208" s="139" t="s">
        <v>1468</v>
      </c>
      <c r="E208" s="217">
        <v>5521400</v>
      </c>
      <c r="F208" s="141">
        <v>5521400</v>
      </c>
    </row>
    <row r="209" spans="1:6">
      <c r="A209" s="54" t="s">
        <v>174</v>
      </c>
      <c r="B209" s="140" t="s">
        <v>915</v>
      </c>
      <c r="C209" s="139" t="s">
        <v>666</v>
      </c>
      <c r="D209" s="139" t="s">
        <v>1365</v>
      </c>
      <c r="E209" s="217">
        <v>5521400</v>
      </c>
      <c r="F209" s="141">
        <v>5521400</v>
      </c>
    </row>
    <row r="210" spans="1:6">
      <c r="A210" s="54" t="s">
        <v>26</v>
      </c>
      <c r="B210" s="140" t="s">
        <v>915</v>
      </c>
      <c r="C210" s="139" t="s">
        <v>666</v>
      </c>
      <c r="D210" s="139" t="s">
        <v>512</v>
      </c>
      <c r="E210" s="217">
        <v>5521400</v>
      </c>
      <c r="F210" s="141">
        <v>5521400</v>
      </c>
    </row>
    <row r="211" spans="1:6" ht="204">
      <c r="A211" s="54" t="s">
        <v>501</v>
      </c>
      <c r="B211" s="140" t="s">
        <v>875</v>
      </c>
      <c r="C211" s="139" t="s">
        <v>1468</v>
      </c>
      <c r="D211" s="139" t="s">
        <v>1468</v>
      </c>
      <c r="E211" s="217">
        <v>368055200</v>
      </c>
      <c r="F211" s="141">
        <v>368055200</v>
      </c>
    </row>
    <row r="212" spans="1:6" ht="76.5">
      <c r="A212" s="212" t="s">
        <v>1754</v>
      </c>
      <c r="B212" s="140" t="s">
        <v>875</v>
      </c>
      <c r="C212" s="139" t="s">
        <v>322</v>
      </c>
      <c r="D212" s="139" t="s">
        <v>1468</v>
      </c>
      <c r="E212" s="217">
        <v>337695986</v>
      </c>
      <c r="F212" s="141">
        <v>337695986</v>
      </c>
    </row>
    <row r="213" spans="1:6" ht="25.5">
      <c r="A213" s="212" t="s">
        <v>1487</v>
      </c>
      <c r="B213" s="140" t="s">
        <v>875</v>
      </c>
      <c r="C213" s="139" t="s">
        <v>165</v>
      </c>
      <c r="D213" s="139" t="s">
        <v>1468</v>
      </c>
      <c r="E213" s="217">
        <v>337695986</v>
      </c>
      <c r="F213" s="141">
        <v>337695986</v>
      </c>
    </row>
    <row r="214" spans="1:6">
      <c r="A214" s="54" t="s">
        <v>173</v>
      </c>
      <c r="B214" s="140" t="s">
        <v>875</v>
      </c>
      <c r="C214" s="139" t="s">
        <v>165</v>
      </c>
      <c r="D214" s="139" t="s">
        <v>1364</v>
      </c>
      <c r="E214" s="217">
        <v>337695986</v>
      </c>
      <c r="F214" s="141">
        <v>337695986</v>
      </c>
    </row>
    <row r="215" spans="1:6">
      <c r="A215" s="54" t="s">
        <v>187</v>
      </c>
      <c r="B215" s="140" t="s">
        <v>875</v>
      </c>
      <c r="C215" s="139" t="s">
        <v>165</v>
      </c>
      <c r="D215" s="139" t="s">
        <v>484</v>
      </c>
      <c r="E215" s="217">
        <v>337695986</v>
      </c>
      <c r="F215" s="141">
        <v>337695986</v>
      </c>
    </row>
    <row r="216" spans="1:6" ht="38.25">
      <c r="A216" s="54" t="s">
        <v>1755</v>
      </c>
      <c r="B216" s="140" t="s">
        <v>875</v>
      </c>
      <c r="C216" s="139" t="s">
        <v>1756</v>
      </c>
      <c r="D216" s="139" t="s">
        <v>1468</v>
      </c>
      <c r="E216" s="217">
        <v>30359214</v>
      </c>
      <c r="F216" s="141">
        <v>30359214</v>
      </c>
    </row>
    <row r="217" spans="1:6" ht="38.25">
      <c r="A217" s="54" t="s">
        <v>1502</v>
      </c>
      <c r="B217" s="140" t="s">
        <v>875</v>
      </c>
      <c r="C217" s="139" t="s">
        <v>1503</v>
      </c>
      <c r="D217" s="139" t="s">
        <v>1468</v>
      </c>
      <c r="E217" s="217">
        <v>30359214</v>
      </c>
      <c r="F217" s="141">
        <v>30359214</v>
      </c>
    </row>
    <row r="218" spans="1:6">
      <c r="A218" s="54" t="s">
        <v>173</v>
      </c>
      <c r="B218" s="140" t="s">
        <v>875</v>
      </c>
      <c r="C218" s="139" t="s">
        <v>1503</v>
      </c>
      <c r="D218" s="139" t="s">
        <v>1364</v>
      </c>
      <c r="E218" s="217">
        <v>30359214</v>
      </c>
      <c r="F218" s="141">
        <v>30359214</v>
      </c>
    </row>
    <row r="219" spans="1:6">
      <c r="A219" s="54" t="s">
        <v>187</v>
      </c>
      <c r="B219" s="140" t="s">
        <v>875</v>
      </c>
      <c r="C219" s="139" t="s">
        <v>1503</v>
      </c>
      <c r="D219" s="139" t="s">
        <v>484</v>
      </c>
      <c r="E219" s="217">
        <v>30359214</v>
      </c>
      <c r="F219" s="141">
        <v>30359214</v>
      </c>
    </row>
    <row r="220" spans="1:6" ht="140.25">
      <c r="A220" s="54" t="s">
        <v>511</v>
      </c>
      <c r="B220" s="140" t="s">
        <v>914</v>
      </c>
      <c r="C220" s="139" t="s">
        <v>1468</v>
      </c>
      <c r="D220" s="139" t="s">
        <v>1468</v>
      </c>
      <c r="E220" s="217">
        <v>33909000</v>
      </c>
      <c r="F220" s="141">
        <v>33909000</v>
      </c>
    </row>
    <row r="221" spans="1:6" ht="38.25">
      <c r="A221" s="54" t="s">
        <v>1755</v>
      </c>
      <c r="B221" s="140" t="s">
        <v>914</v>
      </c>
      <c r="C221" s="139" t="s">
        <v>1756</v>
      </c>
      <c r="D221" s="139" t="s">
        <v>1468</v>
      </c>
      <c r="E221" s="217">
        <v>33116000</v>
      </c>
      <c r="F221" s="141">
        <v>33116000</v>
      </c>
    </row>
    <row r="222" spans="1:6" ht="38.25">
      <c r="A222" s="54" t="s">
        <v>1502</v>
      </c>
      <c r="B222" s="140" t="s">
        <v>914</v>
      </c>
      <c r="C222" s="139" t="s">
        <v>1503</v>
      </c>
      <c r="D222" s="139" t="s">
        <v>1468</v>
      </c>
      <c r="E222" s="217">
        <v>33116000</v>
      </c>
      <c r="F222" s="141">
        <v>33116000</v>
      </c>
    </row>
    <row r="223" spans="1:6">
      <c r="A223" s="54" t="s">
        <v>174</v>
      </c>
      <c r="B223" s="140" t="s">
        <v>914</v>
      </c>
      <c r="C223" s="139" t="s">
        <v>1503</v>
      </c>
      <c r="D223" s="139" t="s">
        <v>1365</v>
      </c>
      <c r="E223" s="217">
        <v>33116000</v>
      </c>
      <c r="F223" s="141">
        <v>33116000</v>
      </c>
    </row>
    <row r="224" spans="1:6">
      <c r="A224" s="54" t="s">
        <v>127</v>
      </c>
      <c r="B224" s="140" t="s">
        <v>914</v>
      </c>
      <c r="C224" s="139" t="s">
        <v>1503</v>
      </c>
      <c r="D224" s="139" t="s">
        <v>466</v>
      </c>
      <c r="E224" s="217">
        <v>33116000</v>
      </c>
      <c r="F224" s="141">
        <v>33116000</v>
      </c>
    </row>
    <row r="225" spans="1:6" ht="25.5">
      <c r="A225" s="54" t="s">
        <v>1759</v>
      </c>
      <c r="B225" s="140" t="s">
        <v>914</v>
      </c>
      <c r="C225" s="139" t="s">
        <v>1760</v>
      </c>
      <c r="D225" s="139" t="s">
        <v>1468</v>
      </c>
      <c r="E225" s="217">
        <v>793000</v>
      </c>
      <c r="F225" s="141">
        <v>793000</v>
      </c>
    </row>
    <row r="226" spans="1:6" ht="38.25">
      <c r="A226" s="54" t="s">
        <v>1506</v>
      </c>
      <c r="B226" s="140" t="s">
        <v>914</v>
      </c>
      <c r="C226" s="139" t="s">
        <v>666</v>
      </c>
      <c r="D226" s="139" t="s">
        <v>1468</v>
      </c>
      <c r="E226" s="217">
        <v>793000</v>
      </c>
      <c r="F226" s="141">
        <v>793000</v>
      </c>
    </row>
    <row r="227" spans="1:6">
      <c r="A227" s="54" t="s">
        <v>174</v>
      </c>
      <c r="B227" s="140" t="s">
        <v>914</v>
      </c>
      <c r="C227" s="139" t="s">
        <v>666</v>
      </c>
      <c r="D227" s="139" t="s">
        <v>1365</v>
      </c>
      <c r="E227" s="217">
        <v>793000</v>
      </c>
      <c r="F227" s="141">
        <v>793000</v>
      </c>
    </row>
    <row r="228" spans="1:6">
      <c r="A228" s="54" t="s">
        <v>127</v>
      </c>
      <c r="B228" s="140" t="s">
        <v>914</v>
      </c>
      <c r="C228" s="139" t="s">
        <v>666</v>
      </c>
      <c r="D228" s="139" t="s">
        <v>466</v>
      </c>
      <c r="E228" s="217">
        <v>793000</v>
      </c>
      <c r="F228" s="141">
        <v>793000</v>
      </c>
    </row>
    <row r="229" spans="1:6" ht="204">
      <c r="A229" s="54" t="s">
        <v>498</v>
      </c>
      <c r="B229" s="140" t="s">
        <v>867</v>
      </c>
      <c r="C229" s="139" t="s">
        <v>1468</v>
      </c>
      <c r="D229" s="139" t="s">
        <v>1468</v>
      </c>
      <c r="E229" s="217">
        <v>127223900</v>
      </c>
      <c r="F229" s="141">
        <v>127223900</v>
      </c>
    </row>
    <row r="230" spans="1:6" ht="76.5">
      <c r="A230" s="54" t="s">
        <v>1754</v>
      </c>
      <c r="B230" s="140" t="s">
        <v>867</v>
      </c>
      <c r="C230" s="139" t="s">
        <v>322</v>
      </c>
      <c r="D230" s="139" t="s">
        <v>1468</v>
      </c>
      <c r="E230" s="217">
        <v>110052578</v>
      </c>
      <c r="F230" s="141">
        <v>110052578</v>
      </c>
    </row>
    <row r="231" spans="1:6" ht="25.5">
      <c r="A231" s="54" t="s">
        <v>1487</v>
      </c>
      <c r="B231" s="140" t="s">
        <v>867</v>
      </c>
      <c r="C231" s="139" t="s">
        <v>165</v>
      </c>
      <c r="D231" s="139" t="s">
        <v>1468</v>
      </c>
      <c r="E231" s="217">
        <v>110052578</v>
      </c>
      <c r="F231" s="141">
        <v>110052578</v>
      </c>
    </row>
    <row r="232" spans="1:6">
      <c r="A232" s="54" t="s">
        <v>173</v>
      </c>
      <c r="B232" s="140" t="s">
        <v>867</v>
      </c>
      <c r="C232" s="139" t="s">
        <v>165</v>
      </c>
      <c r="D232" s="139" t="s">
        <v>1364</v>
      </c>
      <c r="E232" s="217">
        <v>110052578</v>
      </c>
      <c r="F232" s="141">
        <v>110052578</v>
      </c>
    </row>
    <row r="233" spans="1:6">
      <c r="A233" s="54" t="s">
        <v>186</v>
      </c>
      <c r="B233" s="140" t="s">
        <v>867</v>
      </c>
      <c r="C233" s="139" t="s">
        <v>165</v>
      </c>
      <c r="D233" s="139" t="s">
        <v>497</v>
      </c>
      <c r="E233" s="217">
        <v>110052578</v>
      </c>
      <c r="F233" s="141">
        <v>110052578</v>
      </c>
    </row>
    <row r="234" spans="1:6" ht="38.25">
      <c r="A234" s="54" t="s">
        <v>1755</v>
      </c>
      <c r="B234" s="140" t="s">
        <v>867</v>
      </c>
      <c r="C234" s="139" t="s">
        <v>1756</v>
      </c>
      <c r="D234" s="139" t="s">
        <v>1468</v>
      </c>
      <c r="E234" s="217">
        <v>17171322</v>
      </c>
      <c r="F234" s="141">
        <v>17171322</v>
      </c>
    </row>
    <row r="235" spans="1:6" ht="38.25">
      <c r="A235" s="54" t="s">
        <v>1502</v>
      </c>
      <c r="B235" s="140" t="s">
        <v>867</v>
      </c>
      <c r="C235" s="139" t="s">
        <v>1503</v>
      </c>
      <c r="D235" s="139" t="s">
        <v>1468</v>
      </c>
      <c r="E235" s="217">
        <v>17171322</v>
      </c>
      <c r="F235" s="141">
        <v>17171322</v>
      </c>
    </row>
    <row r="236" spans="1:6">
      <c r="A236" s="54" t="s">
        <v>173</v>
      </c>
      <c r="B236" s="140" t="s">
        <v>867</v>
      </c>
      <c r="C236" s="139" t="s">
        <v>1503</v>
      </c>
      <c r="D236" s="139" t="s">
        <v>1364</v>
      </c>
      <c r="E236" s="217">
        <v>17171322</v>
      </c>
      <c r="F236" s="141">
        <v>17171322</v>
      </c>
    </row>
    <row r="237" spans="1:6">
      <c r="A237" s="54" t="s">
        <v>186</v>
      </c>
      <c r="B237" s="140" t="s">
        <v>867</v>
      </c>
      <c r="C237" s="139" t="s">
        <v>1503</v>
      </c>
      <c r="D237" s="139" t="s">
        <v>497</v>
      </c>
      <c r="E237" s="217">
        <v>17171322</v>
      </c>
      <c r="F237" s="141">
        <v>17171322</v>
      </c>
    </row>
    <row r="238" spans="1:6" ht="102">
      <c r="A238" s="54" t="s">
        <v>1485</v>
      </c>
      <c r="B238" s="140" t="s">
        <v>1486</v>
      </c>
      <c r="C238" s="139" t="s">
        <v>1468</v>
      </c>
      <c r="D238" s="139" t="s">
        <v>1468</v>
      </c>
      <c r="E238" s="217">
        <v>8806200</v>
      </c>
      <c r="F238" s="141">
        <v>8806200</v>
      </c>
    </row>
    <row r="239" spans="1:6" ht="38.25">
      <c r="A239" s="54" t="s">
        <v>1755</v>
      </c>
      <c r="B239" s="140" t="s">
        <v>1486</v>
      </c>
      <c r="C239" s="139" t="s">
        <v>1756</v>
      </c>
      <c r="D239" s="139" t="s">
        <v>1468</v>
      </c>
      <c r="E239" s="217">
        <v>5301900</v>
      </c>
      <c r="F239" s="141">
        <v>5301900</v>
      </c>
    </row>
    <row r="240" spans="1:6" ht="38.25">
      <c r="A240" s="54" t="s">
        <v>1502</v>
      </c>
      <c r="B240" s="140" t="s">
        <v>1486</v>
      </c>
      <c r="C240" s="139" t="s">
        <v>1503</v>
      </c>
      <c r="D240" s="139" t="s">
        <v>1468</v>
      </c>
      <c r="E240" s="217">
        <v>5301900</v>
      </c>
      <c r="F240" s="141">
        <v>5301900</v>
      </c>
    </row>
    <row r="241" spans="1:6">
      <c r="A241" s="54" t="s">
        <v>173</v>
      </c>
      <c r="B241" s="140" t="s">
        <v>1486</v>
      </c>
      <c r="C241" s="139" t="s">
        <v>1503</v>
      </c>
      <c r="D241" s="139" t="s">
        <v>1364</v>
      </c>
      <c r="E241" s="217">
        <v>5301900</v>
      </c>
      <c r="F241" s="141">
        <v>5301900</v>
      </c>
    </row>
    <row r="242" spans="1:6">
      <c r="A242" s="54" t="s">
        <v>1238</v>
      </c>
      <c r="B242" s="140" t="s">
        <v>1486</v>
      </c>
      <c r="C242" s="139" t="s">
        <v>1503</v>
      </c>
      <c r="D242" s="139" t="s">
        <v>453</v>
      </c>
      <c r="E242" s="217">
        <v>5301900</v>
      </c>
      <c r="F242" s="141">
        <v>5301900</v>
      </c>
    </row>
    <row r="243" spans="1:6" ht="25.5">
      <c r="A243" s="54" t="s">
        <v>1759</v>
      </c>
      <c r="B243" s="140" t="s">
        <v>1486</v>
      </c>
      <c r="C243" s="139" t="s">
        <v>1760</v>
      </c>
      <c r="D243" s="139" t="s">
        <v>1468</v>
      </c>
      <c r="E243" s="217">
        <v>325500</v>
      </c>
      <c r="F243" s="141">
        <v>325500</v>
      </c>
    </row>
    <row r="244" spans="1:6" ht="38.25">
      <c r="A244" s="212" t="s">
        <v>1506</v>
      </c>
      <c r="B244" s="140" t="s">
        <v>1486</v>
      </c>
      <c r="C244" s="139" t="s">
        <v>666</v>
      </c>
      <c r="D244" s="139" t="s">
        <v>1468</v>
      </c>
      <c r="E244" s="217">
        <v>325500</v>
      </c>
      <c r="F244" s="141">
        <v>325500</v>
      </c>
    </row>
    <row r="245" spans="1:6">
      <c r="A245" s="54" t="s">
        <v>173</v>
      </c>
      <c r="B245" s="140" t="s">
        <v>1486</v>
      </c>
      <c r="C245" s="139" t="s">
        <v>666</v>
      </c>
      <c r="D245" s="139" t="s">
        <v>1364</v>
      </c>
      <c r="E245" s="217">
        <v>325500</v>
      </c>
      <c r="F245" s="141">
        <v>325500</v>
      </c>
    </row>
    <row r="246" spans="1:6">
      <c r="A246" s="54" t="s">
        <v>1238</v>
      </c>
      <c r="B246" s="140" t="s">
        <v>1486</v>
      </c>
      <c r="C246" s="139" t="s">
        <v>666</v>
      </c>
      <c r="D246" s="139" t="s">
        <v>453</v>
      </c>
      <c r="E246" s="217">
        <v>325500</v>
      </c>
      <c r="F246" s="141">
        <v>325500</v>
      </c>
    </row>
    <row r="247" spans="1:6" ht="38.25">
      <c r="A247" s="54" t="s">
        <v>1763</v>
      </c>
      <c r="B247" s="140" t="s">
        <v>1486</v>
      </c>
      <c r="C247" s="139" t="s">
        <v>1764</v>
      </c>
      <c r="D247" s="139" t="s">
        <v>1468</v>
      </c>
      <c r="E247" s="217">
        <v>3178800</v>
      </c>
      <c r="F247" s="141">
        <v>3178800</v>
      </c>
    </row>
    <row r="248" spans="1:6">
      <c r="A248" s="54" t="s">
        <v>1504</v>
      </c>
      <c r="B248" s="140" t="s">
        <v>1486</v>
      </c>
      <c r="C248" s="139" t="s">
        <v>1505</v>
      </c>
      <c r="D248" s="139" t="s">
        <v>1468</v>
      </c>
      <c r="E248" s="217">
        <v>3178800</v>
      </c>
      <c r="F248" s="141">
        <v>3178800</v>
      </c>
    </row>
    <row r="249" spans="1:6">
      <c r="A249" s="54" t="s">
        <v>173</v>
      </c>
      <c r="B249" s="140" t="s">
        <v>1486</v>
      </c>
      <c r="C249" s="139" t="s">
        <v>1505</v>
      </c>
      <c r="D249" s="139" t="s">
        <v>1364</v>
      </c>
      <c r="E249" s="217">
        <v>3178800</v>
      </c>
      <c r="F249" s="141">
        <v>3178800</v>
      </c>
    </row>
    <row r="250" spans="1:6">
      <c r="A250" s="54" t="s">
        <v>1238</v>
      </c>
      <c r="B250" s="140" t="s">
        <v>1486</v>
      </c>
      <c r="C250" s="139" t="s">
        <v>1505</v>
      </c>
      <c r="D250" s="139" t="s">
        <v>453</v>
      </c>
      <c r="E250" s="217">
        <v>3178800</v>
      </c>
      <c r="F250" s="141">
        <v>3178800</v>
      </c>
    </row>
    <row r="251" spans="1:6" ht="89.25">
      <c r="A251" s="54" t="s">
        <v>500</v>
      </c>
      <c r="B251" s="140" t="s">
        <v>889</v>
      </c>
      <c r="C251" s="139" t="s">
        <v>1468</v>
      </c>
      <c r="D251" s="139" t="s">
        <v>1468</v>
      </c>
      <c r="E251" s="217">
        <v>2167000</v>
      </c>
      <c r="F251" s="141">
        <v>2167000</v>
      </c>
    </row>
    <row r="252" spans="1:6" ht="38.25">
      <c r="A252" s="54" t="s">
        <v>1755</v>
      </c>
      <c r="B252" s="155" t="s">
        <v>889</v>
      </c>
      <c r="C252" s="139" t="s">
        <v>1756</v>
      </c>
      <c r="D252" s="139" t="s">
        <v>1468</v>
      </c>
      <c r="E252" s="217">
        <v>1600000</v>
      </c>
      <c r="F252" s="141">
        <v>1600000</v>
      </c>
    </row>
    <row r="253" spans="1:6" ht="38.25">
      <c r="A253" s="54" t="s">
        <v>1502</v>
      </c>
      <c r="B253" s="155" t="s">
        <v>889</v>
      </c>
      <c r="C253" s="139" t="s">
        <v>1503</v>
      </c>
      <c r="D253" s="139" t="s">
        <v>1468</v>
      </c>
      <c r="E253" s="217">
        <v>1600000</v>
      </c>
      <c r="F253" s="141">
        <v>1600000</v>
      </c>
    </row>
    <row r="254" spans="1:6">
      <c r="A254" s="54" t="s">
        <v>173</v>
      </c>
      <c r="B254" s="155" t="s">
        <v>889</v>
      </c>
      <c r="C254" s="139" t="s">
        <v>1503</v>
      </c>
      <c r="D254" s="139" t="s">
        <v>1364</v>
      </c>
      <c r="E254" s="217">
        <v>1600000</v>
      </c>
      <c r="F254" s="141">
        <v>1600000</v>
      </c>
    </row>
    <row r="255" spans="1:6">
      <c r="A255" s="54" t="s">
        <v>187</v>
      </c>
      <c r="B255" s="155" t="s">
        <v>889</v>
      </c>
      <c r="C255" s="139" t="s">
        <v>1503</v>
      </c>
      <c r="D255" s="139" t="s">
        <v>484</v>
      </c>
      <c r="E255" s="217">
        <v>800000</v>
      </c>
      <c r="F255" s="141">
        <v>800000</v>
      </c>
    </row>
    <row r="256" spans="1:6">
      <c r="A256" s="54" t="s">
        <v>1240</v>
      </c>
      <c r="B256" s="155" t="s">
        <v>889</v>
      </c>
      <c r="C256" s="139" t="s">
        <v>1503</v>
      </c>
      <c r="D256" s="139" t="s">
        <v>1241</v>
      </c>
      <c r="E256" s="217">
        <v>580000</v>
      </c>
      <c r="F256" s="141">
        <v>580000</v>
      </c>
    </row>
    <row r="257" spans="1:6">
      <c r="A257" s="54" t="s">
        <v>4</v>
      </c>
      <c r="B257" s="155" t="s">
        <v>889</v>
      </c>
      <c r="C257" s="139" t="s">
        <v>1503</v>
      </c>
      <c r="D257" s="139" t="s">
        <v>509</v>
      </c>
      <c r="E257" s="217">
        <v>220000</v>
      </c>
      <c r="F257" s="141">
        <v>220000</v>
      </c>
    </row>
    <row r="258" spans="1:6" ht="25.5">
      <c r="A258" s="54" t="s">
        <v>1759</v>
      </c>
      <c r="B258" s="155" t="s">
        <v>889</v>
      </c>
      <c r="C258" s="139" t="s">
        <v>1760</v>
      </c>
      <c r="D258" s="139" t="s">
        <v>1468</v>
      </c>
      <c r="E258" s="217">
        <v>105000</v>
      </c>
      <c r="F258" s="141">
        <v>105000</v>
      </c>
    </row>
    <row r="259" spans="1:6">
      <c r="A259" s="54" t="s">
        <v>625</v>
      </c>
      <c r="B259" s="155" t="s">
        <v>889</v>
      </c>
      <c r="C259" s="139" t="s">
        <v>626</v>
      </c>
      <c r="D259" s="139" t="s">
        <v>1468</v>
      </c>
      <c r="E259" s="217">
        <v>105000</v>
      </c>
      <c r="F259" s="141">
        <v>105000</v>
      </c>
    </row>
    <row r="260" spans="1:6">
      <c r="A260" s="54" t="s">
        <v>173</v>
      </c>
      <c r="B260" s="140" t="s">
        <v>889</v>
      </c>
      <c r="C260" s="139" t="s">
        <v>626</v>
      </c>
      <c r="D260" s="139" t="s">
        <v>1364</v>
      </c>
      <c r="E260" s="217">
        <v>105000</v>
      </c>
      <c r="F260" s="141">
        <v>105000</v>
      </c>
    </row>
    <row r="261" spans="1:6">
      <c r="A261" s="54" t="s">
        <v>187</v>
      </c>
      <c r="B261" s="155" t="s">
        <v>889</v>
      </c>
      <c r="C261" s="139" t="s">
        <v>626</v>
      </c>
      <c r="D261" s="139" t="s">
        <v>484</v>
      </c>
      <c r="E261" s="217">
        <v>105000</v>
      </c>
      <c r="F261" s="141">
        <v>105000</v>
      </c>
    </row>
    <row r="262" spans="1:6" ht="38.25">
      <c r="A262" s="54" t="s">
        <v>1763</v>
      </c>
      <c r="B262" s="155" t="s">
        <v>889</v>
      </c>
      <c r="C262" s="139" t="s">
        <v>1764</v>
      </c>
      <c r="D262" s="139" t="s">
        <v>1468</v>
      </c>
      <c r="E262" s="217">
        <v>462000</v>
      </c>
      <c r="F262" s="141">
        <v>462000</v>
      </c>
    </row>
    <row r="263" spans="1:6">
      <c r="A263" s="54" t="s">
        <v>1504</v>
      </c>
      <c r="B263" s="155" t="s">
        <v>889</v>
      </c>
      <c r="C263" s="139" t="s">
        <v>1505</v>
      </c>
      <c r="D263" s="139" t="s">
        <v>1468</v>
      </c>
      <c r="E263" s="217">
        <v>462000</v>
      </c>
      <c r="F263" s="141">
        <v>462000</v>
      </c>
    </row>
    <row r="264" spans="1:6">
      <c r="A264" s="54" t="s">
        <v>173</v>
      </c>
      <c r="B264" s="155" t="s">
        <v>889</v>
      </c>
      <c r="C264" s="139" t="s">
        <v>1505</v>
      </c>
      <c r="D264" s="139" t="s">
        <v>1364</v>
      </c>
      <c r="E264" s="217">
        <v>462000</v>
      </c>
      <c r="F264" s="141">
        <v>462000</v>
      </c>
    </row>
    <row r="265" spans="1:6">
      <c r="A265" s="54" t="s">
        <v>1240</v>
      </c>
      <c r="B265" s="155" t="s">
        <v>889</v>
      </c>
      <c r="C265" s="139" t="s">
        <v>1505</v>
      </c>
      <c r="D265" s="139" t="s">
        <v>1241</v>
      </c>
      <c r="E265" s="217">
        <v>462000</v>
      </c>
      <c r="F265" s="141">
        <v>462000</v>
      </c>
    </row>
    <row r="266" spans="1:6" ht="89.25">
      <c r="A266" s="54" t="s">
        <v>482</v>
      </c>
      <c r="B266" s="155" t="s">
        <v>904</v>
      </c>
      <c r="C266" s="139" t="s">
        <v>1468</v>
      </c>
      <c r="D266" s="139" t="s">
        <v>1468</v>
      </c>
      <c r="E266" s="217">
        <v>3565012</v>
      </c>
      <c r="F266" s="141">
        <v>3565012</v>
      </c>
    </row>
    <row r="267" spans="1:6" ht="38.25">
      <c r="A267" s="54" t="s">
        <v>1755</v>
      </c>
      <c r="B267" s="155" t="s">
        <v>904</v>
      </c>
      <c r="C267" s="139" t="s">
        <v>1756</v>
      </c>
      <c r="D267" s="139" t="s">
        <v>1468</v>
      </c>
      <c r="E267" s="217">
        <v>2272283</v>
      </c>
      <c r="F267" s="141">
        <v>2272283</v>
      </c>
    </row>
    <row r="268" spans="1:6" ht="38.25">
      <c r="A268" s="54" t="s">
        <v>1502</v>
      </c>
      <c r="B268" s="155" t="s">
        <v>904</v>
      </c>
      <c r="C268" s="139" t="s">
        <v>1503</v>
      </c>
      <c r="D268" s="139" t="s">
        <v>1468</v>
      </c>
      <c r="E268" s="217">
        <v>2272283</v>
      </c>
      <c r="F268" s="141">
        <v>2272283</v>
      </c>
    </row>
    <row r="269" spans="1:6">
      <c r="A269" s="54" t="s">
        <v>173</v>
      </c>
      <c r="B269" s="155" t="s">
        <v>904</v>
      </c>
      <c r="C269" s="139" t="s">
        <v>1503</v>
      </c>
      <c r="D269" s="139" t="s">
        <v>1364</v>
      </c>
      <c r="E269" s="217">
        <v>2272283</v>
      </c>
      <c r="F269" s="141">
        <v>2272283</v>
      </c>
    </row>
    <row r="270" spans="1:6">
      <c r="A270" s="54" t="s">
        <v>1238</v>
      </c>
      <c r="B270" s="155" t="s">
        <v>904</v>
      </c>
      <c r="C270" s="139" t="s">
        <v>1503</v>
      </c>
      <c r="D270" s="139" t="s">
        <v>453</v>
      </c>
      <c r="E270" s="217">
        <v>2272283</v>
      </c>
      <c r="F270" s="141">
        <v>2272283</v>
      </c>
    </row>
    <row r="271" spans="1:6" ht="38.25">
      <c r="A271" s="54" t="s">
        <v>1763</v>
      </c>
      <c r="B271" s="155" t="s">
        <v>904</v>
      </c>
      <c r="C271" s="139" t="s">
        <v>1764</v>
      </c>
      <c r="D271" s="139" t="s">
        <v>1468</v>
      </c>
      <c r="E271" s="217">
        <v>1292729</v>
      </c>
      <c r="F271" s="141">
        <v>1292729</v>
      </c>
    </row>
    <row r="272" spans="1:6">
      <c r="A272" s="54" t="s">
        <v>1504</v>
      </c>
      <c r="B272" s="155" t="s">
        <v>904</v>
      </c>
      <c r="C272" s="139" t="s">
        <v>1505</v>
      </c>
      <c r="D272" s="139" t="s">
        <v>1468</v>
      </c>
      <c r="E272" s="217">
        <v>1292729</v>
      </c>
      <c r="F272" s="141">
        <v>1292729</v>
      </c>
    </row>
    <row r="273" spans="1:6">
      <c r="A273" s="54" t="s">
        <v>173</v>
      </c>
      <c r="B273" s="155" t="s">
        <v>904</v>
      </c>
      <c r="C273" s="139" t="s">
        <v>1505</v>
      </c>
      <c r="D273" s="139" t="s">
        <v>1364</v>
      </c>
      <c r="E273" s="217">
        <v>1292729</v>
      </c>
      <c r="F273" s="141">
        <v>1292729</v>
      </c>
    </row>
    <row r="274" spans="1:6">
      <c r="A274" s="54" t="s">
        <v>1238</v>
      </c>
      <c r="B274" s="155" t="s">
        <v>904</v>
      </c>
      <c r="C274" s="139" t="s">
        <v>1505</v>
      </c>
      <c r="D274" s="139" t="s">
        <v>453</v>
      </c>
      <c r="E274" s="217">
        <v>1292729</v>
      </c>
      <c r="F274" s="141">
        <v>1292729</v>
      </c>
    </row>
    <row r="275" spans="1:6" ht="89.25">
      <c r="A275" s="54" t="s">
        <v>627</v>
      </c>
      <c r="B275" s="155" t="s">
        <v>892</v>
      </c>
      <c r="C275" s="139" t="s">
        <v>1468</v>
      </c>
      <c r="D275" s="139" t="s">
        <v>1468</v>
      </c>
      <c r="E275" s="217">
        <v>187200</v>
      </c>
      <c r="F275" s="141">
        <v>187200</v>
      </c>
    </row>
    <row r="276" spans="1:6" ht="25.5">
      <c r="A276" s="54" t="s">
        <v>1759</v>
      </c>
      <c r="B276" s="155" t="s">
        <v>892</v>
      </c>
      <c r="C276" s="54" t="s">
        <v>1760</v>
      </c>
      <c r="D276" s="54" t="s">
        <v>1468</v>
      </c>
      <c r="E276" s="217">
        <v>187200</v>
      </c>
      <c r="F276" s="141">
        <v>187200</v>
      </c>
    </row>
    <row r="277" spans="1:6" ht="25.5">
      <c r="A277" s="54" t="s">
        <v>426</v>
      </c>
      <c r="B277" s="155" t="s">
        <v>892</v>
      </c>
      <c r="C277" s="54" t="s">
        <v>427</v>
      </c>
      <c r="D277" s="54" t="s">
        <v>1468</v>
      </c>
      <c r="E277" s="217">
        <v>187200</v>
      </c>
      <c r="F277" s="141">
        <v>187200</v>
      </c>
    </row>
    <row r="278" spans="1:6">
      <c r="A278" s="54" t="s">
        <v>173</v>
      </c>
      <c r="B278" s="155" t="s">
        <v>892</v>
      </c>
      <c r="C278" s="54" t="s">
        <v>427</v>
      </c>
      <c r="D278" s="54" t="s">
        <v>1364</v>
      </c>
      <c r="E278" s="217">
        <v>187200</v>
      </c>
      <c r="F278" s="141">
        <v>187200</v>
      </c>
    </row>
    <row r="279" spans="1:6">
      <c r="A279" s="54" t="s">
        <v>187</v>
      </c>
      <c r="B279" s="155" t="s">
        <v>892</v>
      </c>
      <c r="C279" s="54" t="s">
        <v>427</v>
      </c>
      <c r="D279" s="54" t="s">
        <v>484</v>
      </c>
      <c r="E279" s="217">
        <v>187200</v>
      </c>
      <c r="F279" s="141">
        <v>187200</v>
      </c>
    </row>
    <row r="280" spans="1:6" ht="76.5">
      <c r="A280" s="54" t="s">
        <v>693</v>
      </c>
      <c r="B280" s="155" t="s">
        <v>891</v>
      </c>
      <c r="C280" s="54" t="s">
        <v>1468</v>
      </c>
      <c r="D280" s="54" t="s">
        <v>1468</v>
      </c>
      <c r="E280" s="217">
        <v>40000</v>
      </c>
      <c r="F280" s="141">
        <v>40000</v>
      </c>
    </row>
    <row r="281" spans="1:6" ht="38.25">
      <c r="A281" s="54" t="s">
        <v>1755</v>
      </c>
      <c r="B281" s="155" t="s">
        <v>891</v>
      </c>
      <c r="C281" s="54" t="s">
        <v>1756</v>
      </c>
      <c r="D281" s="54" t="s">
        <v>1468</v>
      </c>
      <c r="E281" s="217">
        <v>40000</v>
      </c>
      <c r="F281" s="141">
        <v>40000</v>
      </c>
    </row>
    <row r="282" spans="1:6" ht="38.25">
      <c r="A282" s="54" t="s">
        <v>1502</v>
      </c>
      <c r="B282" s="155" t="s">
        <v>891</v>
      </c>
      <c r="C282" s="54" t="s">
        <v>1503</v>
      </c>
      <c r="D282" s="54" t="s">
        <v>1468</v>
      </c>
      <c r="E282" s="217">
        <v>40000</v>
      </c>
      <c r="F282" s="141">
        <v>40000</v>
      </c>
    </row>
    <row r="283" spans="1:6">
      <c r="A283" s="54" t="s">
        <v>173</v>
      </c>
      <c r="B283" s="155" t="s">
        <v>891</v>
      </c>
      <c r="C283" s="54" t="s">
        <v>1503</v>
      </c>
      <c r="D283" s="54" t="s">
        <v>1364</v>
      </c>
      <c r="E283" s="217">
        <v>40000</v>
      </c>
      <c r="F283" s="141">
        <v>40000</v>
      </c>
    </row>
    <row r="284" spans="1:6">
      <c r="A284" s="54" t="s">
        <v>187</v>
      </c>
      <c r="B284" s="155" t="s">
        <v>891</v>
      </c>
      <c r="C284" s="54" t="s">
        <v>1503</v>
      </c>
      <c r="D284" s="54" t="s">
        <v>484</v>
      </c>
      <c r="E284" s="217">
        <v>40000</v>
      </c>
      <c r="F284" s="141">
        <v>40000</v>
      </c>
    </row>
    <row r="285" spans="1:6" ht="102">
      <c r="A285" s="54" t="s">
        <v>901</v>
      </c>
      <c r="B285" s="155" t="s">
        <v>902</v>
      </c>
      <c r="C285" s="54" t="s">
        <v>1468</v>
      </c>
      <c r="D285" s="54" t="s">
        <v>1468</v>
      </c>
      <c r="E285" s="217">
        <v>318</v>
      </c>
      <c r="F285" s="141">
        <v>318</v>
      </c>
    </row>
    <row r="286" spans="1:6" ht="38.25">
      <c r="A286" s="54" t="s">
        <v>1763</v>
      </c>
      <c r="B286" s="155" t="s">
        <v>902</v>
      </c>
      <c r="C286" s="54" t="s">
        <v>1764</v>
      </c>
      <c r="D286" s="54" t="s">
        <v>1468</v>
      </c>
      <c r="E286" s="217">
        <v>318</v>
      </c>
      <c r="F286" s="141">
        <v>318</v>
      </c>
    </row>
    <row r="287" spans="1:6">
      <c r="A287" s="156" t="s">
        <v>1504</v>
      </c>
      <c r="B287" s="140" t="s">
        <v>902</v>
      </c>
      <c r="C287" s="189" t="s">
        <v>1505</v>
      </c>
      <c r="D287" s="189" t="s">
        <v>1468</v>
      </c>
      <c r="E287" s="217">
        <v>318</v>
      </c>
      <c r="F287" s="141">
        <v>318</v>
      </c>
    </row>
    <row r="288" spans="1:6">
      <c r="A288" s="54" t="s">
        <v>173</v>
      </c>
      <c r="B288" s="140" t="s">
        <v>902</v>
      </c>
      <c r="C288" s="189" t="s">
        <v>1505</v>
      </c>
      <c r="D288" s="189" t="s">
        <v>1364</v>
      </c>
      <c r="E288" s="217">
        <v>318</v>
      </c>
      <c r="F288" s="141">
        <v>318</v>
      </c>
    </row>
    <row r="289" spans="1:6">
      <c r="A289" s="54" t="s">
        <v>1238</v>
      </c>
      <c r="B289" s="140" t="s">
        <v>902</v>
      </c>
      <c r="C289" s="189" t="s">
        <v>1505</v>
      </c>
      <c r="D289" s="189" t="s">
        <v>453</v>
      </c>
      <c r="E289" s="217">
        <v>318</v>
      </c>
      <c r="F289" s="141">
        <v>318</v>
      </c>
    </row>
    <row r="290" spans="1:6" ht="51">
      <c r="A290" s="54" t="s">
        <v>538</v>
      </c>
      <c r="B290" s="140" t="s">
        <v>1356</v>
      </c>
      <c r="C290" s="189" t="s">
        <v>1468</v>
      </c>
      <c r="D290" s="189" t="s">
        <v>1468</v>
      </c>
      <c r="E290" s="217">
        <v>10571100</v>
      </c>
      <c r="F290" s="141">
        <v>9153700</v>
      </c>
    </row>
    <row r="291" spans="1:6" ht="140.25">
      <c r="A291" s="54" t="s">
        <v>510</v>
      </c>
      <c r="B291" s="140" t="s">
        <v>1346</v>
      </c>
      <c r="C291" s="189" t="s">
        <v>1468</v>
      </c>
      <c r="D291" s="189" t="s">
        <v>1468</v>
      </c>
      <c r="E291" s="217">
        <v>4901600</v>
      </c>
      <c r="F291" s="141">
        <v>4901600</v>
      </c>
    </row>
    <row r="292" spans="1:6" ht="76.5">
      <c r="A292" s="212" t="s">
        <v>1754</v>
      </c>
      <c r="B292" s="140" t="s">
        <v>1346</v>
      </c>
      <c r="C292" s="189" t="s">
        <v>322</v>
      </c>
      <c r="D292" s="189" t="s">
        <v>1468</v>
      </c>
      <c r="E292" s="217">
        <v>3916873</v>
      </c>
      <c r="F292" s="141">
        <v>3916873</v>
      </c>
    </row>
    <row r="293" spans="1:6" ht="38.25">
      <c r="A293" s="54" t="s">
        <v>1509</v>
      </c>
      <c r="B293" s="155" t="s">
        <v>1346</v>
      </c>
      <c r="C293" s="54" t="s">
        <v>37</v>
      </c>
      <c r="D293" s="54" t="s">
        <v>1468</v>
      </c>
      <c r="E293" s="217">
        <v>3916873</v>
      </c>
      <c r="F293" s="141">
        <v>3916873</v>
      </c>
    </row>
    <row r="294" spans="1:6">
      <c r="A294" s="54" t="s">
        <v>173</v>
      </c>
      <c r="B294" s="155" t="s">
        <v>1346</v>
      </c>
      <c r="C294" s="54" t="s">
        <v>37</v>
      </c>
      <c r="D294" s="54" t="s">
        <v>1364</v>
      </c>
      <c r="E294" s="217">
        <v>3916873</v>
      </c>
      <c r="F294" s="141">
        <v>3916873</v>
      </c>
    </row>
    <row r="295" spans="1:6">
      <c r="A295" s="54" t="s">
        <v>4</v>
      </c>
      <c r="B295" s="155" t="s">
        <v>1346</v>
      </c>
      <c r="C295" s="54" t="s">
        <v>37</v>
      </c>
      <c r="D295" s="54" t="s">
        <v>509</v>
      </c>
      <c r="E295" s="217">
        <v>3916873</v>
      </c>
      <c r="F295" s="141">
        <v>3916873</v>
      </c>
    </row>
    <row r="296" spans="1:6" ht="38.25">
      <c r="A296" s="54" t="s">
        <v>1755</v>
      </c>
      <c r="B296" s="155" t="s">
        <v>1346</v>
      </c>
      <c r="C296" s="54" t="s">
        <v>1756</v>
      </c>
      <c r="D296" s="54" t="s">
        <v>1468</v>
      </c>
      <c r="E296" s="217">
        <v>984727</v>
      </c>
      <c r="F296" s="141">
        <v>984727</v>
      </c>
    </row>
    <row r="297" spans="1:6" ht="38.25">
      <c r="A297" s="54" t="s">
        <v>1502</v>
      </c>
      <c r="B297" s="155" t="s">
        <v>1346</v>
      </c>
      <c r="C297" s="54" t="s">
        <v>1503</v>
      </c>
      <c r="D297" s="54" t="s">
        <v>1468</v>
      </c>
      <c r="E297" s="217">
        <v>984727</v>
      </c>
      <c r="F297" s="141">
        <v>984727</v>
      </c>
    </row>
    <row r="298" spans="1:6">
      <c r="A298" s="212" t="s">
        <v>173</v>
      </c>
      <c r="B298" s="155" t="s">
        <v>1346</v>
      </c>
      <c r="C298" s="54" t="s">
        <v>1503</v>
      </c>
      <c r="D298" s="54" t="s">
        <v>1364</v>
      </c>
      <c r="E298" s="217">
        <v>984727</v>
      </c>
      <c r="F298" s="141">
        <v>984727</v>
      </c>
    </row>
    <row r="299" spans="1:6">
      <c r="A299" s="54" t="s">
        <v>4</v>
      </c>
      <c r="B299" s="155" t="s">
        <v>1346</v>
      </c>
      <c r="C299" s="54" t="s">
        <v>1503</v>
      </c>
      <c r="D299" s="54" t="s">
        <v>509</v>
      </c>
      <c r="E299" s="217">
        <v>984727</v>
      </c>
      <c r="F299" s="141">
        <v>984727</v>
      </c>
    </row>
    <row r="300" spans="1:6" ht="127.5">
      <c r="A300" s="54" t="s">
        <v>1483</v>
      </c>
      <c r="B300" s="155" t="s">
        <v>1484</v>
      </c>
      <c r="C300" s="54" t="s">
        <v>1468</v>
      </c>
      <c r="D300" s="54" t="s">
        <v>1468</v>
      </c>
      <c r="E300" s="217">
        <v>5669500</v>
      </c>
      <c r="F300" s="141">
        <v>4252100</v>
      </c>
    </row>
    <row r="301" spans="1:6" ht="38.25">
      <c r="A301" s="54" t="s">
        <v>1761</v>
      </c>
      <c r="B301" s="155" t="s">
        <v>1484</v>
      </c>
      <c r="C301" s="54" t="s">
        <v>1762</v>
      </c>
      <c r="D301" s="54" t="s">
        <v>1468</v>
      </c>
      <c r="E301" s="217">
        <v>5669500</v>
      </c>
      <c r="F301" s="141">
        <v>4252100</v>
      </c>
    </row>
    <row r="302" spans="1:6">
      <c r="A302" s="54" t="s">
        <v>1513</v>
      </c>
      <c r="B302" s="155" t="s">
        <v>1484</v>
      </c>
      <c r="C302" s="54" t="s">
        <v>101</v>
      </c>
      <c r="D302" s="54" t="s">
        <v>1468</v>
      </c>
      <c r="E302" s="217">
        <v>5669500</v>
      </c>
      <c r="F302" s="141">
        <v>4252100</v>
      </c>
    </row>
    <row r="303" spans="1:6">
      <c r="A303" s="54" t="s">
        <v>174</v>
      </c>
      <c r="B303" s="155" t="s">
        <v>1484</v>
      </c>
      <c r="C303" s="54" t="s">
        <v>101</v>
      </c>
      <c r="D303" s="54" t="s">
        <v>1365</v>
      </c>
      <c r="E303" s="217">
        <v>5669500</v>
      </c>
      <c r="F303" s="141">
        <v>4252100</v>
      </c>
    </row>
    <row r="304" spans="1:6">
      <c r="A304" s="212" t="s">
        <v>26</v>
      </c>
      <c r="B304" s="155" t="s">
        <v>1484</v>
      </c>
      <c r="C304" s="54" t="s">
        <v>101</v>
      </c>
      <c r="D304" s="54" t="s">
        <v>512</v>
      </c>
      <c r="E304" s="217">
        <v>5669500</v>
      </c>
      <c r="F304" s="141">
        <v>4252100</v>
      </c>
    </row>
    <row r="305" spans="1:6" ht="38.25">
      <c r="A305" s="54" t="s">
        <v>725</v>
      </c>
      <c r="B305" s="155" t="s">
        <v>1107</v>
      </c>
      <c r="C305" s="54" t="s">
        <v>1468</v>
      </c>
      <c r="D305" s="54" t="s">
        <v>1468</v>
      </c>
      <c r="E305" s="217">
        <v>66486861</v>
      </c>
      <c r="F305" s="141">
        <v>66486861</v>
      </c>
    </row>
    <row r="306" spans="1:6" ht="102">
      <c r="A306" s="54" t="s">
        <v>719</v>
      </c>
      <c r="B306" s="155" t="s">
        <v>1349</v>
      </c>
      <c r="C306" s="54" t="s">
        <v>1468</v>
      </c>
      <c r="D306" s="54" t="s">
        <v>1468</v>
      </c>
      <c r="E306" s="217">
        <v>45546296</v>
      </c>
      <c r="F306" s="141">
        <v>45546296</v>
      </c>
    </row>
    <row r="307" spans="1:6" ht="76.5">
      <c r="A307" s="54" t="s">
        <v>1754</v>
      </c>
      <c r="B307" s="155" t="s">
        <v>1349</v>
      </c>
      <c r="C307" s="54" t="s">
        <v>322</v>
      </c>
      <c r="D307" s="54" t="s">
        <v>1468</v>
      </c>
      <c r="E307" s="217">
        <v>40601296</v>
      </c>
      <c r="F307" s="141">
        <v>40601296</v>
      </c>
    </row>
    <row r="308" spans="1:6" ht="25.5">
      <c r="A308" s="54" t="s">
        <v>1487</v>
      </c>
      <c r="B308" s="155" t="s">
        <v>1349</v>
      </c>
      <c r="C308" s="54" t="s">
        <v>165</v>
      </c>
      <c r="D308" s="54" t="s">
        <v>1468</v>
      </c>
      <c r="E308" s="217">
        <v>40601296</v>
      </c>
      <c r="F308" s="141">
        <v>40601296</v>
      </c>
    </row>
    <row r="309" spans="1:6">
      <c r="A309" s="54" t="s">
        <v>173</v>
      </c>
      <c r="B309" s="155" t="s">
        <v>1349</v>
      </c>
      <c r="C309" s="54" t="s">
        <v>165</v>
      </c>
      <c r="D309" s="54" t="s">
        <v>1364</v>
      </c>
      <c r="E309" s="217">
        <v>40601296</v>
      </c>
      <c r="F309" s="141">
        <v>40601296</v>
      </c>
    </row>
    <row r="310" spans="1:6">
      <c r="A310" s="54" t="s">
        <v>4</v>
      </c>
      <c r="B310" s="155" t="s">
        <v>1349</v>
      </c>
      <c r="C310" s="54" t="s">
        <v>165</v>
      </c>
      <c r="D310" s="54" t="s">
        <v>509</v>
      </c>
      <c r="E310" s="217">
        <v>40601296</v>
      </c>
      <c r="F310" s="141">
        <v>40601296</v>
      </c>
    </row>
    <row r="311" spans="1:6" ht="38.25">
      <c r="A311" s="54" t="s">
        <v>1755</v>
      </c>
      <c r="B311" s="155" t="s">
        <v>1349</v>
      </c>
      <c r="C311" s="54" t="s">
        <v>1756</v>
      </c>
      <c r="D311" s="54" t="s">
        <v>1468</v>
      </c>
      <c r="E311" s="217">
        <v>4945000</v>
      </c>
      <c r="F311" s="141">
        <v>4945000</v>
      </c>
    </row>
    <row r="312" spans="1:6" ht="38.25">
      <c r="A312" s="54" t="s">
        <v>1502</v>
      </c>
      <c r="B312" s="155" t="s">
        <v>1349</v>
      </c>
      <c r="C312" s="54" t="s">
        <v>1503</v>
      </c>
      <c r="D312" s="54" t="s">
        <v>1468</v>
      </c>
      <c r="E312" s="217">
        <v>4945000</v>
      </c>
      <c r="F312" s="141">
        <v>4945000</v>
      </c>
    </row>
    <row r="313" spans="1:6">
      <c r="A313" s="54" t="s">
        <v>173</v>
      </c>
      <c r="B313" s="155" t="s">
        <v>1349</v>
      </c>
      <c r="C313" s="54" t="s">
        <v>1503</v>
      </c>
      <c r="D313" s="54" t="s">
        <v>1364</v>
      </c>
      <c r="E313" s="217">
        <v>4945000</v>
      </c>
      <c r="F313" s="141">
        <v>4945000</v>
      </c>
    </row>
    <row r="314" spans="1:6">
      <c r="A314" s="54" t="s">
        <v>4</v>
      </c>
      <c r="B314" s="155" t="s">
        <v>1349</v>
      </c>
      <c r="C314" s="54" t="s">
        <v>1503</v>
      </c>
      <c r="D314" s="54" t="s">
        <v>509</v>
      </c>
      <c r="E314" s="217">
        <v>4945000</v>
      </c>
      <c r="F314" s="141">
        <v>4945000</v>
      </c>
    </row>
    <row r="315" spans="1:6" ht="114.75">
      <c r="A315" s="54" t="s">
        <v>720</v>
      </c>
      <c r="B315" s="155" t="s">
        <v>1355</v>
      </c>
      <c r="C315" s="54" t="s">
        <v>1468</v>
      </c>
      <c r="D315" s="54" t="s">
        <v>1468</v>
      </c>
      <c r="E315" s="217">
        <v>974891</v>
      </c>
      <c r="F315" s="141">
        <v>974891</v>
      </c>
    </row>
    <row r="316" spans="1:6" ht="76.5">
      <c r="A316" s="212" t="s">
        <v>1754</v>
      </c>
      <c r="B316" s="155" t="s">
        <v>1355</v>
      </c>
      <c r="C316" s="54" t="s">
        <v>322</v>
      </c>
      <c r="D316" s="54" t="s">
        <v>1468</v>
      </c>
      <c r="E316" s="217">
        <v>974891</v>
      </c>
      <c r="F316" s="141">
        <v>974891</v>
      </c>
    </row>
    <row r="317" spans="1:6" ht="25.5">
      <c r="A317" s="54" t="s">
        <v>1487</v>
      </c>
      <c r="B317" s="155" t="s">
        <v>1355</v>
      </c>
      <c r="C317" s="54" t="s">
        <v>165</v>
      </c>
      <c r="D317" s="54" t="s">
        <v>1468</v>
      </c>
      <c r="E317" s="217">
        <v>974891</v>
      </c>
      <c r="F317" s="141">
        <v>974891</v>
      </c>
    </row>
    <row r="318" spans="1:6">
      <c r="A318" s="54" t="s">
        <v>173</v>
      </c>
      <c r="B318" s="155" t="s">
        <v>1355</v>
      </c>
      <c r="C318" s="54" t="s">
        <v>165</v>
      </c>
      <c r="D318" s="54" t="s">
        <v>1364</v>
      </c>
      <c r="E318" s="217">
        <v>974891</v>
      </c>
      <c r="F318" s="141">
        <v>974891</v>
      </c>
    </row>
    <row r="319" spans="1:6">
      <c r="A319" s="212" t="s">
        <v>4</v>
      </c>
      <c r="B319" s="155" t="s">
        <v>1355</v>
      </c>
      <c r="C319" s="54" t="s">
        <v>165</v>
      </c>
      <c r="D319" s="54" t="s">
        <v>509</v>
      </c>
      <c r="E319" s="217">
        <v>974891</v>
      </c>
      <c r="F319" s="141">
        <v>974891</v>
      </c>
    </row>
    <row r="320" spans="1:6" ht="140.25">
      <c r="A320" s="54" t="s">
        <v>732</v>
      </c>
      <c r="B320" s="155" t="s">
        <v>1350</v>
      </c>
      <c r="C320" s="54" t="s">
        <v>1468</v>
      </c>
      <c r="D320" s="54" t="s">
        <v>1468</v>
      </c>
      <c r="E320" s="217">
        <v>11718000</v>
      </c>
      <c r="F320" s="141">
        <v>11718000</v>
      </c>
    </row>
    <row r="321" spans="1:6" ht="76.5">
      <c r="A321" s="54" t="s">
        <v>1754</v>
      </c>
      <c r="B321" s="155" t="s">
        <v>1350</v>
      </c>
      <c r="C321" s="54" t="s">
        <v>322</v>
      </c>
      <c r="D321" s="54" t="s">
        <v>1468</v>
      </c>
      <c r="E321" s="217">
        <v>11718000</v>
      </c>
      <c r="F321" s="141">
        <v>11718000</v>
      </c>
    </row>
    <row r="322" spans="1:6" ht="25.5">
      <c r="A322" s="54" t="s">
        <v>1487</v>
      </c>
      <c r="B322" s="140" t="s">
        <v>1350</v>
      </c>
      <c r="C322" s="54" t="s">
        <v>165</v>
      </c>
      <c r="D322" s="54" t="s">
        <v>1468</v>
      </c>
      <c r="E322" s="217">
        <v>11718000</v>
      </c>
      <c r="F322" s="141">
        <v>11718000</v>
      </c>
    </row>
    <row r="323" spans="1:6">
      <c r="A323" s="54" t="s">
        <v>173</v>
      </c>
      <c r="B323" s="155" t="s">
        <v>1350</v>
      </c>
      <c r="C323" s="54" t="s">
        <v>165</v>
      </c>
      <c r="D323" s="54" t="s">
        <v>1364</v>
      </c>
      <c r="E323" s="217">
        <v>11718000</v>
      </c>
      <c r="F323" s="141">
        <v>11718000</v>
      </c>
    </row>
    <row r="324" spans="1:6">
      <c r="A324" s="54" t="s">
        <v>4</v>
      </c>
      <c r="B324" s="155" t="s">
        <v>1350</v>
      </c>
      <c r="C324" s="54" t="s">
        <v>165</v>
      </c>
      <c r="D324" s="54" t="s">
        <v>509</v>
      </c>
      <c r="E324" s="217">
        <v>11718000</v>
      </c>
      <c r="F324" s="141">
        <v>11718000</v>
      </c>
    </row>
    <row r="325" spans="1:6" ht="114.75">
      <c r="A325" s="54" t="s">
        <v>721</v>
      </c>
      <c r="B325" s="155" t="s">
        <v>1351</v>
      </c>
      <c r="C325" s="54" t="s">
        <v>1468</v>
      </c>
      <c r="D325" s="54" t="s">
        <v>1468</v>
      </c>
      <c r="E325" s="217">
        <v>445000</v>
      </c>
      <c r="F325" s="141">
        <v>445000</v>
      </c>
    </row>
    <row r="326" spans="1:6" ht="76.5">
      <c r="A326" s="54" t="s">
        <v>1754</v>
      </c>
      <c r="B326" s="155" t="s">
        <v>1351</v>
      </c>
      <c r="C326" s="54" t="s">
        <v>322</v>
      </c>
      <c r="D326" s="54" t="s">
        <v>1468</v>
      </c>
      <c r="E326" s="217">
        <v>445000</v>
      </c>
      <c r="F326" s="141">
        <v>445000</v>
      </c>
    </row>
    <row r="327" spans="1:6" ht="25.5">
      <c r="A327" s="54" t="s">
        <v>1487</v>
      </c>
      <c r="B327" s="155" t="s">
        <v>1351</v>
      </c>
      <c r="C327" s="54" t="s">
        <v>165</v>
      </c>
      <c r="D327" s="54" t="s">
        <v>1468</v>
      </c>
      <c r="E327" s="217">
        <v>445000</v>
      </c>
      <c r="F327" s="141">
        <v>445000</v>
      </c>
    </row>
    <row r="328" spans="1:6">
      <c r="A328" s="54" t="s">
        <v>173</v>
      </c>
      <c r="B328" s="155" t="s">
        <v>1351</v>
      </c>
      <c r="C328" s="54" t="s">
        <v>165</v>
      </c>
      <c r="D328" s="54" t="s">
        <v>1364</v>
      </c>
      <c r="E328" s="217">
        <v>445000</v>
      </c>
      <c r="F328" s="141">
        <v>445000</v>
      </c>
    </row>
    <row r="329" spans="1:6">
      <c r="A329" s="212" t="s">
        <v>4</v>
      </c>
      <c r="B329" s="155" t="s">
        <v>1351</v>
      </c>
      <c r="C329" s="54" t="s">
        <v>165</v>
      </c>
      <c r="D329" s="54" t="s">
        <v>509</v>
      </c>
      <c r="E329" s="217">
        <v>445000</v>
      </c>
      <c r="F329" s="141">
        <v>445000</v>
      </c>
    </row>
    <row r="330" spans="1:6" ht="89.25">
      <c r="A330" s="54" t="s">
        <v>722</v>
      </c>
      <c r="B330" s="155" t="s">
        <v>1352</v>
      </c>
      <c r="C330" s="54" t="s">
        <v>1468</v>
      </c>
      <c r="D330" s="54" t="s">
        <v>1468</v>
      </c>
      <c r="E330" s="217">
        <v>160000</v>
      </c>
      <c r="F330" s="141">
        <v>160000</v>
      </c>
    </row>
    <row r="331" spans="1:6" ht="38.25">
      <c r="A331" s="54" t="s">
        <v>1755</v>
      </c>
      <c r="B331" s="155" t="s">
        <v>1352</v>
      </c>
      <c r="C331" s="54" t="s">
        <v>1756</v>
      </c>
      <c r="D331" s="54" t="s">
        <v>1468</v>
      </c>
      <c r="E331" s="217">
        <v>160000</v>
      </c>
      <c r="F331" s="141">
        <v>160000</v>
      </c>
    </row>
    <row r="332" spans="1:6" ht="38.25">
      <c r="A332" s="212" t="s">
        <v>1502</v>
      </c>
      <c r="B332" s="155" t="s">
        <v>1352</v>
      </c>
      <c r="C332" s="54" t="s">
        <v>1503</v>
      </c>
      <c r="D332" s="54" t="s">
        <v>1468</v>
      </c>
      <c r="E332" s="217">
        <v>160000</v>
      </c>
      <c r="F332" s="141">
        <v>160000</v>
      </c>
    </row>
    <row r="333" spans="1:6">
      <c r="A333" s="54" t="s">
        <v>173</v>
      </c>
      <c r="B333" s="155" t="s">
        <v>1352</v>
      </c>
      <c r="C333" s="54" t="s">
        <v>1503</v>
      </c>
      <c r="D333" s="54" t="s">
        <v>1364</v>
      </c>
      <c r="E333" s="217">
        <v>160000</v>
      </c>
      <c r="F333" s="141">
        <v>160000</v>
      </c>
    </row>
    <row r="334" spans="1:6">
      <c r="A334" s="54" t="s">
        <v>4</v>
      </c>
      <c r="B334" s="155" t="s">
        <v>1352</v>
      </c>
      <c r="C334" s="54" t="s">
        <v>1503</v>
      </c>
      <c r="D334" s="54" t="s">
        <v>509</v>
      </c>
      <c r="E334" s="217">
        <v>160000</v>
      </c>
      <c r="F334" s="141">
        <v>160000</v>
      </c>
    </row>
    <row r="335" spans="1:6" ht="76.5">
      <c r="A335" s="54" t="s">
        <v>1102</v>
      </c>
      <c r="B335" s="155" t="s">
        <v>1376</v>
      </c>
      <c r="C335" s="54" t="s">
        <v>1468</v>
      </c>
      <c r="D335" s="54" t="s">
        <v>1468</v>
      </c>
      <c r="E335" s="217">
        <v>1663324</v>
      </c>
      <c r="F335" s="141">
        <v>1663324</v>
      </c>
    </row>
    <row r="336" spans="1:6" ht="38.25">
      <c r="A336" s="54" t="s">
        <v>1755</v>
      </c>
      <c r="B336" s="155" t="s">
        <v>1376</v>
      </c>
      <c r="C336" s="54" t="s">
        <v>1756</v>
      </c>
      <c r="D336" s="54" t="s">
        <v>1468</v>
      </c>
      <c r="E336" s="217">
        <v>1663324</v>
      </c>
      <c r="F336" s="141">
        <v>1663324</v>
      </c>
    </row>
    <row r="337" spans="1:6" ht="38.25">
      <c r="A337" s="54" t="s">
        <v>1502</v>
      </c>
      <c r="B337" s="155" t="s">
        <v>1376</v>
      </c>
      <c r="C337" s="54" t="s">
        <v>1503</v>
      </c>
      <c r="D337" s="54" t="s">
        <v>1468</v>
      </c>
      <c r="E337" s="217">
        <v>1663324</v>
      </c>
      <c r="F337" s="141">
        <v>1663324</v>
      </c>
    </row>
    <row r="338" spans="1:6">
      <c r="A338" s="54" t="s">
        <v>173</v>
      </c>
      <c r="B338" s="155" t="s">
        <v>1376</v>
      </c>
      <c r="C338" s="54" t="s">
        <v>1503</v>
      </c>
      <c r="D338" s="54" t="s">
        <v>1364</v>
      </c>
      <c r="E338" s="217">
        <v>1663324</v>
      </c>
      <c r="F338" s="141">
        <v>1663324</v>
      </c>
    </row>
    <row r="339" spans="1:6">
      <c r="A339" s="54" t="s">
        <v>4</v>
      </c>
      <c r="B339" s="155" t="s">
        <v>1376</v>
      </c>
      <c r="C339" s="54" t="s">
        <v>1503</v>
      </c>
      <c r="D339" s="54" t="s">
        <v>509</v>
      </c>
      <c r="E339" s="217">
        <v>1663324</v>
      </c>
      <c r="F339" s="141">
        <v>1663324</v>
      </c>
    </row>
    <row r="340" spans="1:6" ht="102">
      <c r="A340" s="54" t="s">
        <v>723</v>
      </c>
      <c r="B340" s="155" t="s">
        <v>1353</v>
      </c>
      <c r="C340" s="54" t="s">
        <v>1468</v>
      </c>
      <c r="D340" s="54" t="s">
        <v>1468</v>
      </c>
      <c r="E340" s="217">
        <v>5466900</v>
      </c>
      <c r="F340" s="141">
        <v>5466900</v>
      </c>
    </row>
    <row r="341" spans="1:6" ht="76.5">
      <c r="A341" s="54" t="s">
        <v>1754</v>
      </c>
      <c r="B341" s="155" t="s">
        <v>1353</v>
      </c>
      <c r="C341" s="54" t="s">
        <v>322</v>
      </c>
      <c r="D341" s="54" t="s">
        <v>1468</v>
      </c>
      <c r="E341" s="217">
        <v>5406900</v>
      </c>
      <c r="F341" s="141">
        <v>5406900</v>
      </c>
    </row>
    <row r="342" spans="1:6" ht="38.25">
      <c r="A342" s="54" t="s">
        <v>1509</v>
      </c>
      <c r="B342" s="155" t="s">
        <v>1353</v>
      </c>
      <c r="C342" s="54" t="s">
        <v>37</v>
      </c>
      <c r="D342" s="54" t="s">
        <v>1468</v>
      </c>
      <c r="E342" s="217">
        <v>5406900</v>
      </c>
      <c r="F342" s="141">
        <v>5406900</v>
      </c>
    </row>
    <row r="343" spans="1:6">
      <c r="A343" s="54" t="s">
        <v>173</v>
      </c>
      <c r="B343" s="155" t="s">
        <v>1353</v>
      </c>
      <c r="C343" s="54" t="s">
        <v>37</v>
      </c>
      <c r="D343" s="54" t="s">
        <v>1364</v>
      </c>
      <c r="E343" s="217">
        <v>5406900</v>
      </c>
      <c r="F343" s="141">
        <v>5406900</v>
      </c>
    </row>
    <row r="344" spans="1:6">
      <c r="A344" s="54" t="s">
        <v>4</v>
      </c>
      <c r="B344" s="155" t="s">
        <v>1353</v>
      </c>
      <c r="C344" s="54" t="s">
        <v>37</v>
      </c>
      <c r="D344" s="54" t="s">
        <v>509</v>
      </c>
      <c r="E344" s="217">
        <v>5406900</v>
      </c>
      <c r="F344" s="141">
        <v>5406900</v>
      </c>
    </row>
    <row r="345" spans="1:6" ht="38.25">
      <c r="A345" s="54" t="s">
        <v>1755</v>
      </c>
      <c r="B345" s="155" t="s">
        <v>1353</v>
      </c>
      <c r="C345" s="54" t="s">
        <v>1756</v>
      </c>
      <c r="D345" s="54" t="s">
        <v>1468</v>
      </c>
      <c r="E345" s="217">
        <v>60000</v>
      </c>
      <c r="F345" s="141">
        <v>60000</v>
      </c>
    </row>
    <row r="346" spans="1:6" ht="38.25">
      <c r="A346" s="54" t="s">
        <v>1502</v>
      </c>
      <c r="B346" s="155" t="s">
        <v>1353</v>
      </c>
      <c r="C346" s="54" t="s">
        <v>1503</v>
      </c>
      <c r="D346" s="54" t="s">
        <v>1468</v>
      </c>
      <c r="E346" s="217">
        <v>60000</v>
      </c>
      <c r="F346" s="141">
        <v>60000</v>
      </c>
    </row>
    <row r="347" spans="1:6">
      <c r="A347" s="212" t="s">
        <v>173</v>
      </c>
      <c r="B347" s="155" t="s">
        <v>1353</v>
      </c>
      <c r="C347" s="54" t="s">
        <v>1503</v>
      </c>
      <c r="D347" s="54" t="s">
        <v>1364</v>
      </c>
      <c r="E347" s="217">
        <v>60000</v>
      </c>
      <c r="F347" s="141">
        <v>60000</v>
      </c>
    </row>
    <row r="348" spans="1:6">
      <c r="A348" s="54" t="s">
        <v>4</v>
      </c>
      <c r="B348" s="155" t="s">
        <v>1353</v>
      </c>
      <c r="C348" s="54" t="s">
        <v>1503</v>
      </c>
      <c r="D348" s="54" t="s">
        <v>509</v>
      </c>
      <c r="E348" s="217">
        <v>60000</v>
      </c>
      <c r="F348" s="141">
        <v>60000</v>
      </c>
    </row>
    <row r="349" spans="1:6" ht="127.5">
      <c r="A349" s="54" t="s">
        <v>724</v>
      </c>
      <c r="B349" s="155" t="s">
        <v>1354</v>
      </c>
      <c r="C349" s="54" t="s">
        <v>1468</v>
      </c>
      <c r="D349" s="54" t="s">
        <v>1468</v>
      </c>
      <c r="E349" s="217">
        <v>250000</v>
      </c>
      <c r="F349" s="141">
        <v>250000</v>
      </c>
    </row>
    <row r="350" spans="1:6" ht="76.5">
      <c r="A350" s="212" t="s">
        <v>1754</v>
      </c>
      <c r="B350" s="155" t="s">
        <v>1354</v>
      </c>
      <c r="C350" s="54" t="s">
        <v>322</v>
      </c>
      <c r="D350" s="54" t="s">
        <v>1468</v>
      </c>
      <c r="E350" s="217">
        <v>250000</v>
      </c>
      <c r="F350" s="141">
        <v>250000</v>
      </c>
    </row>
    <row r="351" spans="1:6" ht="38.25">
      <c r="A351" s="54" t="s">
        <v>1509</v>
      </c>
      <c r="B351" s="155" t="s">
        <v>1354</v>
      </c>
      <c r="C351" s="54" t="s">
        <v>37</v>
      </c>
      <c r="D351" s="54" t="s">
        <v>1468</v>
      </c>
      <c r="E351" s="217">
        <v>250000</v>
      </c>
      <c r="F351" s="141">
        <v>250000</v>
      </c>
    </row>
    <row r="352" spans="1:6">
      <c r="A352" s="54" t="s">
        <v>173</v>
      </c>
      <c r="B352" s="155" t="s">
        <v>1354</v>
      </c>
      <c r="C352" s="54" t="s">
        <v>37</v>
      </c>
      <c r="D352" s="54" t="s">
        <v>1364</v>
      </c>
      <c r="E352" s="217">
        <v>250000</v>
      </c>
      <c r="F352" s="141">
        <v>250000</v>
      </c>
    </row>
    <row r="353" spans="1:6">
      <c r="A353" s="212" t="s">
        <v>4</v>
      </c>
      <c r="B353" s="155" t="s">
        <v>1354</v>
      </c>
      <c r="C353" s="54" t="s">
        <v>37</v>
      </c>
      <c r="D353" s="54" t="s">
        <v>509</v>
      </c>
      <c r="E353" s="217">
        <v>250000</v>
      </c>
      <c r="F353" s="141">
        <v>250000</v>
      </c>
    </row>
    <row r="354" spans="1:6" ht="89.25">
      <c r="A354" s="54" t="s">
        <v>717</v>
      </c>
      <c r="B354" s="155" t="s">
        <v>1347</v>
      </c>
      <c r="C354" s="54" t="s">
        <v>1468</v>
      </c>
      <c r="D354" s="54" t="s">
        <v>1468</v>
      </c>
      <c r="E354" s="217">
        <v>62450</v>
      </c>
      <c r="F354" s="141">
        <v>62450</v>
      </c>
    </row>
    <row r="355" spans="1:6" ht="76.5">
      <c r="A355" s="54" t="s">
        <v>1754</v>
      </c>
      <c r="B355" s="155" t="s">
        <v>1347</v>
      </c>
      <c r="C355" s="54" t="s">
        <v>322</v>
      </c>
      <c r="D355" s="54" t="s">
        <v>1468</v>
      </c>
      <c r="E355" s="217">
        <v>59000</v>
      </c>
      <c r="F355" s="141">
        <v>59000</v>
      </c>
    </row>
    <row r="356" spans="1:6" ht="25.5">
      <c r="A356" s="54" t="s">
        <v>1487</v>
      </c>
      <c r="B356" s="155" t="s">
        <v>1347</v>
      </c>
      <c r="C356" s="54" t="s">
        <v>165</v>
      </c>
      <c r="D356" s="54" t="s">
        <v>1468</v>
      </c>
      <c r="E356" s="217">
        <v>59000</v>
      </c>
      <c r="F356" s="141">
        <v>59000</v>
      </c>
    </row>
    <row r="357" spans="1:6">
      <c r="A357" s="54" t="s">
        <v>173</v>
      </c>
      <c r="B357" s="155" t="s">
        <v>1347</v>
      </c>
      <c r="C357" s="54" t="s">
        <v>165</v>
      </c>
      <c r="D357" s="54" t="s">
        <v>1364</v>
      </c>
      <c r="E357" s="217">
        <v>59000</v>
      </c>
      <c r="F357" s="141">
        <v>59000</v>
      </c>
    </row>
    <row r="358" spans="1:6">
      <c r="A358" s="54" t="s">
        <v>1238</v>
      </c>
      <c r="B358" s="155" t="s">
        <v>1347</v>
      </c>
      <c r="C358" s="54" t="s">
        <v>165</v>
      </c>
      <c r="D358" s="54" t="s">
        <v>453</v>
      </c>
      <c r="E358" s="217">
        <v>59000</v>
      </c>
      <c r="F358" s="141">
        <v>59000</v>
      </c>
    </row>
    <row r="359" spans="1:6" ht="38.25">
      <c r="A359" s="54" t="s">
        <v>1755</v>
      </c>
      <c r="B359" s="140" t="s">
        <v>1347</v>
      </c>
      <c r="C359" s="54" t="s">
        <v>1756</v>
      </c>
      <c r="D359" s="54" t="s">
        <v>1468</v>
      </c>
      <c r="E359" s="217">
        <v>3450</v>
      </c>
      <c r="F359" s="141">
        <v>3450</v>
      </c>
    </row>
    <row r="360" spans="1:6" ht="38.25">
      <c r="A360" s="54" t="s">
        <v>1502</v>
      </c>
      <c r="B360" s="155" t="s">
        <v>1347</v>
      </c>
      <c r="C360" s="54" t="s">
        <v>1503</v>
      </c>
      <c r="D360" s="54" t="s">
        <v>1468</v>
      </c>
      <c r="E360" s="217">
        <v>3450</v>
      </c>
      <c r="F360" s="141">
        <v>3450</v>
      </c>
    </row>
    <row r="361" spans="1:6">
      <c r="A361" s="54" t="s">
        <v>173</v>
      </c>
      <c r="B361" s="155" t="s">
        <v>1347</v>
      </c>
      <c r="C361" s="54" t="s">
        <v>1503</v>
      </c>
      <c r="D361" s="54" t="s">
        <v>1364</v>
      </c>
      <c r="E361" s="217">
        <v>3450</v>
      </c>
      <c r="F361" s="141">
        <v>3450</v>
      </c>
    </row>
    <row r="362" spans="1:6">
      <c r="A362" s="54" t="s">
        <v>1238</v>
      </c>
      <c r="B362" s="155" t="s">
        <v>1347</v>
      </c>
      <c r="C362" s="54" t="s">
        <v>1503</v>
      </c>
      <c r="D362" s="54" t="s">
        <v>453</v>
      </c>
      <c r="E362" s="217">
        <v>3450</v>
      </c>
      <c r="F362" s="141">
        <v>3450</v>
      </c>
    </row>
    <row r="363" spans="1:6" ht="114.75">
      <c r="A363" s="54" t="s">
        <v>718</v>
      </c>
      <c r="B363" s="155" t="s">
        <v>1348</v>
      </c>
      <c r="C363" s="54" t="s">
        <v>1468</v>
      </c>
      <c r="D363" s="54" t="s">
        <v>1468</v>
      </c>
      <c r="E363" s="217">
        <v>200000</v>
      </c>
      <c r="F363" s="141">
        <v>200000</v>
      </c>
    </row>
    <row r="364" spans="1:6" ht="38.25">
      <c r="A364" s="54" t="s">
        <v>1755</v>
      </c>
      <c r="B364" s="155" t="s">
        <v>1348</v>
      </c>
      <c r="C364" s="54" t="s">
        <v>1756</v>
      </c>
      <c r="D364" s="54" t="s">
        <v>1468</v>
      </c>
      <c r="E364" s="217">
        <v>200000</v>
      </c>
      <c r="F364" s="141">
        <v>200000</v>
      </c>
    </row>
    <row r="365" spans="1:6" ht="38.25">
      <c r="A365" s="54" t="s">
        <v>1502</v>
      </c>
      <c r="B365" s="155" t="s">
        <v>1348</v>
      </c>
      <c r="C365" s="54" t="s">
        <v>1503</v>
      </c>
      <c r="D365" s="54" t="s">
        <v>1468</v>
      </c>
      <c r="E365" s="217">
        <v>200000</v>
      </c>
      <c r="F365" s="141">
        <v>200000</v>
      </c>
    </row>
    <row r="366" spans="1:6">
      <c r="A366" s="54" t="s">
        <v>173</v>
      </c>
      <c r="B366" s="155" t="s">
        <v>1348</v>
      </c>
      <c r="C366" s="54" t="s">
        <v>1503</v>
      </c>
      <c r="D366" s="54" t="s">
        <v>1364</v>
      </c>
      <c r="E366" s="217">
        <v>200000</v>
      </c>
      <c r="F366" s="141">
        <v>200000</v>
      </c>
    </row>
    <row r="367" spans="1:6">
      <c r="A367" s="54" t="s">
        <v>1238</v>
      </c>
      <c r="B367" s="155" t="s">
        <v>1348</v>
      </c>
      <c r="C367" s="54" t="s">
        <v>1503</v>
      </c>
      <c r="D367" s="54" t="s">
        <v>453</v>
      </c>
      <c r="E367" s="217">
        <v>200000</v>
      </c>
      <c r="F367" s="141">
        <v>200000</v>
      </c>
    </row>
    <row r="368" spans="1:6" ht="38.25">
      <c r="A368" s="54" t="s">
        <v>696</v>
      </c>
      <c r="B368" s="155" t="s">
        <v>1108</v>
      </c>
      <c r="C368" s="54" t="s">
        <v>1468</v>
      </c>
      <c r="D368" s="54" t="s">
        <v>1468</v>
      </c>
      <c r="E368" s="217">
        <v>86377118</v>
      </c>
      <c r="F368" s="141">
        <v>86377118</v>
      </c>
    </row>
    <row r="369" spans="1:6" ht="51">
      <c r="A369" s="54" t="s">
        <v>697</v>
      </c>
      <c r="B369" s="155" t="s">
        <v>1109</v>
      </c>
      <c r="C369" s="54" t="s">
        <v>1468</v>
      </c>
      <c r="D369" s="54" t="s">
        <v>1468</v>
      </c>
      <c r="E369" s="217">
        <v>1555318</v>
      </c>
      <c r="F369" s="141">
        <v>1555318</v>
      </c>
    </row>
    <row r="370" spans="1:6" ht="127.5">
      <c r="A370" s="54" t="s">
        <v>597</v>
      </c>
      <c r="B370" s="155" t="s">
        <v>815</v>
      </c>
      <c r="C370" s="54" t="s">
        <v>1468</v>
      </c>
      <c r="D370" s="54" t="s">
        <v>1468</v>
      </c>
      <c r="E370" s="217">
        <v>1555318</v>
      </c>
      <c r="F370" s="141">
        <v>1555318</v>
      </c>
    </row>
    <row r="371" spans="1:6" ht="25.5">
      <c r="A371" s="54" t="s">
        <v>1759</v>
      </c>
      <c r="B371" s="155" t="s">
        <v>815</v>
      </c>
      <c r="C371" s="54" t="s">
        <v>1760</v>
      </c>
      <c r="D371" s="54" t="s">
        <v>1468</v>
      </c>
      <c r="E371" s="217">
        <v>1555318</v>
      </c>
      <c r="F371" s="141">
        <v>1555318</v>
      </c>
    </row>
    <row r="372" spans="1:6" ht="25.5">
      <c r="A372" s="54" t="s">
        <v>1510</v>
      </c>
      <c r="B372" s="155" t="s">
        <v>815</v>
      </c>
      <c r="C372" s="54" t="s">
        <v>1511</v>
      </c>
      <c r="D372" s="54" t="s">
        <v>1468</v>
      </c>
      <c r="E372" s="217">
        <v>1555318</v>
      </c>
      <c r="F372" s="141">
        <v>1555318</v>
      </c>
    </row>
    <row r="373" spans="1:6">
      <c r="A373" s="54" t="s">
        <v>174</v>
      </c>
      <c r="B373" s="155" t="s">
        <v>815</v>
      </c>
      <c r="C373" s="54" t="s">
        <v>1511</v>
      </c>
      <c r="D373" s="54" t="s">
        <v>1365</v>
      </c>
      <c r="E373" s="217">
        <v>1555318</v>
      </c>
      <c r="F373" s="141">
        <v>1555318</v>
      </c>
    </row>
    <row r="374" spans="1:6">
      <c r="A374" s="54" t="s">
        <v>126</v>
      </c>
      <c r="B374" s="155" t="s">
        <v>815</v>
      </c>
      <c r="C374" s="54" t="s">
        <v>1511</v>
      </c>
      <c r="D374" s="54" t="s">
        <v>463</v>
      </c>
      <c r="E374" s="217">
        <v>1555318</v>
      </c>
      <c r="F374" s="141">
        <v>1555318</v>
      </c>
    </row>
    <row r="375" spans="1:6" ht="25.5">
      <c r="A375" s="54" t="s">
        <v>698</v>
      </c>
      <c r="B375" s="155" t="s">
        <v>1110</v>
      </c>
      <c r="C375" s="54" t="s">
        <v>1468</v>
      </c>
      <c r="D375" s="54" t="s">
        <v>1468</v>
      </c>
      <c r="E375" s="217">
        <v>192100</v>
      </c>
      <c r="F375" s="141">
        <v>192100</v>
      </c>
    </row>
    <row r="376" spans="1:6" ht="114.75">
      <c r="A376" s="54" t="s">
        <v>1210</v>
      </c>
      <c r="B376" s="155" t="s">
        <v>1211</v>
      </c>
      <c r="C376" s="54" t="s">
        <v>1468</v>
      </c>
      <c r="D376" s="54" t="s">
        <v>1468</v>
      </c>
      <c r="E376" s="217">
        <v>192100</v>
      </c>
      <c r="F376" s="141">
        <v>192100</v>
      </c>
    </row>
    <row r="377" spans="1:6" ht="38.25">
      <c r="A377" s="54" t="s">
        <v>1755</v>
      </c>
      <c r="B377" s="155" t="s">
        <v>1211</v>
      </c>
      <c r="C377" s="54" t="s">
        <v>1756</v>
      </c>
      <c r="D377" s="54" t="s">
        <v>1468</v>
      </c>
      <c r="E377" s="217">
        <v>192100</v>
      </c>
      <c r="F377" s="141">
        <v>192100</v>
      </c>
    </row>
    <row r="378" spans="1:6" ht="38.25">
      <c r="A378" s="54" t="s">
        <v>1502</v>
      </c>
      <c r="B378" s="155" t="s">
        <v>1211</v>
      </c>
      <c r="C378" s="54" t="s">
        <v>1503</v>
      </c>
      <c r="D378" s="54" t="s">
        <v>1468</v>
      </c>
      <c r="E378" s="217">
        <v>192100</v>
      </c>
      <c r="F378" s="141">
        <v>192100</v>
      </c>
    </row>
    <row r="379" spans="1:6">
      <c r="A379" s="54" t="s">
        <v>174</v>
      </c>
      <c r="B379" s="155" t="s">
        <v>1211</v>
      </c>
      <c r="C379" s="54" t="s">
        <v>1503</v>
      </c>
      <c r="D379" s="54" t="s">
        <v>1365</v>
      </c>
      <c r="E379" s="217">
        <v>192100</v>
      </c>
      <c r="F379" s="141">
        <v>192100</v>
      </c>
    </row>
    <row r="380" spans="1:6">
      <c r="A380" s="54" t="s">
        <v>127</v>
      </c>
      <c r="B380" s="155" t="s">
        <v>1211</v>
      </c>
      <c r="C380" s="54" t="s">
        <v>1503</v>
      </c>
      <c r="D380" s="54" t="s">
        <v>466</v>
      </c>
      <c r="E380" s="217">
        <v>192100</v>
      </c>
      <c r="F380" s="141">
        <v>192100</v>
      </c>
    </row>
    <row r="381" spans="1:6" ht="38.25">
      <c r="A381" s="54" t="s">
        <v>543</v>
      </c>
      <c r="B381" s="155" t="s">
        <v>1111</v>
      </c>
      <c r="C381" s="54" t="s">
        <v>1468</v>
      </c>
      <c r="D381" s="54" t="s">
        <v>1468</v>
      </c>
      <c r="E381" s="217">
        <v>63202800</v>
      </c>
      <c r="F381" s="141">
        <v>63202800</v>
      </c>
    </row>
    <row r="382" spans="1:6" ht="102">
      <c r="A382" s="54" t="s">
        <v>601</v>
      </c>
      <c r="B382" s="155" t="s">
        <v>827</v>
      </c>
      <c r="C382" s="54" t="s">
        <v>1468</v>
      </c>
      <c r="D382" s="54" t="s">
        <v>1468</v>
      </c>
      <c r="E382" s="217">
        <v>63202800</v>
      </c>
      <c r="F382" s="141">
        <v>63202800</v>
      </c>
    </row>
    <row r="383" spans="1:6" ht="38.25">
      <c r="A383" s="54" t="s">
        <v>1763</v>
      </c>
      <c r="B383" s="155" t="s">
        <v>827</v>
      </c>
      <c r="C383" s="54" t="s">
        <v>1764</v>
      </c>
      <c r="D383" s="54" t="s">
        <v>1468</v>
      </c>
      <c r="E383" s="217">
        <v>63202800</v>
      </c>
      <c r="F383" s="141">
        <v>63202800</v>
      </c>
    </row>
    <row r="384" spans="1:6">
      <c r="A384" s="212" t="s">
        <v>1504</v>
      </c>
      <c r="B384" s="155" t="s">
        <v>827</v>
      </c>
      <c r="C384" s="54" t="s">
        <v>1505</v>
      </c>
      <c r="D384" s="54" t="s">
        <v>1468</v>
      </c>
      <c r="E384" s="217">
        <v>63202800</v>
      </c>
      <c r="F384" s="141">
        <v>63202800</v>
      </c>
    </row>
    <row r="385" spans="1:6">
      <c r="A385" s="54" t="s">
        <v>174</v>
      </c>
      <c r="B385" s="155" t="s">
        <v>827</v>
      </c>
      <c r="C385" s="54" t="s">
        <v>1505</v>
      </c>
      <c r="D385" s="54" t="s">
        <v>1365</v>
      </c>
      <c r="E385" s="217">
        <v>63202800</v>
      </c>
      <c r="F385" s="141">
        <v>63202800</v>
      </c>
    </row>
    <row r="386" spans="1:6">
      <c r="A386" s="54" t="s">
        <v>1586</v>
      </c>
      <c r="B386" s="155" t="s">
        <v>827</v>
      </c>
      <c r="C386" s="54" t="s">
        <v>1505</v>
      </c>
      <c r="D386" s="54" t="s">
        <v>1587</v>
      </c>
      <c r="E386" s="217">
        <v>63202800</v>
      </c>
      <c r="F386" s="141">
        <v>63202800</v>
      </c>
    </row>
    <row r="387" spans="1:6" ht="102">
      <c r="A387" s="54" t="s">
        <v>699</v>
      </c>
      <c r="B387" s="155" t="s">
        <v>1112</v>
      </c>
      <c r="C387" s="54" t="s">
        <v>1468</v>
      </c>
      <c r="D387" s="54" t="s">
        <v>1468</v>
      </c>
      <c r="E387" s="217">
        <v>21426900</v>
      </c>
      <c r="F387" s="141">
        <v>21426900</v>
      </c>
    </row>
    <row r="388" spans="1:6" ht="178.5">
      <c r="A388" s="54" t="s">
        <v>674</v>
      </c>
      <c r="B388" s="155" t="s">
        <v>829</v>
      </c>
      <c r="C388" s="54" t="s">
        <v>1468</v>
      </c>
      <c r="D388" s="54" t="s">
        <v>1468</v>
      </c>
      <c r="E388" s="138">
        <v>21426900</v>
      </c>
      <c r="F388" s="141">
        <v>21426900</v>
      </c>
    </row>
    <row r="389" spans="1:6" ht="76.5">
      <c r="A389" s="54" t="s">
        <v>1754</v>
      </c>
      <c r="B389" s="155" t="s">
        <v>829</v>
      </c>
      <c r="C389" s="54" t="s">
        <v>322</v>
      </c>
      <c r="D389" s="54" t="s">
        <v>1468</v>
      </c>
      <c r="E389" s="138">
        <v>18971600</v>
      </c>
      <c r="F389" s="141">
        <v>18971600</v>
      </c>
    </row>
    <row r="390" spans="1:6" ht="38.25">
      <c r="A390" s="54" t="s">
        <v>1509</v>
      </c>
      <c r="B390" s="155" t="s">
        <v>829</v>
      </c>
      <c r="C390" s="54" t="s">
        <v>37</v>
      </c>
      <c r="D390" s="54" t="s">
        <v>1468</v>
      </c>
      <c r="E390" s="138">
        <v>18971600</v>
      </c>
      <c r="F390" s="141">
        <v>18971600</v>
      </c>
    </row>
    <row r="391" spans="1:6">
      <c r="A391" s="54" t="s">
        <v>174</v>
      </c>
      <c r="B391" s="155" t="s">
        <v>829</v>
      </c>
      <c r="C391" s="54" t="s">
        <v>37</v>
      </c>
      <c r="D391" s="54" t="s">
        <v>1365</v>
      </c>
      <c r="E391" s="138">
        <v>18971600</v>
      </c>
      <c r="F391" s="141">
        <v>18971600</v>
      </c>
    </row>
    <row r="392" spans="1:6" ht="25.5">
      <c r="A392" s="54" t="s">
        <v>82</v>
      </c>
      <c r="B392" s="155" t="s">
        <v>829</v>
      </c>
      <c r="C392" s="54" t="s">
        <v>37</v>
      </c>
      <c r="D392" s="54" t="s">
        <v>483</v>
      </c>
      <c r="E392" s="138">
        <v>18971600</v>
      </c>
      <c r="F392" s="141">
        <v>18971600</v>
      </c>
    </row>
    <row r="393" spans="1:6" ht="38.25">
      <c r="A393" s="54" t="s">
        <v>1755</v>
      </c>
      <c r="B393" s="140" t="s">
        <v>829</v>
      </c>
      <c r="C393" s="54" t="s">
        <v>1756</v>
      </c>
      <c r="D393" s="54" t="s">
        <v>1468</v>
      </c>
      <c r="E393" s="138">
        <v>2455300</v>
      </c>
      <c r="F393" s="141">
        <v>2455300</v>
      </c>
    </row>
    <row r="394" spans="1:6" ht="38.25">
      <c r="A394" s="54" t="s">
        <v>1502</v>
      </c>
      <c r="B394" s="140" t="s">
        <v>829</v>
      </c>
      <c r="C394" s="54" t="s">
        <v>1503</v>
      </c>
      <c r="D394" s="54" t="s">
        <v>1468</v>
      </c>
      <c r="E394" s="138">
        <v>2455300</v>
      </c>
      <c r="F394" s="141">
        <v>2455300</v>
      </c>
    </row>
    <row r="395" spans="1:6">
      <c r="A395" s="54" t="s">
        <v>174</v>
      </c>
      <c r="B395" s="155" t="s">
        <v>829</v>
      </c>
      <c r="C395" s="54" t="s">
        <v>1503</v>
      </c>
      <c r="D395" s="54" t="s">
        <v>1365</v>
      </c>
      <c r="E395" s="138">
        <v>2455300</v>
      </c>
      <c r="F395" s="141">
        <v>2455300</v>
      </c>
    </row>
    <row r="396" spans="1:6" ht="25.5">
      <c r="A396" s="54" t="s">
        <v>82</v>
      </c>
      <c r="B396" s="155" t="s">
        <v>829</v>
      </c>
      <c r="C396" s="54" t="s">
        <v>1503</v>
      </c>
      <c r="D396" s="54" t="s">
        <v>483</v>
      </c>
      <c r="E396" s="138">
        <v>2455300</v>
      </c>
      <c r="F396" s="141">
        <v>2455300</v>
      </c>
    </row>
    <row r="397" spans="1:6" ht="63.75">
      <c r="A397" s="54" t="s">
        <v>545</v>
      </c>
      <c r="B397" s="155" t="s">
        <v>1113</v>
      </c>
      <c r="C397" s="54" t="s">
        <v>1468</v>
      </c>
      <c r="D397" s="54" t="s">
        <v>1468</v>
      </c>
      <c r="E397" s="138">
        <v>204504900</v>
      </c>
      <c r="F397" s="141">
        <v>204504900</v>
      </c>
    </row>
    <row r="398" spans="1:6" ht="51">
      <c r="A398" s="212" t="s">
        <v>700</v>
      </c>
      <c r="B398" s="155" t="s">
        <v>1114</v>
      </c>
      <c r="C398" s="54" t="s">
        <v>1468</v>
      </c>
      <c r="D398" s="54" t="s">
        <v>1468</v>
      </c>
      <c r="E398" s="138">
        <v>203119900</v>
      </c>
      <c r="F398" s="141">
        <v>203119900</v>
      </c>
    </row>
    <row r="399" spans="1:6" ht="140.25">
      <c r="A399" s="54" t="s">
        <v>1423</v>
      </c>
      <c r="B399" s="155" t="s">
        <v>807</v>
      </c>
      <c r="C399" s="54" t="s">
        <v>1468</v>
      </c>
      <c r="D399" s="54" t="s">
        <v>1468</v>
      </c>
      <c r="E399" s="138">
        <v>183257500</v>
      </c>
      <c r="F399" s="141">
        <v>183257500</v>
      </c>
    </row>
    <row r="400" spans="1:6" ht="76.5">
      <c r="A400" s="54" t="s">
        <v>1754</v>
      </c>
      <c r="B400" s="155" t="s">
        <v>807</v>
      </c>
      <c r="C400" s="54" t="s">
        <v>322</v>
      </c>
      <c r="D400" s="54" t="s">
        <v>1468</v>
      </c>
      <c r="E400" s="138">
        <v>1432200</v>
      </c>
      <c r="F400" s="141">
        <v>1432200</v>
      </c>
    </row>
    <row r="401" spans="1:6" ht="25.5">
      <c r="A401" s="212" t="s">
        <v>1487</v>
      </c>
      <c r="B401" s="140" t="s">
        <v>807</v>
      </c>
      <c r="C401" s="54" t="s">
        <v>165</v>
      </c>
      <c r="D401" s="54" t="s">
        <v>1468</v>
      </c>
      <c r="E401" s="138">
        <v>1432200</v>
      </c>
      <c r="F401" s="141">
        <v>1432200</v>
      </c>
    </row>
    <row r="402" spans="1:6" ht="25.5">
      <c r="A402" s="212" t="s">
        <v>283</v>
      </c>
      <c r="B402" s="155" t="s">
        <v>807</v>
      </c>
      <c r="C402" s="54" t="s">
        <v>165</v>
      </c>
      <c r="D402" s="54" t="s">
        <v>1363</v>
      </c>
      <c r="E402" s="138">
        <v>1432200</v>
      </c>
      <c r="F402" s="141">
        <v>1432200</v>
      </c>
    </row>
    <row r="403" spans="1:6">
      <c r="A403" s="54" t="s">
        <v>180</v>
      </c>
      <c r="B403" s="155" t="s">
        <v>807</v>
      </c>
      <c r="C403" s="54" t="s">
        <v>165</v>
      </c>
      <c r="D403" s="54" t="s">
        <v>452</v>
      </c>
      <c r="E403" s="138">
        <v>1432200</v>
      </c>
      <c r="F403" s="141">
        <v>1432200</v>
      </c>
    </row>
    <row r="404" spans="1:6" ht="38.25">
      <c r="A404" s="153" t="s">
        <v>1755</v>
      </c>
      <c r="B404" s="155" t="s">
        <v>807</v>
      </c>
      <c r="C404" s="153" t="s">
        <v>1756</v>
      </c>
      <c r="D404" s="153" t="s">
        <v>1468</v>
      </c>
      <c r="E404" s="138">
        <v>118670</v>
      </c>
      <c r="F404" s="141">
        <v>118670</v>
      </c>
    </row>
    <row r="405" spans="1:6" ht="38.25">
      <c r="A405" s="153" t="s">
        <v>1502</v>
      </c>
      <c r="B405" s="140" t="s">
        <v>807</v>
      </c>
      <c r="C405" s="153" t="s">
        <v>1503</v>
      </c>
      <c r="D405" s="153" t="s">
        <v>1468</v>
      </c>
      <c r="E405" s="138">
        <v>118670</v>
      </c>
      <c r="F405" s="141">
        <v>118670</v>
      </c>
    </row>
    <row r="406" spans="1:6" ht="25.5">
      <c r="A406" s="212" t="s">
        <v>283</v>
      </c>
      <c r="B406" s="155" t="s">
        <v>807</v>
      </c>
      <c r="C406" s="153" t="s">
        <v>1503</v>
      </c>
      <c r="D406" s="153" t="s">
        <v>1363</v>
      </c>
      <c r="E406" s="138">
        <v>118670</v>
      </c>
      <c r="F406" s="141">
        <v>118670</v>
      </c>
    </row>
    <row r="407" spans="1:6">
      <c r="A407" s="153" t="s">
        <v>180</v>
      </c>
      <c r="B407" s="155" t="s">
        <v>807</v>
      </c>
      <c r="C407" s="153" t="s">
        <v>1503</v>
      </c>
      <c r="D407" s="153" t="s">
        <v>452</v>
      </c>
      <c r="E407" s="138">
        <v>118670</v>
      </c>
      <c r="F407" s="141">
        <v>118670</v>
      </c>
    </row>
    <row r="408" spans="1:6">
      <c r="A408" s="153" t="s">
        <v>1757</v>
      </c>
      <c r="B408" s="155" t="s">
        <v>807</v>
      </c>
      <c r="C408" s="153" t="s">
        <v>1758</v>
      </c>
      <c r="D408" s="153" t="s">
        <v>1468</v>
      </c>
      <c r="E408" s="138">
        <v>181706630</v>
      </c>
      <c r="F408" s="141">
        <v>181706630</v>
      </c>
    </row>
    <row r="409" spans="1:6" ht="63.75">
      <c r="A409" s="153" t="s">
        <v>1512</v>
      </c>
      <c r="B409" s="140" t="s">
        <v>807</v>
      </c>
      <c r="C409" s="153" t="s">
        <v>442</v>
      </c>
      <c r="D409" s="153" t="s">
        <v>1468</v>
      </c>
      <c r="E409" s="138">
        <v>181677500</v>
      </c>
      <c r="F409" s="141">
        <v>181677500</v>
      </c>
    </row>
    <row r="410" spans="1:6" ht="25.5">
      <c r="A410" s="153" t="s">
        <v>283</v>
      </c>
      <c r="B410" s="155" t="s">
        <v>807</v>
      </c>
      <c r="C410" s="153" t="s">
        <v>442</v>
      </c>
      <c r="D410" s="153" t="s">
        <v>1363</v>
      </c>
      <c r="E410" s="138">
        <v>181677500</v>
      </c>
      <c r="F410" s="141">
        <v>181677500</v>
      </c>
    </row>
    <row r="411" spans="1:6">
      <c r="A411" s="153" t="s">
        <v>180</v>
      </c>
      <c r="B411" s="155" t="s">
        <v>807</v>
      </c>
      <c r="C411" s="153" t="s">
        <v>442</v>
      </c>
      <c r="D411" s="153" t="s">
        <v>452</v>
      </c>
      <c r="E411" s="138">
        <v>181677500</v>
      </c>
      <c r="F411" s="141">
        <v>181677500</v>
      </c>
    </row>
    <row r="412" spans="1:6">
      <c r="A412" s="153" t="s">
        <v>1507</v>
      </c>
      <c r="B412" s="155" t="s">
        <v>807</v>
      </c>
      <c r="C412" s="153" t="s">
        <v>1508</v>
      </c>
      <c r="D412" s="153" t="s">
        <v>1468</v>
      </c>
      <c r="E412" s="138">
        <v>29130</v>
      </c>
      <c r="F412" s="141">
        <v>29130</v>
      </c>
    </row>
    <row r="413" spans="1:6" ht="25.5">
      <c r="A413" s="153" t="s">
        <v>283</v>
      </c>
      <c r="B413" s="155" t="s">
        <v>807</v>
      </c>
      <c r="C413" s="153" t="s">
        <v>1508</v>
      </c>
      <c r="D413" s="153" t="s">
        <v>1363</v>
      </c>
      <c r="E413" s="138">
        <v>29130</v>
      </c>
      <c r="F413" s="141">
        <v>29130</v>
      </c>
    </row>
    <row r="414" spans="1:6">
      <c r="A414" s="153" t="s">
        <v>180</v>
      </c>
      <c r="B414" s="155" t="s">
        <v>807</v>
      </c>
      <c r="C414" s="153" t="s">
        <v>1508</v>
      </c>
      <c r="D414" s="153" t="s">
        <v>452</v>
      </c>
      <c r="E414" s="138">
        <v>29130</v>
      </c>
      <c r="F414" s="141">
        <v>29130</v>
      </c>
    </row>
    <row r="415" spans="1:6" ht="216.75">
      <c r="A415" s="153" t="s">
        <v>1424</v>
      </c>
      <c r="B415" s="155" t="s">
        <v>806</v>
      </c>
      <c r="C415" s="153" t="s">
        <v>1468</v>
      </c>
      <c r="D415" s="153" t="s">
        <v>1468</v>
      </c>
      <c r="E415" s="138">
        <v>15316700</v>
      </c>
      <c r="F415" s="141">
        <v>15316700</v>
      </c>
    </row>
    <row r="416" spans="1:6">
      <c r="A416" s="153" t="s">
        <v>1757</v>
      </c>
      <c r="B416" s="155" t="s">
        <v>806</v>
      </c>
      <c r="C416" s="153" t="s">
        <v>1758</v>
      </c>
      <c r="D416" s="153" t="s">
        <v>1468</v>
      </c>
      <c r="E416" s="138">
        <v>15316700</v>
      </c>
      <c r="F416" s="141">
        <v>15316700</v>
      </c>
    </row>
    <row r="417" spans="1:6" ht="63.75">
      <c r="A417" s="54" t="s">
        <v>1512</v>
      </c>
      <c r="B417" s="155" t="s">
        <v>806</v>
      </c>
      <c r="C417" s="54" t="s">
        <v>442</v>
      </c>
      <c r="D417" s="54" t="s">
        <v>1468</v>
      </c>
      <c r="E417" s="138">
        <v>15316700</v>
      </c>
      <c r="F417" s="141">
        <v>15316700</v>
      </c>
    </row>
    <row r="418" spans="1:6" ht="25.5">
      <c r="A418" s="212" t="s">
        <v>283</v>
      </c>
      <c r="B418" s="155" t="s">
        <v>806</v>
      </c>
      <c r="C418" s="54" t="s">
        <v>442</v>
      </c>
      <c r="D418" s="54" t="s">
        <v>1363</v>
      </c>
      <c r="E418" s="138">
        <v>15316700</v>
      </c>
      <c r="F418" s="141">
        <v>15316700</v>
      </c>
    </row>
    <row r="419" spans="1:6">
      <c r="A419" s="54" t="s">
        <v>180</v>
      </c>
      <c r="B419" s="155" t="s">
        <v>806</v>
      </c>
      <c r="C419" s="54" t="s">
        <v>442</v>
      </c>
      <c r="D419" s="54" t="s">
        <v>452</v>
      </c>
      <c r="E419" s="138">
        <v>15316700</v>
      </c>
      <c r="F419" s="141">
        <v>15316700</v>
      </c>
    </row>
    <row r="420" spans="1:6" ht="153">
      <c r="A420" s="54" t="s">
        <v>1747</v>
      </c>
      <c r="B420" s="155" t="s">
        <v>1748</v>
      </c>
      <c r="C420" s="54" t="s">
        <v>1468</v>
      </c>
      <c r="D420" s="54" t="s">
        <v>1468</v>
      </c>
      <c r="E420" s="138">
        <v>3858100</v>
      </c>
      <c r="F420" s="141">
        <v>3858100</v>
      </c>
    </row>
    <row r="421" spans="1:6" ht="76.5">
      <c r="A421" s="212" t="s">
        <v>1754</v>
      </c>
      <c r="B421" s="140" t="s">
        <v>1748</v>
      </c>
      <c r="C421" s="54" t="s">
        <v>322</v>
      </c>
      <c r="D421" s="54" t="s">
        <v>1468</v>
      </c>
      <c r="E421" s="138">
        <v>2121870</v>
      </c>
      <c r="F421" s="141">
        <v>2121870</v>
      </c>
    </row>
    <row r="422" spans="1:6" ht="25.5">
      <c r="A422" s="212" t="s">
        <v>1487</v>
      </c>
      <c r="B422" s="140" t="s">
        <v>1748</v>
      </c>
      <c r="C422" s="54" t="s">
        <v>165</v>
      </c>
      <c r="D422" s="54" t="s">
        <v>1468</v>
      </c>
      <c r="E422" s="138">
        <v>2121870</v>
      </c>
      <c r="F422" s="141">
        <v>2121870</v>
      </c>
    </row>
    <row r="423" spans="1:6" ht="25.5">
      <c r="A423" s="54" t="s">
        <v>283</v>
      </c>
      <c r="B423" s="155" t="s">
        <v>1748</v>
      </c>
      <c r="C423" s="54" t="s">
        <v>165</v>
      </c>
      <c r="D423" s="54" t="s">
        <v>1363</v>
      </c>
      <c r="E423" s="138">
        <v>2121870</v>
      </c>
      <c r="F423" s="141">
        <v>2121870</v>
      </c>
    </row>
    <row r="424" spans="1:6">
      <c r="A424" s="54" t="s">
        <v>180</v>
      </c>
      <c r="B424" s="155" t="s">
        <v>1748</v>
      </c>
      <c r="C424" s="54" t="s">
        <v>165</v>
      </c>
      <c r="D424" s="54" t="s">
        <v>452</v>
      </c>
      <c r="E424" s="138">
        <v>2121870</v>
      </c>
      <c r="F424" s="141">
        <v>2121870</v>
      </c>
    </row>
    <row r="425" spans="1:6" ht="38.25">
      <c r="A425" s="54" t="s">
        <v>1755</v>
      </c>
      <c r="B425" s="155" t="s">
        <v>1748</v>
      </c>
      <c r="C425" s="54" t="s">
        <v>1756</v>
      </c>
      <c r="D425" s="54" t="s">
        <v>1468</v>
      </c>
      <c r="E425" s="138">
        <v>1586230</v>
      </c>
      <c r="F425" s="141">
        <v>1586230</v>
      </c>
    </row>
    <row r="426" spans="1:6" ht="38.25">
      <c r="A426" s="54" t="s">
        <v>1502</v>
      </c>
      <c r="B426" s="155" t="s">
        <v>1748</v>
      </c>
      <c r="C426" s="54" t="s">
        <v>1503</v>
      </c>
      <c r="D426" s="54" t="s">
        <v>1468</v>
      </c>
      <c r="E426" s="138">
        <v>1586230</v>
      </c>
      <c r="F426" s="141">
        <v>1586230</v>
      </c>
    </row>
    <row r="427" spans="1:6" ht="25.5">
      <c r="A427" s="54" t="s">
        <v>283</v>
      </c>
      <c r="B427" s="155" t="s">
        <v>1748</v>
      </c>
      <c r="C427" s="54" t="s">
        <v>1503</v>
      </c>
      <c r="D427" s="54" t="s">
        <v>1363</v>
      </c>
      <c r="E427" s="138">
        <v>1586230</v>
      </c>
      <c r="F427" s="141">
        <v>1586230</v>
      </c>
    </row>
    <row r="428" spans="1:6">
      <c r="A428" s="54" t="s">
        <v>180</v>
      </c>
      <c r="B428" s="155" t="s">
        <v>1748</v>
      </c>
      <c r="C428" s="54" t="s">
        <v>1503</v>
      </c>
      <c r="D428" s="54" t="s">
        <v>452</v>
      </c>
      <c r="E428" s="138">
        <v>1586230</v>
      </c>
      <c r="F428" s="141">
        <v>1586230</v>
      </c>
    </row>
    <row r="429" spans="1:6">
      <c r="A429" s="54" t="s">
        <v>1757</v>
      </c>
      <c r="B429" s="155" t="s">
        <v>1748</v>
      </c>
      <c r="C429" s="189" t="s">
        <v>1758</v>
      </c>
      <c r="D429" s="189" t="s">
        <v>1468</v>
      </c>
      <c r="E429" s="138">
        <v>150000</v>
      </c>
      <c r="F429" s="138">
        <v>150000</v>
      </c>
    </row>
    <row r="430" spans="1:6">
      <c r="A430" s="54" t="s">
        <v>1507</v>
      </c>
      <c r="B430" s="155" t="s">
        <v>1748</v>
      </c>
      <c r="C430" s="189" t="s">
        <v>1508</v>
      </c>
      <c r="D430" s="189" t="s">
        <v>1468</v>
      </c>
      <c r="E430" s="138">
        <v>150000</v>
      </c>
      <c r="F430" s="141">
        <v>150000</v>
      </c>
    </row>
    <row r="431" spans="1:6" ht="25.5">
      <c r="A431" s="212" t="s">
        <v>283</v>
      </c>
      <c r="B431" s="140" t="s">
        <v>1748</v>
      </c>
      <c r="C431" s="54" t="s">
        <v>1508</v>
      </c>
      <c r="D431" s="54" t="s">
        <v>1363</v>
      </c>
      <c r="E431" s="138">
        <v>150000</v>
      </c>
      <c r="F431" s="141">
        <v>150000</v>
      </c>
    </row>
    <row r="432" spans="1:6">
      <c r="A432" s="212" t="s">
        <v>180</v>
      </c>
      <c r="B432" s="155" t="s">
        <v>1748</v>
      </c>
      <c r="C432" s="54" t="s">
        <v>1508</v>
      </c>
      <c r="D432" s="54" t="s">
        <v>452</v>
      </c>
      <c r="E432" s="138">
        <v>150000</v>
      </c>
      <c r="F432" s="141">
        <v>150000</v>
      </c>
    </row>
    <row r="433" spans="1:6" ht="178.5">
      <c r="A433" s="54" t="s">
        <v>1749</v>
      </c>
      <c r="B433" s="155" t="s">
        <v>1750</v>
      </c>
      <c r="C433" s="54" t="s">
        <v>1468</v>
      </c>
      <c r="D433" s="54" t="s">
        <v>1468</v>
      </c>
      <c r="E433" s="138">
        <v>50000</v>
      </c>
      <c r="F433" s="141">
        <v>50000</v>
      </c>
    </row>
    <row r="434" spans="1:6" ht="76.5">
      <c r="A434" s="54" t="s">
        <v>1754</v>
      </c>
      <c r="B434" s="155" t="s">
        <v>1750</v>
      </c>
      <c r="C434" s="54" t="s">
        <v>322</v>
      </c>
      <c r="D434" s="54" t="s">
        <v>1468</v>
      </c>
      <c r="E434" s="138">
        <v>50000</v>
      </c>
      <c r="F434" s="141">
        <v>50000</v>
      </c>
    </row>
    <row r="435" spans="1:6" ht="25.5">
      <c r="A435" s="212" t="s">
        <v>1487</v>
      </c>
      <c r="B435" s="155" t="s">
        <v>1750</v>
      </c>
      <c r="C435" s="54" t="s">
        <v>165</v>
      </c>
      <c r="D435" s="54" t="s">
        <v>1468</v>
      </c>
      <c r="E435" s="138">
        <v>50000</v>
      </c>
      <c r="F435" s="141">
        <v>50000</v>
      </c>
    </row>
    <row r="436" spans="1:6" ht="25.5">
      <c r="A436" s="54" t="s">
        <v>283</v>
      </c>
      <c r="B436" s="155" t="s">
        <v>1750</v>
      </c>
      <c r="C436" s="54" t="s">
        <v>165</v>
      </c>
      <c r="D436" s="54" t="s">
        <v>1363</v>
      </c>
      <c r="E436" s="138">
        <v>50000</v>
      </c>
      <c r="F436" s="141">
        <v>50000</v>
      </c>
    </row>
    <row r="437" spans="1:6">
      <c r="A437" s="54" t="s">
        <v>180</v>
      </c>
      <c r="B437" s="155" t="s">
        <v>1750</v>
      </c>
      <c r="C437" s="54" t="s">
        <v>165</v>
      </c>
      <c r="D437" s="54" t="s">
        <v>452</v>
      </c>
      <c r="E437" s="138">
        <v>50000</v>
      </c>
      <c r="F437" s="141">
        <v>50000</v>
      </c>
    </row>
    <row r="438" spans="1:6" ht="165.75">
      <c r="A438" s="212" t="s">
        <v>1751</v>
      </c>
      <c r="B438" s="155" t="s">
        <v>1752</v>
      </c>
      <c r="C438" s="54" t="s">
        <v>1468</v>
      </c>
      <c r="D438" s="54" t="s">
        <v>1468</v>
      </c>
      <c r="E438" s="138">
        <v>637600</v>
      </c>
      <c r="F438" s="141">
        <v>637600</v>
      </c>
    </row>
    <row r="439" spans="1:6" ht="38.25">
      <c r="A439" s="54" t="s">
        <v>1755</v>
      </c>
      <c r="B439" s="155" t="s">
        <v>1752</v>
      </c>
      <c r="C439" s="54" t="s">
        <v>1756</v>
      </c>
      <c r="D439" s="54" t="s">
        <v>1468</v>
      </c>
      <c r="E439" s="138">
        <v>637600</v>
      </c>
      <c r="F439" s="141">
        <v>637600</v>
      </c>
    </row>
    <row r="440" spans="1:6" ht="38.25">
      <c r="A440" s="54" t="s">
        <v>1502</v>
      </c>
      <c r="B440" s="155" t="s">
        <v>1752</v>
      </c>
      <c r="C440" s="54" t="s">
        <v>1503</v>
      </c>
      <c r="D440" s="54" t="s">
        <v>1468</v>
      </c>
      <c r="E440" s="138">
        <v>637600</v>
      </c>
      <c r="F440" s="141">
        <v>637600</v>
      </c>
    </row>
    <row r="441" spans="1:6" ht="25.5">
      <c r="A441" s="54" t="s">
        <v>283</v>
      </c>
      <c r="B441" s="140" t="s">
        <v>1752</v>
      </c>
      <c r="C441" s="54" t="s">
        <v>1503</v>
      </c>
      <c r="D441" s="54" t="s">
        <v>1363</v>
      </c>
      <c r="E441" s="138">
        <v>637600</v>
      </c>
      <c r="F441" s="141">
        <v>637600</v>
      </c>
    </row>
    <row r="442" spans="1:6">
      <c r="A442" s="54" t="s">
        <v>180</v>
      </c>
      <c r="B442" s="140" t="s">
        <v>1752</v>
      </c>
      <c r="C442" s="54" t="s">
        <v>1503</v>
      </c>
      <c r="D442" s="54" t="s">
        <v>452</v>
      </c>
      <c r="E442" s="138">
        <v>637600</v>
      </c>
      <c r="F442" s="141">
        <v>637600</v>
      </c>
    </row>
    <row r="443" spans="1:6" ht="63.75">
      <c r="A443" s="54" t="s">
        <v>701</v>
      </c>
      <c r="B443" s="155" t="s">
        <v>1115</v>
      </c>
      <c r="C443" s="54" t="s">
        <v>1468</v>
      </c>
      <c r="D443" s="54" t="s">
        <v>1468</v>
      </c>
      <c r="E443" s="138">
        <v>185000</v>
      </c>
      <c r="F443" s="141">
        <v>185000</v>
      </c>
    </row>
    <row r="444" spans="1:6" ht="127.5">
      <c r="A444" s="54" t="s">
        <v>623</v>
      </c>
      <c r="B444" s="155" t="s">
        <v>865</v>
      </c>
      <c r="C444" s="54" t="s">
        <v>1468</v>
      </c>
      <c r="D444" s="54" t="s">
        <v>1468</v>
      </c>
      <c r="E444" s="138">
        <v>185000</v>
      </c>
      <c r="F444" s="141">
        <v>185000</v>
      </c>
    </row>
    <row r="445" spans="1:6" ht="38.25">
      <c r="A445" s="54" t="s">
        <v>1755</v>
      </c>
      <c r="B445" s="155" t="s">
        <v>865</v>
      </c>
      <c r="C445" s="54" t="s">
        <v>1756</v>
      </c>
      <c r="D445" s="54" t="s">
        <v>1468</v>
      </c>
      <c r="E445" s="138">
        <v>185000</v>
      </c>
      <c r="F445" s="141">
        <v>185000</v>
      </c>
    </row>
    <row r="446" spans="1:6" ht="38.25">
      <c r="A446" s="54" t="s">
        <v>1502</v>
      </c>
      <c r="B446" s="155" t="s">
        <v>865</v>
      </c>
      <c r="C446" s="54" t="s">
        <v>1503</v>
      </c>
      <c r="D446" s="54" t="s">
        <v>1468</v>
      </c>
      <c r="E446" s="138">
        <v>185000</v>
      </c>
      <c r="F446" s="141">
        <v>185000</v>
      </c>
    </row>
    <row r="447" spans="1:6" ht="25.5">
      <c r="A447" s="54" t="s">
        <v>283</v>
      </c>
      <c r="B447" s="155" t="s">
        <v>865</v>
      </c>
      <c r="C447" s="54" t="s">
        <v>1503</v>
      </c>
      <c r="D447" s="54" t="s">
        <v>1363</v>
      </c>
      <c r="E447" s="138">
        <v>185000</v>
      </c>
      <c r="F447" s="141">
        <v>185000</v>
      </c>
    </row>
    <row r="448" spans="1:6">
      <c r="A448" s="212" t="s">
        <v>3</v>
      </c>
      <c r="B448" s="140" t="s">
        <v>865</v>
      </c>
      <c r="C448" s="54" t="s">
        <v>1503</v>
      </c>
      <c r="D448" s="54" t="s">
        <v>474</v>
      </c>
      <c r="E448" s="138">
        <v>185000</v>
      </c>
      <c r="F448" s="141">
        <v>185000</v>
      </c>
    </row>
    <row r="449" spans="1:6" ht="25.5">
      <c r="A449" s="212" t="s">
        <v>950</v>
      </c>
      <c r="B449" s="140" t="s">
        <v>1201</v>
      </c>
      <c r="C449" s="54" t="s">
        <v>1468</v>
      </c>
      <c r="D449" s="54" t="s">
        <v>1468</v>
      </c>
      <c r="E449" s="138">
        <v>1200000</v>
      </c>
      <c r="F449" s="141">
        <v>1200000</v>
      </c>
    </row>
    <row r="450" spans="1:6" ht="102">
      <c r="A450" s="54" t="s">
        <v>1075</v>
      </c>
      <c r="B450" s="140" t="s">
        <v>933</v>
      </c>
      <c r="C450" s="54" t="s">
        <v>1468</v>
      </c>
      <c r="D450" s="54" t="s">
        <v>1468</v>
      </c>
      <c r="E450" s="138">
        <v>1200000</v>
      </c>
      <c r="F450" s="141">
        <v>1200000</v>
      </c>
    </row>
    <row r="451" spans="1:6" ht="38.25">
      <c r="A451" s="54" t="s">
        <v>1755</v>
      </c>
      <c r="B451" s="140" t="s">
        <v>933</v>
      </c>
      <c r="C451" s="54" t="s">
        <v>1756</v>
      </c>
      <c r="D451" s="54" t="s">
        <v>1468</v>
      </c>
      <c r="E451" s="138">
        <v>1200000</v>
      </c>
      <c r="F451" s="141">
        <v>1200000</v>
      </c>
    </row>
    <row r="452" spans="1:6" ht="38.25">
      <c r="A452" s="212" t="s">
        <v>1502</v>
      </c>
      <c r="B452" s="140" t="s">
        <v>933</v>
      </c>
      <c r="C452" s="54" t="s">
        <v>1503</v>
      </c>
      <c r="D452" s="54" t="s">
        <v>1468</v>
      </c>
      <c r="E452" s="138">
        <v>1200000</v>
      </c>
      <c r="F452" s="141">
        <v>1200000</v>
      </c>
    </row>
    <row r="453" spans="1:6" ht="25.5">
      <c r="A453" s="212" t="s">
        <v>283</v>
      </c>
      <c r="B453" s="155" t="s">
        <v>933</v>
      </c>
      <c r="C453" s="54" t="s">
        <v>1503</v>
      </c>
      <c r="D453" s="54" t="s">
        <v>1363</v>
      </c>
      <c r="E453" s="138">
        <v>1200000</v>
      </c>
      <c r="F453" s="141">
        <v>1200000</v>
      </c>
    </row>
    <row r="454" spans="1:6">
      <c r="A454" s="54" t="s">
        <v>46</v>
      </c>
      <c r="B454" s="155" t="s">
        <v>933</v>
      </c>
      <c r="C454" s="54" t="s">
        <v>1503</v>
      </c>
      <c r="D454" s="54" t="s">
        <v>476</v>
      </c>
      <c r="E454" s="138">
        <v>1200000</v>
      </c>
      <c r="F454" s="141">
        <v>1200000</v>
      </c>
    </row>
    <row r="455" spans="1:6" ht="51">
      <c r="A455" s="54" t="s">
        <v>549</v>
      </c>
      <c r="B455" s="155" t="s">
        <v>1117</v>
      </c>
      <c r="C455" s="54" t="s">
        <v>1468</v>
      </c>
      <c r="D455" s="54" t="s">
        <v>1468</v>
      </c>
      <c r="E455" s="138">
        <v>23248924</v>
      </c>
      <c r="F455" s="141">
        <v>23248924</v>
      </c>
    </row>
    <row r="456" spans="1:6" ht="89.25">
      <c r="A456" s="54" t="s">
        <v>550</v>
      </c>
      <c r="B456" s="155" t="s">
        <v>1118</v>
      </c>
      <c r="C456" s="54" t="s">
        <v>1468</v>
      </c>
      <c r="D456" s="54" t="s">
        <v>1468</v>
      </c>
      <c r="E456" s="138">
        <v>2901942</v>
      </c>
      <c r="F456" s="141">
        <v>2901942</v>
      </c>
    </row>
    <row r="457" spans="1:6" ht="165.75">
      <c r="A457" s="54" t="s">
        <v>429</v>
      </c>
      <c r="B457" s="155" t="s">
        <v>784</v>
      </c>
      <c r="C457" s="54" t="s">
        <v>1468</v>
      </c>
      <c r="D457" s="54" t="s">
        <v>1468</v>
      </c>
      <c r="E457" s="138">
        <v>2803032</v>
      </c>
      <c r="F457" s="141">
        <v>2803032</v>
      </c>
    </row>
    <row r="458" spans="1:6" ht="76.5">
      <c r="A458" s="54" t="s">
        <v>1754</v>
      </c>
      <c r="B458" s="140" t="s">
        <v>784</v>
      </c>
      <c r="C458" s="54" t="s">
        <v>322</v>
      </c>
      <c r="D458" s="54" t="s">
        <v>1468</v>
      </c>
      <c r="E458" s="138">
        <v>2803032</v>
      </c>
      <c r="F458" s="141">
        <v>2803032</v>
      </c>
    </row>
    <row r="459" spans="1:6" ht="25.5">
      <c r="A459" s="54" t="s">
        <v>1487</v>
      </c>
      <c r="B459" s="155" t="s">
        <v>784</v>
      </c>
      <c r="C459" s="54" t="s">
        <v>165</v>
      </c>
      <c r="D459" s="54" t="s">
        <v>1468</v>
      </c>
      <c r="E459" s="138">
        <v>2803032</v>
      </c>
      <c r="F459" s="141">
        <v>2803032</v>
      </c>
    </row>
    <row r="460" spans="1:6" ht="38.25">
      <c r="A460" s="54" t="s">
        <v>282</v>
      </c>
      <c r="B460" s="155" t="s">
        <v>784</v>
      </c>
      <c r="C460" s="54" t="s">
        <v>165</v>
      </c>
      <c r="D460" s="54" t="s">
        <v>1359</v>
      </c>
      <c r="E460" s="138">
        <v>2803032</v>
      </c>
      <c r="F460" s="141">
        <v>2803032</v>
      </c>
    </row>
    <row r="461" spans="1:6" ht="51">
      <c r="A461" s="54" t="s">
        <v>305</v>
      </c>
      <c r="B461" s="155" t="s">
        <v>784</v>
      </c>
      <c r="C461" s="54" t="s">
        <v>165</v>
      </c>
      <c r="D461" s="54" t="s">
        <v>428</v>
      </c>
      <c r="E461" s="138">
        <v>2803032</v>
      </c>
      <c r="F461" s="141">
        <v>2803032</v>
      </c>
    </row>
    <row r="462" spans="1:6" ht="204">
      <c r="A462" s="54" t="s">
        <v>736</v>
      </c>
      <c r="B462" s="137" t="s">
        <v>785</v>
      </c>
      <c r="C462" s="54" t="s">
        <v>1468</v>
      </c>
      <c r="D462" s="54" t="s">
        <v>1468</v>
      </c>
      <c r="E462" s="138">
        <v>98910</v>
      </c>
      <c r="F462" s="141">
        <v>98910</v>
      </c>
    </row>
    <row r="463" spans="1:6" ht="76.5">
      <c r="A463" s="54" t="s">
        <v>1754</v>
      </c>
      <c r="B463" s="137" t="s">
        <v>785</v>
      </c>
      <c r="C463" s="54" t="s">
        <v>322</v>
      </c>
      <c r="D463" s="54" t="s">
        <v>1468</v>
      </c>
      <c r="E463" s="138">
        <v>98910</v>
      </c>
      <c r="F463" s="141">
        <v>98910</v>
      </c>
    </row>
    <row r="464" spans="1:6" ht="25.5">
      <c r="A464" s="54" t="s">
        <v>1487</v>
      </c>
      <c r="B464" s="137" t="s">
        <v>785</v>
      </c>
      <c r="C464" s="54" t="s">
        <v>165</v>
      </c>
      <c r="D464" s="54" t="s">
        <v>1468</v>
      </c>
      <c r="E464" s="138">
        <v>98910</v>
      </c>
      <c r="F464" s="141">
        <v>98910</v>
      </c>
    </row>
    <row r="465" spans="1:6" ht="38.25">
      <c r="A465" s="54" t="s">
        <v>282</v>
      </c>
      <c r="B465" s="155" t="s">
        <v>785</v>
      </c>
      <c r="C465" s="54" t="s">
        <v>165</v>
      </c>
      <c r="D465" s="54" t="s">
        <v>1359</v>
      </c>
      <c r="E465" s="138">
        <v>98910</v>
      </c>
      <c r="F465" s="141">
        <v>98910</v>
      </c>
    </row>
    <row r="466" spans="1:6" ht="51">
      <c r="A466" s="54" t="s">
        <v>305</v>
      </c>
      <c r="B466" s="155" t="s">
        <v>785</v>
      </c>
      <c r="C466" s="54" t="s">
        <v>165</v>
      </c>
      <c r="D466" s="54" t="s">
        <v>428</v>
      </c>
      <c r="E466" s="138">
        <v>98910</v>
      </c>
      <c r="F466" s="141">
        <v>98910</v>
      </c>
    </row>
    <row r="467" spans="1:6" ht="38.25">
      <c r="A467" s="53" t="s">
        <v>552</v>
      </c>
      <c r="B467" s="155" t="s">
        <v>1119</v>
      </c>
      <c r="C467" s="54" t="s">
        <v>1468</v>
      </c>
      <c r="D467" s="54" t="s">
        <v>1468</v>
      </c>
      <c r="E467" s="138">
        <v>20131982</v>
      </c>
      <c r="F467" s="141">
        <v>20131982</v>
      </c>
    </row>
    <row r="468" spans="1:6" ht="165.75">
      <c r="A468" s="54" t="s">
        <v>434</v>
      </c>
      <c r="B468" s="140" t="s">
        <v>786</v>
      </c>
      <c r="C468" s="54" t="s">
        <v>1468</v>
      </c>
      <c r="D468" s="54" t="s">
        <v>1468</v>
      </c>
      <c r="E468" s="138">
        <v>17352360</v>
      </c>
      <c r="F468" s="141">
        <v>17352360</v>
      </c>
    </row>
    <row r="469" spans="1:6" ht="76.5">
      <c r="A469" s="54" t="s">
        <v>1754</v>
      </c>
      <c r="B469" s="155" t="s">
        <v>786</v>
      </c>
      <c r="C469" s="54" t="s">
        <v>322</v>
      </c>
      <c r="D469" s="54" t="s">
        <v>1468</v>
      </c>
      <c r="E469" s="138">
        <v>15259010</v>
      </c>
      <c r="F469" s="141">
        <v>15259010</v>
      </c>
    </row>
    <row r="470" spans="1:6" ht="25.5">
      <c r="A470" s="54" t="s">
        <v>1487</v>
      </c>
      <c r="B470" s="155" t="s">
        <v>786</v>
      </c>
      <c r="C470" s="54" t="s">
        <v>165</v>
      </c>
      <c r="D470" s="54" t="s">
        <v>1468</v>
      </c>
      <c r="E470" s="138">
        <v>15259010</v>
      </c>
      <c r="F470" s="141">
        <v>15259010</v>
      </c>
    </row>
    <row r="471" spans="1:6" ht="38.25">
      <c r="A471" s="54" t="s">
        <v>282</v>
      </c>
      <c r="B471" s="155" t="s">
        <v>786</v>
      </c>
      <c r="C471" s="54" t="s">
        <v>165</v>
      </c>
      <c r="D471" s="54" t="s">
        <v>1359</v>
      </c>
      <c r="E471" s="138">
        <v>15259010</v>
      </c>
      <c r="F471" s="141">
        <v>15259010</v>
      </c>
    </row>
    <row r="472" spans="1:6">
      <c r="A472" s="54" t="s">
        <v>133</v>
      </c>
      <c r="B472" s="155" t="s">
        <v>786</v>
      </c>
      <c r="C472" s="54" t="s">
        <v>165</v>
      </c>
      <c r="D472" s="54" t="s">
        <v>433</v>
      </c>
      <c r="E472" s="138">
        <v>15259010</v>
      </c>
      <c r="F472" s="141">
        <v>15259010</v>
      </c>
    </row>
    <row r="473" spans="1:6" ht="38.25">
      <c r="A473" s="54" t="s">
        <v>1755</v>
      </c>
      <c r="B473" s="155" t="s">
        <v>786</v>
      </c>
      <c r="C473" s="54" t="s">
        <v>1756</v>
      </c>
      <c r="D473" s="54" t="s">
        <v>1468</v>
      </c>
      <c r="E473" s="138">
        <v>2093350</v>
      </c>
      <c r="F473" s="141">
        <v>2093350</v>
      </c>
    </row>
    <row r="474" spans="1:6" ht="38.25">
      <c r="A474" s="54" t="s">
        <v>1502</v>
      </c>
      <c r="B474" s="155" t="s">
        <v>786</v>
      </c>
      <c r="C474" s="54" t="s">
        <v>1503</v>
      </c>
      <c r="D474" s="54" t="s">
        <v>1468</v>
      </c>
      <c r="E474" s="138">
        <v>2093350</v>
      </c>
      <c r="F474" s="141">
        <v>2093350</v>
      </c>
    </row>
    <row r="475" spans="1:6" ht="38.25">
      <c r="A475" s="222" t="s">
        <v>282</v>
      </c>
      <c r="B475" s="264" t="s">
        <v>786</v>
      </c>
      <c r="C475" s="54" t="s">
        <v>1503</v>
      </c>
      <c r="D475" s="54" t="s">
        <v>1359</v>
      </c>
      <c r="E475" s="97">
        <v>2093350</v>
      </c>
      <c r="F475" s="141">
        <v>2093350</v>
      </c>
    </row>
    <row r="476" spans="1:6">
      <c r="A476" s="222" t="s">
        <v>133</v>
      </c>
      <c r="B476" s="264" t="s">
        <v>786</v>
      </c>
      <c r="C476" s="264" t="s">
        <v>1503</v>
      </c>
      <c r="D476" s="264" t="s">
        <v>433</v>
      </c>
      <c r="E476" s="213">
        <v>2093350</v>
      </c>
      <c r="F476" s="141">
        <v>2093350</v>
      </c>
    </row>
    <row r="477" spans="1:6" ht="153">
      <c r="A477" s="222" t="s">
        <v>1779</v>
      </c>
      <c r="B477" s="264" t="s">
        <v>1780</v>
      </c>
      <c r="C477" s="264" t="s">
        <v>1468</v>
      </c>
      <c r="D477" s="264" t="s">
        <v>1468</v>
      </c>
      <c r="E477" s="213">
        <v>180000</v>
      </c>
      <c r="F477" s="141">
        <v>180000</v>
      </c>
    </row>
    <row r="478" spans="1:6" ht="76.5">
      <c r="A478" s="54" t="s">
        <v>1754</v>
      </c>
      <c r="B478" s="155" t="s">
        <v>1780</v>
      </c>
      <c r="C478" s="54" t="s">
        <v>322</v>
      </c>
      <c r="D478" s="54" t="s">
        <v>1468</v>
      </c>
      <c r="E478" s="138">
        <v>180000</v>
      </c>
      <c r="F478" s="141">
        <v>180000</v>
      </c>
    </row>
    <row r="479" spans="1:6" ht="25.5">
      <c r="A479" s="54" t="s">
        <v>1487</v>
      </c>
      <c r="B479" s="155" t="s">
        <v>1780</v>
      </c>
      <c r="C479" s="54" t="s">
        <v>165</v>
      </c>
      <c r="D479" s="54" t="s">
        <v>1468</v>
      </c>
      <c r="E479" s="138">
        <v>180000</v>
      </c>
      <c r="F479" s="141">
        <v>180000</v>
      </c>
    </row>
    <row r="480" spans="1:6" ht="38.25">
      <c r="A480" s="54" t="s">
        <v>282</v>
      </c>
      <c r="B480" s="155" t="s">
        <v>1780</v>
      </c>
      <c r="C480" s="54" t="s">
        <v>165</v>
      </c>
      <c r="D480" s="54" t="s">
        <v>1359</v>
      </c>
      <c r="E480" s="138">
        <v>180000</v>
      </c>
      <c r="F480" s="141">
        <v>180000</v>
      </c>
    </row>
    <row r="481" spans="1:6">
      <c r="A481" s="54" t="s">
        <v>133</v>
      </c>
      <c r="B481" s="155" t="s">
        <v>1780</v>
      </c>
      <c r="C481" s="54" t="s">
        <v>165</v>
      </c>
      <c r="D481" s="54" t="s">
        <v>433</v>
      </c>
      <c r="E481" s="138">
        <v>180000</v>
      </c>
      <c r="F481" s="141">
        <v>180000</v>
      </c>
    </row>
    <row r="482" spans="1:6" ht="178.5">
      <c r="A482" s="54" t="s">
        <v>1781</v>
      </c>
      <c r="B482" s="155" t="s">
        <v>788</v>
      </c>
      <c r="C482" s="54" t="s">
        <v>1468</v>
      </c>
      <c r="D482" s="54" t="s">
        <v>1468</v>
      </c>
      <c r="E482" s="138">
        <v>1629975</v>
      </c>
      <c r="F482" s="141">
        <v>1629975</v>
      </c>
    </row>
    <row r="483" spans="1:6" ht="38.25">
      <c r="A483" s="54" t="s">
        <v>1755</v>
      </c>
      <c r="B483" s="155" t="s">
        <v>788</v>
      </c>
      <c r="C483" s="54" t="s">
        <v>1756</v>
      </c>
      <c r="D483" s="54" t="s">
        <v>1468</v>
      </c>
      <c r="E483" s="138">
        <v>1629975</v>
      </c>
      <c r="F483" s="141">
        <v>1629975</v>
      </c>
    </row>
    <row r="484" spans="1:6" ht="38.25">
      <c r="A484" s="54" t="s">
        <v>1502</v>
      </c>
      <c r="B484" s="155" t="s">
        <v>788</v>
      </c>
      <c r="C484" s="54" t="s">
        <v>1503</v>
      </c>
      <c r="D484" s="54" t="s">
        <v>1468</v>
      </c>
      <c r="E484" s="138">
        <v>1629975</v>
      </c>
      <c r="F484" s="141">
        <v>1629975</v>
      </c>
    </row>
    <row r="485" spans="1:6" ht="38.25">
      <c r="A485" s="54" t="s">
        <v>282</v>
      </c>
      <c r="B485" s="155" t="s">
        <v>788</v>
      </c>
      <c r="C485" s="54" t="s">
        <v>1503</v>
      </c>
      <c r="D485" s="54" t="s">
        <v>1359</v>
      </c>
      <c r="E485" s="138">
        <v>1629975</v>
      </c>
      <c r="F485" s="141">
        <v>1629975</v>
      </c>
    </row>
    <row r="486" spans="1:6">
      <c r="A486" s="54" t="s">
        <v>133</v>
      </c>
      <c r="B486" s="155" t="s">
        <v>788</v>
      </c>
      <c r="C486" s="54" t="s">
        <v>1503</v>
      </c>
      <c r="D486" s="54" t="s">
        <v>433</v>
      </c>
      <c r="E486" s="138">
        <v>1629975</v>
      </c>
      <c r="F486" s="141">
        <v>1629975</v>
      </c>
    </row>
    <row r="487" spans="1:6" ht="114.75">
      <c r="A487" s="54" t="s">
        <v>1782</v>
      </c>
      <c r="B487" s="155" t="s">
        <v>1783</v>
      </c>
      <c r="C487" s="54" t="s">
        <v>1468</v>
      </c>
      <c r="D487" s="54" t="s">
        <v>1468</v>
      </c>
      <c r="E487" s="138">
        <v>200000</v>
      </c>
      <c r="F487" s="141">
        <v>200000</v>
      </c>
    </row>
    <row r="488" spans="1:6" ht="38.25">
      <c r="A488" s="54" t="s">
        <v>1755</v>
      </c>
      <c r="B488" s="155" t="s">
        <v>1783</v>
      </c>
      <c r="C488" s="189" t="s">
        <v>1756</v>
      </c>
      <c r="D488" s="54" t="s">
        <v>1468</v>
      </c>
      <c r="E488" s="138">
        <v>200000</v>
      </c>
      <c r="F488" s="141">
        <v>200000</v>
      </c>
    </row>
    <row r="489" spans="1:6" ht="38.25">
      <c r="A489" s="54" t="s">
        <v>1502</v>
      </c>
      <c r="B489" s="155" t="s">
        <v>1783</v>
      </c>
      <c r="C489" s="189" t="s">
        <v>1503</v>
      </c>
      <c r="D489" s="54" t="s">
        <v>1468</v>
      </c>
      <c r="E489" s="138">
        <v>200000</v>
      </c>
      <c r="F489" s="141">
        <v>200000</v>
      </c>
    </row>
    <row r="490" spans="1:6" ht="38.25">
      <c r="A490" s="212" t="s">
        <v>282</v>
      </c>
      <c r="B490" s="155" t="s">
        <v>1783</v>
      </c>
      <c r="C490" s="54" t="s">
        <v>1503</v>
      </c>
      <c r="D490" s="54" t="s">
        <v>1359</v>
      </c>
      <c r="E490" s="138">
        <v>200000</v>
      </c>
      <c r="F490" s="141">
        <v>200000</v>
      </c>
    </row>
    <row r="491" spans="1:6">
      <c r="A491" s="54" t="s">
        <v>133</v>
      </c>
      <c r="B491" s="155" t="s">
        <v>1783</v>
      </c>
      <c r="C491" s="54" t="s">
        <v>1503</v>
      </c>
      <c r="D491" s="54" t="s">
        <v>433</v>
      </c>
      <c r="E491" s="138">
        <v>200000</v>
      </c>
      <c r="F491" s="141">
        <v>200000</v>
      </c>
    </row>
    <row r="492" spans="1:6" ht="165.75">
      <c r="A492" s="54" t="s">
        <v>1784</v>
      </c>
      <c r="B492" s="155" t="s">
        <v>1785</v>
      </c>
      <c r="C492" s="54" t="s">
        <v>1468</v>
      </c>
      <c r="D492" s="54" t="s">
        <v>1468</v>
      </c>
      <c r="E492" s="138">
        <v>577630</v>
      </c>
      <c r="F492" s="141">
        <v>577630</v>
      </c>
    </row>
    <row r="493" spans="1:6" ht="38.25">
      <c r="A493" s="54" t="s">
        <v>1755</v>
      </c>
      <c r="B493" s="155" t="s">
        <v>1785</v>
      </c>
      <c r="C493" s="54" t="s">
        <v>1756</v>
      </c>
      <c r="D493" s="54" t="s">
        <v>1468</v>
      </c>
      <c r="E493" s="138">
        <v>577630</v>
      </c>
      <c r="F493" s="141">
        <v>577630</v>
      </c>
    </row>
    <row r="494" spans="1:6" ht="38.25">
      <c r="A494" s="54" t="s">
        <v>1502</v>
      </c>
      <c r="B494" s="155" t="s">
        <v>1785</v>
      </c>
      <c r="C494" s="54" t="s">
        <v>1503</v>
      </c>
      <c r="D494" s="54" t="s">
        <v>1468</v>
      </c>
      <c r="E494" s="218">
        <v>577630</v>
      </c>
      <c r="F494" s="219">
        <v>577630</v>
      </c>
    </row>
    <row r="495" spans="1:6" ht="38.25">
      <c r="A495" s="54" t="s">
        <v>282</v>
      </c>
      <c r="B495" s="155" t="s">
        <v>1785</v>
      </c>
      <c r="C495" s="54" t="s">
        <v>1503</v>
      </c>
      <c r="D495" s="54" t="s">
        <v>1359</v>
      </c>
      <c r="E495" s="218">
        <v>577630</v>
      </c>
      <c r="F495" s="219">
        <v>577630</v>
      </c>
    </row>
    <row r="496" spans="1:6">
      <c r="A496" s="212" t="s">
        <v>133</v>
      </c>
      <c r="B496" s="155" t="s">
        <v>1785</v>
      </c>
      <c r="C496" s="54" t="s">
        <v>1503</v>
      </c>
      <c r="D496" s="54" t="s">
        <v>433</v>
      </c>
      <c r="E496" s="218">
        <v>577630</v>
      </c>
      <c r="F496" s="219">
        <v>577630</v>
      </c>
    </row>
    <row r="497" spans="1:6" ht="127.5">
      <c r="A497" s="54" t="s">
        <v>437</v>
      </c>
      <c r="B497" s="155" t="s">
        <v>789</v>
      </c>
      <c r="C497" s="54" t="s">
        <v>1468</v>
      </c>
      <c r="D497" s="54" t="s">
        <v>1468</v>
      </c>
      <c r="E497" s="218">
        <v>100000</v>
      </c>
      <c r="F497" s="219">
        <v>100000</v>
      </c>
    </row>
    <row r="498" spans="1:6" ht="38.25">
      <c r="A498" s="54" t="s">
        <v>1755</v>
      </c>
      <c r="B498" s="155" t="s">
        <v>789</v>
      </c>
      <c r="C498" s="54" t="s">
        <v>1756</v>
      </c>
      <c r="D498" s="54" t="s">
        <v>1468</v>
      </c>
      <c r="E498" s="218">
        <v>100000</v>
      </c>
      <c r="F498" s="219">
        <v>100000</v>
      </c>
    </row>
    <row r="499" spans="1:6" ht="38.25">
      <c r="A499" s="54" t="s">
        <v>1502</v>
      </c>
      <c r="B499" s="155" t="s">
        <v>789</v>
      </c>
      <c r="C499" s="54" t="s">
        <v>1503</v>
      </c>
      <c r="D499" s="54" t="s">
        <v>1468</v>
      </c>
      <c r="E499" s="218">
        <v>100000</v>
      </c>
      <c r="F499" s="219">
        <v>100000</v>
      </c>
    </row>
    <row r="500" spans="1:6" ht="38.25">
      <c r="A500" s="54" t="s">
        <v>282</v>
      </c>
      <c r="B500" s="155" t="s">
        <v>789</v>
      </c>
      <c r="C500" s="54" t="s">
        <v>1503</v>
      </c>
      <c r="D500" s="54" t="s">
        <v>1359</v>
      </c>
      <c r="E500" s="218">
        <v>100000</v>
      </c>
      <c r="F500" s="219">
        <v>100000</v>
      </c>
    </row>
    <row r="501" spans="1:6">
      <c r="A501" s="54" t="s">
        <v>133</v>
      </c>
      <c r="B501" s="155" t="s">
        <v>789</v>
      </c>
      <c r="C501" s="54" t="s">
        <v>1503</v>
      </c>
      <c r="D501" s="54" t="s">
        <v>433</v>
      </c>
      <c r="E501" s="218">
        <v>100000</v>
      </c>
      <c r="F501" s="219">
        <v>100000</v>
      </c>
    </row>
    <row r="502" spans="1:6" ht="127.5">
      <c r="A502" s="54" t="s">
        <v>438</v>
      </c>
      <c r="B502" s="155" t="s">
        <v>790</v>
      </c>
      <c r="C502" s="54" t="s">
        <v>1468</v>
      </c>
      <c r="D502" s="54" t="s">
        <v>1468</v>
      </c>
      <c r="E502" s="218">
        <v>18500</v>
      </c>
      <c r="F502" s="219">
        <v>18500</v>
      </c>
    </row>
    <row r="503" spans="1:6" ht="38.25">
      <c r="A503" s="54" t="s">
        <v>1755</v>
      </c>
      <c r="B503" s="155" t="s">
        <v>790</v>
      </c>
      <c r="C503" s="54" t="s">
        <v>1756</v>
      </c>
      <c r="D503" s="54" t="s">
        <v>1468</v>
      </c>
      <c r="E503" s="218">
        <v>18500</v>
      </c>
      <c r="F503" s="219">
        <v>18500</v>
      </c>
    </row>
    <row r="504" spans="1:6" ht="38.25">
      <c r="A504" s="54" t="s">
        <v>1502</v>
      </c>
      <c r="B504" s="155" t="s">
        <v>790</v>
      </c>
      <c r="C504" s="54" t="s">
        <v>1503</v>
      </c>
      <c r="D504" s="54" t="s">
        <v>1468</v>
      </c>
      <c r="E504" s="218">
        <v>18500</v>
      </c>
      <c r="F504" s="219">
        <v>18500</v>
      </c>
    </row>
    <row r="505" spans="1:6" ht="38.25">
      <c r="A505" s="54" t="s">
        <v>282</v>
      </c>
      <c r="B505" s="155" t="s">
        <v>790</v>
      </c>
      <c r="C505" s="54" t="s">
        <v>1503</v>
      </c>
      <c r="D505" s="54" t="s">
        <v>1359</v>
      </c>
      <c r="E505" s="218">
        <v>18500</v>
      </c>
      <c r="F505" s="219">
        <v>18500</v>
      </c>
    </row>
    <row r="506" spans="1:6">
      <c r="A506" s="54" t="s">
        <v>133</v>
      </c>
      <c r="B506" s="155" t="s">
        <v>790</v>
      </c>
      <c r="C506" s="54" t="s">
        <v>1503</v>
      </c>
      <c r="D506" s="54" t="s">
        <v>433</v>
      </c>
      <c r="E506" s="218">
        <v>18500</v>
      </c>
      <c r="F506" s="219">
        <v>18500</v>
      </c>
    </row>
    <row r="507" spans="1:6" ht="114.75">
      <c r="A507" s="54" t="s">
        <v>421</v>
      </c>
      <c r="B507" s="155" t="s">
        <v>773</v>
      </c>
      <c r="C507" s="54" t="s">
        <v>1468</v>
      </c>
      <c r="D507" s="54" t="s">
        <v>1468</v>
      </c>
      <c r="E507" s="218">
        <v>73395</v>
      </c>
      <c r="F507" s="219">
        <v>73395</v>
      </c>
    </row>
    <row r="508" spans="1:6" ht="38.25">
      <c r="A508" s="54" t="s">
        <v>1755</v>
      </c>
      <c r="B508" s="155" t="s">
        <v>773</v>
      </c>
      <c r="C508" s="54" t="s">
        <v>1756</v>
      </c>
      <c r="D508" s="54" t="s">
        <v>1468</v>
      </c>
      <c r="E508" s="218">
        <v>73395</v>
      </c>
      <c r="F508" s="219">
        <v>73395</v>
      </c>
    </row>
    <row r="509" spans="1:6" ht="38.25">
      <c r="A509" s="54" t="s">
        <v>1502</v>
      </c>
      <c r="B509" s="155" t="s">
        <v>773</v>
      </c>
      <c r="C509" s="54" t="s">
        <v>1503</v>
      </c>
      <c r="D509" s="54" t="s">
        <v>1468</v>
      </c>
      <c r="E509" s="218">
        <v>73395</v>
      </c>
      <c r="F509" s="219">
        <v>73395</v>
      </c>
    </row>
    <row r="510" spans="1:6">
      <c r="A510" s="54" t="s">
        <v>278</v>
      </c>
      <c r="B510" s="155" t="s">
        <v>773</v>
      </c>
      <c r="C510" s="54" t="s">
        <v>1503</v>
      </c>
      <c r="D510" s="54" t="s">
        <v>1357</v>
      </c>
      <c r="E510" s="218">
        <v>73395</v>
      </c>
      <c r="F510" s="219">
        <v>73395</v>
      </c>
    </row>
    <row r="511" spans="1:6" ht="76.5">
      <c r="A511" s="54" t="s">
        <v>280</v>
      </c>
      <c r="B511" s="155" t="s">
        <v>773</v>
      </c>
      <c r="C511" s="54" t="s">
        <v>1503</v>
      </c>
      <c r="D511" s="54" t="s">
        <v>420</v>
      </c>
      <c r="E511" s="218">
        <v>73395</v>
      </c>
      <c r="F511" s="219">
        <v>73395</v>
      </c>
    </row>
    <row r="512" spans="1:6" ht="127.5">
      <c r="A512" s="54" t="s">
        <v>1580</v>
      </c>
      <c r="B512" s="155" t="s">
        <v>1581</v>
      </c>
      <c r="C512" s="54" t="s">
        <v>1468</v>
      </c>
      <c r="D512" s="54" t="s">
        <v>1468</v>
      </c>
      <c r="E512" s="218">
        <v>122</v>
      </c>
      <c r="F512" s="219">
        <v>122</v>
      </c>
    </row>
    <row r="513" spans="1:6" ht="38.25">
      <c r="A513" s="54" t="s">
        <v>1755</v>
      </c>
      <c r="B513" s="155" t="s">
        <v>1581</v>
      </c>
      <c r="C513" s="54" t="s">
        <v>1756</v>
      </c>
      <c r="D513" s="54" t="s">
        <v>1468</v>
      </c>
      <c r="E513" s="218">
        <v>122</v>
      </c>
      <c r="F513" s="219">
        <v>122</v>
      </c>
    </row>
    <row r="514" spans="1:6" ht="38.25">
      <c r="A514" s="54" t="s">
        <v>1502</v>
      </c>
      <c r="B514" s="155" t="s">
        <v>1581</v>
      </c>
      <c r="C514" s="54" t="s">
        <v>1503</v>
      </c>
      <c r="D514" s="54" t="s">
        <v>1468</v>
      </c>
      <c r="E514" s="218">
        <v>122</v>
      </c>
      <c r="F514" s="219">
        <v>122</v>
      </c>
    </row>
    <row r="515" spans="1:6" ht="38.25">
      <c r="A515" s="54" t="s">
        <v>282</v>
      </c>
      <c r="B515" s="155" t="s">
        <v>1581</v>
      </c>
      <c r="C515" s="54" t="s">
        <v>1503</v>
      </c>
      <c r="D515" s="54" t="s">
        <v>1359</v>
      </c>
      <c r="E515" s="218">
        <v>122</v>
      </c>
      <c r="F515" s="219">
        <v>122</v>
      </c>
    </row>
    <row r="516" spans="1:6">
      <c r="A516" s="54" t="s">
        <v>133</v>
      </c>
      <c r="B516" s="155" t="s">
        <v>1581</v>
      </c>
      <c r="C516" s="54" t="s">
        <v>1503</v>
      </c>
      <c r="D516" s="54" t="s">
        <v>433</v>
      </c>
      <c r="E516" s="218">
        <v>122</v>
      </c>
      <c r="F516" s="219">
        <v>122</v>
      </c>
    </row>
    <row r="517" spans="1:6" ht="63.75">
      <c r="A517" s="54" t="s">
        <v>1442</v>
      </c>
      <c r="B517" s="155" t="s">
        <v>1426</v>
      </c>
      <c r="C517" s="54" t="s">
        <v>1468</v>
      </c>
      <c r="D517" s="54" t="s">
        <v>1468</v>
      </c>
      <c r="E517" s="218">
        <v>215000</v>
      </c>
      <c r="F517" s="219">
        <v>215000</v>
      </c>
    </row>
    <row r="518" spans="1:6" ht="127.5">
      <c r="A518" s="54" t="s">
        <v>1440</v>
      </c>
      <c r="B518" s="155" t="s">
        <v>1420</v>
      </c>
      <c r="C518" s="54" t="s">
        <v>1468</v>
      </c>
      <c r="D518" s="54" t="s">
        <v>1468</v>
      </c>
      <c r="E518" s="218">
        <v>215000</v>
      </c>
      <c r="F518" s="219">
        <v>215000</v>
      </c>
    </row>
    <row r="519" spans="1:6" ht="38.25">
      <c r="A519" s="54" t="s">
        <v>1755</v>
      </c>
      <c r="B519" s="155" t="s">
        <v>1420</v>
      </c>
      <c r="C519" s="54" t="s">
        <v>1756</v>
      </c>
      <c r="D519" s="54" t="s">
        <v>1468</v>
      </c>
      <c r="E519" s="218">
        <v>215000</v>
      </c>
      <c r="F519" s="219">
        <v>215000</v>
      </c>
    </row>
    <row r="520" spans="1:6" ht="38.25">
      <c r="A520" s="54" t="s">
        <v>1502</v>
      </c>
      <c r="B520" s="155" t="s">
        <v>1420</v>
      </c>
      <c r="C520" s="54" t="s">
        <v>1503</v>
      </c>
      <c r="D520" s="54" t="s">
        <v>1468</v>
      </c>
      <c r="E520" s="218">
        <v>215000</v>
      </c>
      <c r="F520" s="219">
        <v>215000</v>
      </c>
    </row>
    <row r="521" spans="1:6">
      <c r="A521" s="54" t="s">
        <v>278</v>
      </c>
      <c r="B521" s="155" t="s">
        <v>1420</v>
      </c>
      <c r="C521" s="54" t="s">
        <v>1503</v>
      </c>
      <c r="D521" s="54" t="s">
        <v>1357</v>
      </c>
      <c r="E521" s="218">
        <v>215000</v>
      </c>
      <c r="F521" s="219">
        <v>215000</v>
      </c>
    </row>
    <row r="522" spans="1:6">
      <c r="A522" s="54" t="s">
        <v>261</v>
      </c>
      <c r="B522" s="155" t="s">
        <v>1420</v>
      </c>
      <c r="C522" s="54" t="s">
        <v>1503</v>
      </c>
      <c r="D522" s="54" t="s">
        <v>424</v>
      </c>
      <c r="E522" s="218">
        <v>215000</v>
      </c>
      <c r="F522" s="219">
        <v>215000</v>
      </c>
    </row>
    <row r="523" spans="1:6" ht="25.5">
      <c r="A523" s="54" t="s">
        <v>554</v>
      </c>
      <c r="B523" s="155" t="s">
        <v>1120</v>
      </c>
      <c r="C523" s="54" t="s">
        <v>1468</v>
      </c>
      <c r="D523" s="54" t="s">
        <v>1468</v>
      </c>
      <c r="E523" s="218">
        <v>208525899</v>
      </c>
      <c r="F523" s="219">
        <v>208525899</v>
      </c>
    </row>
    <row r="524" spans="1:6">
      <c r="A524" s="54" t="s">
        <v>555</v>
      </c>
      <c r="B524" s="155" t="s">
        <v>1121</v>
      </c>
      <c r="C524" s="54" t="s">
        <v>1468</v>
      </c>
      <c r="D524" s="54" t="s">
        <v>1468</v>
      </c>
      <c r="E524" s="218">
        <v>29538879</v>
      </c>
      <c r="F524" s="219">
        <v>29538879</v>
      </c>
    </row>
    <row r="525" spans="1:6" ht="114.75">
      <c r="A525" s="54" t="s">
        <v>486</v>
      </c>
      <c r="B525" s="155" t="s">
        <v>836</v>
      </c>
      <c r="C525" s="54" t="s">
        <v>1468</v>
      </c>
      <c r="D525" s="54" t="s">
        <v>1468</v>
      </c>
      <c r="E525" s="218">
        <v>24153798</v>
      </c>
      <c r="F525" s="219">
        <v>24153798</v>
      </c>
    </row>
    <row r="526" spans="1:6" ht="38.25">
      <c r="A526" s="54" t="s">
        <v>1763</v>
      </c>
      <c r="B526" s="155" t="s">
        <v>836</v>
      </c>
      <c r="C526" s="54" t="s">
        <v>1764</v>
      </c>
      <c r="D526" s="54" t="s">
        <v>1468</v>
      </c>
      <c r="E526" s="218">
        <v>24153798</v>
      </c>
      <c r="F526" s="219">
        <v>24153798</v>
      </c>
    </row>
    <row r="527" spans="1:6">
      <c r="A527" s="212" t="s">
        <v>1504</v>
      </c>
      <c r="B527" s="155" t="s">
        <v>836</v>
      </c>
      <c r="C527" s="54" t="s">
        <v>1505</v>
      </c>
      <c r="D527" s="54" t="s">
        <v>1468</v>
      </c>
      <c r="E527" s="218">
        <v>24153798</v>
      </c>
      <c r="F527" s="219">
        <v>24153798</v>
      </c>
    </row>
    <row r="528" spans="1:6">
      <c r="A528" s="54" t="s">
        <v>293</v>
      </c>
      <c r="B528" s="155" t="s">
        <v>836</v>
      </c>
      <c r="C528" s="54" t="s">
        <v>1505</v>
      </c>
      <c r="D528" s="54" t="s">
        <v>1370</v>
      </c>
      <c r="E528" s="218">
        <v>24153798</v>
      </c>
      <c r="F528" s="219">
        <v>24153798</v>
      </c>
    </row>
    <row r="529" spans="1:6">
      <c r="A529" s="54" t="s">
        <v>250</v>
      </c>
      <c r="B529" s="155" t="s">
        <v>836</v>
      </c>
      <c r="C529" s="54" t="s">
        <v>1505</v>
      </c>
      <c r="D529" s="54" t="s">
        <v>480</v>
      </c>
      <c r="E529" s="218">
        <v>24153798</v>
      </c>
      <c r="F529" s="219">
        <v>24153798</v>
      </c>
    </row>
    <row r="530" spans="1:6" ht="165.75">
      <c r="A530" s="54" t="s">
        <v>487</v>
      </c>
      <c r="B530" s="155" t="s">
        <v>837</v>
      </c>
      <c r="C530" s="54" t="s">
        <v>1468</v>
      </c>
      <c r="D530" s="54" t="s">
        <v>1468</v>
      </c>
      <c r="E530" s="218">
        <v>61000</v>
      </c>
      <c r="F530" s="219">
        <v>61000</v>
      </c>
    </row>
    <row r="531" spans="1:6" ht="38.25">
      <c r="A531" s="54" t="s">
        <v>1763</v>
      </c>
      <c r="B531" s="155" t="s">
        <v>837</v>
      </c>
      <c r="C531" s="54" t="s">
        <v>1764</v>
      </c>
      <c r="D531" s="54" t="s">
        <v>1468</v>
      </c>
      <c r="E531" s="218">
        <v>61000</v>
      </c>
      <c r="F531" s="219">
        <v>61000</v>
      </c>
    </row>
    <row r="532" spans="1:6">
      <c r="A532" s="54" t="s">
        <v>1504</v>
      </c>
      <c r="B532" s="155" t="s">
        <v>837</v>
      </c>
      <c r="C532" s="54" t="s">
        <v>1505</v>
      </c>
      <c r="D532" s="54" t="s">
        <v>1468</v>
      </c>
      <c r="E532" s="218">
        <v>61000</v>
      </c>
      <c r="F532" s="219">
        <v>61000</v>
      </c>
    </row>
    <row r="533" spans="1:6">
      <c r="A533" s="54" t="s">
        <v>293</v>
      </c>
      <c r="B533" s="155" t="s">
        <v>837</v>
      </c>
      <c r="C533" s="54" t="s">
        <v>1505</v>
      </c>
      <c r="D533" s="54" t="s">
        <v>1370</v>
      </c>
      <c r="E533" s="218">
        <v>61000</v>
      </c>
      <c r="F533" s="219">
        <v>61000</v>
      </c>
    </row>
    <row r="534" spans="1:6">
      <c r="A534" s="54" t="s">
        <v>250</v>
      </c>
      <c r="B534" s="155" t="s">
        <v>837</v>
      </c>
      <c r="C534" s="54" t="s">
        <v>1505</v>
      </c>
      <c r="D534" s="54" t="s">
        <v>480</v>
      </c>
      <c r="E534" s="218">
        <v>61000</v>
      </c>
      <c r="F534" s="219">
        <v>61000</v>
      </c>
    </row>
    <row r="535" spans="1:6" ht="127.5">
      <c r="A535" s="54" t="s">
        <v>1207</v>
      </c>
      <c r="B535" s="155" t="s">
        <v>1208</v>
      </c>
      <c r="C535" s="54" t="s">
        <v>1468</v>
      </c>
      <c r="D535" s="54" t="s">
        <v>1468</v>
      </c>
      <c r="E535" s="218">
        <v>50000</v>
      </c>
      <c r="F535" s="219">
        <v>50000</v>
      </c>
    </row>
    <row r="536" spans="1:6" ht="38.25">
      <c r="A536" s="54" t="s">
        <v>1763</v>
      </c>
      <c r="B536" s="155" t="s">
        <v>1208</v>
      </c>
      <c r="C536" s="54" t="s">
        <v>1764</v>
      </c>
      <c r="D536" s="54" t="s">
        <v>1468</v>
      </c>
      <c r="E536" s="218">
        <v>50000</v>
      </c>
      <c r="F536" s="219">
        <v>50000</v>
      </c>
    </row>
    <row r="537" spans="1:6">
      <c r="A537" s="54" t="s">
        <v>1504</v>
      </c>
      <c r="B537" s="155" t="s">
        <v>1208</v>
      </c>
      <c r="C537" s="54" t="s">
        <v>1505</v>
      </c>
      <c r="D537" s="54" t="s">
        <v>1468</v>
      </c>
      <c r="E537" s="218">
        <v>50000</v>
      </c>
      <c r="F537" s="219">
        <v>50000</v>
      </c>
    </row>
    <row r="538" spans="1:6">
      <c r="A538" s="54" t="s">
        <v>293</v>
      </c>
      <c r="B538" s="155" t="s">
        <v>1208</v>
      </c>
      <c r="C538" s="54" t="s">
        <v>1505</v>
      </c>
      <c r="D538" s="54" t="s">
        <v>1370</v>
      </c>
      <c r="E538" s="218">
        <v>50000</v>
      </c>
      <c r="F538" s="219">
        <v>50000</v>
      </c>
    </row>
    <row r="539" spans="1:6">
      <c r="A539" s="54" t="s">
        <v>250</v>
      </c>
      <c r="B539" s="155" t="s">
        <v>1208</v>
      </c>
      <c r="C539" s="54" t="s">
        <v>1505</v>
      </c>
      <c r="D539" s="54" t="s">
        <v>480</v>
      </c>
      <c r="E539" s="218">
        <v>50000</v>
      </c>
      <c r="F539" s="219">
        <v>50000</v>
      </c>
    </row>
    <row r="540" spans="1:6" ht="114.75">
      <c r="A540" s="54" t="s">
        <v>607</v>
      </c>
      <c r="B540" s="155" t="s">
        <v>838</v>
      </c>
      <c r="C540" s="54" t="s">
        <v>1468</v>
      </c>
      <c r="D540" s="54" t="s">
        <v>1468</v>
      </c>
      <c r="E540" s="218">
        <v>212181</v>
      </c>
      <c r="F540" s="219">
        <v>212181</v>
      </c>
    </row>
    <row r="541" spans="1:6" ht="38.25">
      <c r="A541" s="54" t="s">
        <v>1763</v>
      </c>
      <c r="B541" s="155" t="s">
        <v>838</v>
      </c>
      <c r="C541" s="54" t="s">
        <v>1764</v>
      </c>
      <c r="D541" s="54" t="s">
        <v>1468</v>
      </c>
      <c r="E541" s="218">
        <v>212181</v>
      </c>
      <c r="F541" s="219">
        <v>212181</v>
      </c>
    </row>
    <row r="542" spans="1:6">
      <c r="A542" s="54" t="s">
        <v>1504</v>
      </c>
      <c r="B542" s="155" t="s">
        <v>838</v>
      </c>
      <c r="C542" s="54" t="s">
        <v>1505</v>
      </c>
      <c r="D542" s="54" t="s">
        <v>1468</v>
      </c>
      <c r="E542" s="218">
        <v>212181</v>
      </c>
      <c r="F542" s="219">
        <v>212181</v>
      </c>
    </row>
    <row r="543" spans="1:6">
      <c r="A543" s="54" t="s">
        <v>293</v>
      </c>
      <c r="B543" s="155" t="s">
        <v>838</v>
      </c>
      <c r="C543" s="54" t="s">
        <v>1505</v>
      </c>
      <c r="D543" s="54" t="s">
        <v>1370</v>
      </c>
      <c r="E543" s="218">
        <v>212181</v>
      </c>
      <c r="F543" s="219">
        <v>212181</v>
      </c>
    </row>
    <row r="544" spans="1:6">
      <c r="A544" s="54" t="s">
        <v>250</v>
      </c>
      <c r="B544" s="155" t="s">
        <v>838</v>
      </c>
      <c r="C544" s="54" t="s">
        <v>1505</v>
      </c>
      <c r="D544" s="54" t="s">
        <v>480</v>
      </c>
      <c r="E544" s="218">
        <v>212181</v>
      </c>
      <c r="F544" s="219">
        <v>212181</v>
      </c>
    </row>
    <row r="545" spans="1:6" ht="114.75">
      <c r="A545" s="54" t="s">
        <v>677</v>
      </c>
      <c r="B545" s="155" t="s">
        <v>839</v>
      </c>
      <c r="C545" s="54" t="s">
        <v>1468</v>
      </c>
      <c r="D545" s="54" t="s">
        <v>1468</v>
      </c>
      <c r="E545" s="218">
        <v>3781900</v>
      </c>
      <c r="F545" s="219">
        <v>3781900</v>
      </c>
    </row>
    <row r="546" spans="1:6" ht="38.25">
      <c r="A546" s="54" t="s">
        <v>1763</v>
      </c>
      <c r="B546" s="155" t="s">
        <v>839</v>
      </c>
      <c r="C546" s="54" t="s">
        <v>1764</v>
      </c>
      <c r="D546" s="54" t="s">
        <v>1468</v>
      </c>
      <c r="E546" s="218">
        <v>3781900</v>
      </c>
      <c r="F546" s="219">
        <v>3781900</v>
      </c>
    </row>
    <row r="547" spans="1:6">
      <c r="A547" s="54" t="s">
        <v>1504</v>
      </c>
      <c r="B547" s="155" t="s">
        <v>839</v>
      </c>
      <c r="C547" s="54" t="s">
        <v>1505</v>
      </c>
      <c r="D547" s="54" t="s">
        <v>1468</v>
      </c>
      <c r="E547" s="218">
        <v>3781900</v>
      </c>
      <c r="F547" s="219">
        <v>3781900</v>
      </c>
    </row>
    <row r="548" spans="1:6">
      <c r="A548" s="54" t="s">
        <v>293</v>
      </c>
      <c r="B548" s="155" t="s">
        <v>839</v>
      </c>
      <c r="C548" s="54" t="s">
        <v>1505</v>
      </c>
      <c r="D548" s="54" t="s">
        <v>1370</v>
      </c>
      <c r="E548" s="218">
        <v>3781900</v>
      </c>
      <c r="F548" s="219">
        <v>3781900</v>
      </c>
    </row>
    <row r="549" spans="1:6">
      <c r="A549" s="54" t="s">
        <v>250</v>
      </c>
      <c r="B549" s="155" t="s">
        <v>839</v>
      </c>
      <c r="C549" s="54" t="s">
        <v>1505</v>
      </c>
      <c r="D549" s="54" t="s">
        <v>480</v>
      </c>
      <c r="E549" s="218">
        <v>3781900</v>
      </c>
      <c r="F549" s="219">
        <v>3781900</v>
      </c>
    </row>
    <row r="550" spans="1:6" ht="102">
      <c r="A550" s="54" t="s">
        <v>1089</v>
      </c>
      <c r="B550" s="155" t="s">
        <v>1090</v>
      </c>
      <c r="C550" s="54" t="s">
        <v>1468</v>
      </c>
      <c r="D550" s="54" t="s">
        <v>1468</v>
      </c>
      <c r="E550" s="218">
        <v>1040000</v>
      </c>
      <c r="F550" s="219">
        <v>1040000</v>
      </c>
    </row>
    <row r="551" spans="1:6" ht="38.25">
      <c r="A551" s="54" t="s">
        <v>1763</v>
      </c>
      <c r="B551" s="155" t="s">
        <v>1090</v>
      </c>
      <c r="C551" s="54" t="s">
        <v>1764</v>
      </c>
      <c r="D551" s="54" t="s">
        <v>1468</v>
      </c>
      <c r="E551" s="218">
        <v>1040000</v>
      </c>
      <c r="F551" s="219">
        <v>1040000</v>
      </c>
    </row>
    <row r="552" spans="1:6">
      <c r="A552" s="54" t="s">
        <v>1504</v>
      </c>
      <c r="B552" s="155" t="s">
        <v>1090</v>
      </c>
      <c r="C552" s="54" t="s">
        <v>1505</v>
      </c>
      <c r="D552" s="54" t="s">
        <v>1468</v>
      </c>
      <c r="E552" s="218">
        <v>1040000</v>
      </c>
      <c r="F552" s="219">
        <v>1040000</v>
      </c>
    </row>
    <row r="553" spans="1:6">
      <c r="A553" s="54" t="s">
        <v>293</v>
      </c>
      <c r="B553" s="155" t="s">
        <v>1090</v>
      </c>
      <c r="C553" s="54" t="s">
        <v>1505</v>
      </c>
      <c r="D553" s="54" t="s">
        <v>1370</v>
      </c>
      <c r="E553" s="218">
        <v>1040000</v>
      </c>
      <c r="F553" s="219">
        <v>1040000</v>
      </c>
    </row>
    <row r="554" spans="1:6">
      <c r="A554" s="54" t="s">
        <v>250</v>
      </c>
      <c r="B554" s="155" t="s">
        <v>1090</v>
      </c>
      <c r="C554" s="54" t="s">
        <v>1505</v>
      </c>
      <c r="D554" s="54" t="s">
        <v>480</v>
      </c>
      <c r="E554" s="218">
        <v>1040000</v>
      </c>
      <c r="F554" s="219">
        <v>1040000</v>
      </c>
    </row>
    <row r="555" spans="1:6" ht="63.75">
      <c r="A555" s="54" t="s">
        <v>489</v>
      </c>
      <c r="B555" s="155" t="s">
        <v>845</v>
      </c>
      <c r="C555" s="54" t="s">
        <v>1468</v>
      </c>
      <c r="D555" s="54" t="s">
        <v>1468</v>
      </c>
      <c r="E555" s="218">
        <v>240000</v>
      </c>
      <c r="F555" s="219">
        <v>240000</v>
      </c>
    </row>
    <row r="556" spans="1:6" ht="38.25">
      <c r="A556" s="54" t="s">
        <v>1763</v>
      </c>
      <c r="B556" s="155" t="s">
        <v>845</v>
      </c>
      <c r="C556" s="54" t="s">
        <v>1764</v>
      </c>
      <c r="D556" s="54" t="s">
        <v>1468</v>
      </c>
      <c r="E556" s="218">
        <v>240000</v>
      </c>
      <c r="F556" s="219">
        <v>240000</v>
      </c>
    </row>
    <row r="557" spans="1:6">
      <c r="A557" s="54" t="s">
        <v>1504</v>
      </c>
      <c r="B557" s="155" t="s">
        <v>845</v>
      </c>
      <c r="C557" s="54" t="s">
        <v>1505</v>
      </c>
      <c r="D557" s="54" t="s">
        <v>1468</v>
      </c>
      <c r="E557" s="218">
        <v>240000</v>
      </c>
      <c r="F557" s="219">
        <v>240000</v>
      </c>
    </row>
    <row r="558" spans="1:6">
      <c r="A558" s="54" t="s">
        <v>293</v>
      </c>
      <c r="B558" s="155" t="s">
        <v>845</v>
      </c>
      <c r="C558" s="54" t="s">
        <v>1505</v>
      </c>
      <c r="D558" s="54" t="s">
        <v>1370</v>
      </c>
      <c r="E558" s="218">
        <v>240000</v>
      </c>
      <c r="F558" s="219">
        <v>240000</v>
      </c>
    </row>
    <row r="559" spans="1:6">
      <c r="A559" s="54" t="s">
        <v>250</v>
      </c>
      <c r="B559" s="155" t="s">
        <v>845</v>
      </c>
      <c r="C559" s="54" t="s">
        <v>1505</v>
      </c>
      <c r="D559" s="54" t="s">
        <v>480</v>
      </c>
      <c r="E559" s="218">
        <v>240000</v>
      </c>
      <c r="F559" s="219">
        <v>240000</v>
      </c>
    </row>
    <row r="560" spans="1:6" ht="25.5">
      <c r="A560" s="54" t="s">
        <v>703</v>
      </c>
      <c r="B560" s="155" t="s">
        <v>1122</v>
      </c>
      <c r="C560" s="54" t="s">
        <v>1468</v>
      </c>
      <c r="D560" s="54" t="s">
        <v>1468</v>
      </c>
      <c r="E560" s="218">
        <v>75167531</v>
      </c>
      <c r="F560" s="219">
        <v>75167531</v>
      </c>
    </row>
    <row r="561" spans="1:6" ht="127.5">
      <c r="A561" s="54" t="s">
        <v>610</v>
      </c>
      <c r="B561" s="155" t="s">
        <v>848</v>
      </c>
      <c r="C561" s="54" t="s">
        <v>1468</v>
      </c>
      <c r="D561" s="54" t="s">
        <v>1468</v>
      </c>
      <c r="E561" s="218">
        <v>47644324</v>
      </c>
      <c r="F561" s="219">
        <v>47644324</v>
      </c>
    </row>
    <row r="562" spans="1:6" ht="38.25">
      <c r="A562" s="54" t="s">
        <v>1763</v>
      </c>
      <c r="B562" s="155" t="s">
        <v>848</v>
      </c>
      <c r="C562" s="54" t="s">
        <v>1764</v>
      </c>
      <c r="D562" s="54" t="s">
        <v>1468</v>
      </c>
      <c r="E562" s="218">
        <v>47644324</v>
      </c>
      <c r="F562" s="219">
        <v>47644324</v>
      </c>
    </row>
    <row r="563" spans="1:6">
      <c r="A563" s="54" t="s">
        <v>1504</v>
      </c>
      <c r="B563" s="155" t="s">
        <v>848</v>
      </c>
      <c r="C563" s="54" t="s">
        <v>1505</v>
      </c>
      <c r="D563" s="54" t="s">
        <v>1468</v>
      </c>
      <c r="E563" s="218">
        <v>47644324</v>
      </c>
      <c r="F563" s="219">
        <v>47644324</v>
      </c>
    </row>
    <row r="564" spans="1:6">
      <c r="A564" s="54" t="s">
        <v>293</v>
      </c>
      <c r="B564" s="155" t="s">
        <v>848</v>
      </c>
      <c r="C564" s="54" t="s">
        <v>1505</v>
      </c>
      <c r="D564" s="54" t="s">
        <v>1370</v>
      </c>
      <c r="E564" s="218">
        <v>47644324</v>
      </c>
      <c r="F564" s="219">
        <v>47644324</v>
      </c>
    </row>
    <row r="565" spans="1:6">
      <c r="A565" s="54" t="s">
        <v>250</v>
      </c>
      <c r="B565" s="155" t="s">
        <v>848</v>
      </c>
      <c r="C565" s="54" t="s">
        <v>1505</v>
      </c>
      <c r="D565" s="54" t="s">
        <v>480</v>
      </c>
      <c r="E565" s="218">
        <v>47644324</v>
      </c>
      <c r="F565" s="219">
        <v>47644324</v>
      </c>
    </row>
    <row r="566" spans="1:6" ht="178.5">
      <c r="A566" s="54" t="s">
        <v>611</v>
      </c>
      <c r="B566" s="155" t="s">
        <v>849</v>
      </c>
      <c r="C566" s="54" t="s">
        <v>1468</v>
      </c>
      <c r="D566" s="54" t="s">
        <v>1468</v>
      </c>
      <c r="E566" s="218">
        <v>92000</v>
      </c>
      <c r="F566" s="219">
        <v>92000</v>
      </c>
    </row>
    <row r="567" spans="1:6" ht="38.25">
      <c r="A567" s="54" t="s">
        <v>1763</v>
      </c>
      <c r="B567" s="155" t="s">
        <v>849</v>
      </c>
      <c r="C567" s="54" t="s">
        <v>1764</v>
      </c>
      <c r="D567" s="54" t="s">
        <v>1468</v>
      </c>
      <c r="E567" s="218">
        <v>92000</v>
      </c>
      <c r="F567" s="219">
        <v>92000</v>
      </c>
    </row>
    <row r="568" spans="1:6">
      <c r="A568" s="54" t="s">
        <v>1504</v>
      </c>
      <c r="B568" s="155" t="s">
        <v>849</v>
      </c>
      <c r="C568" s="54" t="s">
        <v>1505</v>
      </c>
      <c r="D568" s="54" t="s">
        <v>1468</v>
      </c>
      <c r="E568" s="218">
        <v>92000</v>
      </c>
      <c r="F568" s="219">
        <v>92000</v>
      </c>
    </row>
    <row r="569" spans="1:6">
      <c r="A569" s="54" t="s">
        <v>293</v>
      </c>
      <c r="B569" s="155" t="s">
        <v>849</v>
      </c>
      <c r="C569" s="54" t="s">
        <v>1505</v>
      </c>
      <c r="D569" s="54" t="s">
        <v>1370</v>
      </c>
      <c r="E569" s="218">
        <v>92000</v>
      </c>
      <c r="F569" s="219">
        <v>92000</v>
      </c>
    </row>
    <row r="570" spans="1:6">
      <c r="A570" s="54" t="s">
        <v>250</v>
      </c>
      <c r="B570" s="155" t="s">
        <v>849</v>
      </c>
      <c r="C570" s="54" t="s">
        <v>1505</v>
      </c>
      <c r="D570" s="54" t="s">
        <v>480</v>
      </c>
      <c r="E570" s="218">
        <v>92000</v>
      </c>
      <c r="F570" s="219">
        <v>92000</v>
      </c>
    </row>
    <row r="571" spans="1:6" ht="140.25">
      <c r="A571" s="54" t="s">
        <v>612</v>
      </c>
      <c r="B571" s="155" t="s">
        <v>850</v>
      </c>
      <c r="C571" s="54" t="s">
        <v>1468</v>
      </c>
      <c r="D571" s="54" t="s">
        <v>1468</v>
      </c>
      <c r="E571" s="218">
        <v>150000</v>
      </c>
      <c r="F571" s="219">
        <v>150000</v>
      </c>
    </row>
    <row r="572" spans="1:6" ht="38.25">
      <c r="A572" s="54" t="s">
        <v>1763</v>
      </c>
      <c r="B572" s="155" t="s">
        <v>850</v>
      </c>
      <c r="C572" s="54" t="s">
        <v>1764</v>
      </c>
      <c r="D572" s="54" t="s">
        <v>1468</v>
      </c>
      <c r="E572" s="218">
        <v>150000</v>
      </c>
      <c r="F572" s="219">
        <v>150000</v>
      </c>
    </row>
    <row r="573" spans="1:6">
      <c r="A573" s="54" t="s">
        <v>1504</v>
      </c>
      <c r="B573" s="155" t="s">
        <v>850</v>
      </c>
      <c r="C573" s="54" t="s">
        <v>1505</v>
      </c>
      <c r="D573" s="54" t="s">
        <v>1468</v>
      </c>
      <c r="E573" s="218">
        <v>150000</v>
      </c>
      <c r="F573" s="219">
        <v>150000</v>
      </c>
    </row>
    <row r="574" spans="1:6">
      <c r="A574" s="54" t="s">
        <v>293</v>
      </c>
      <c r="B574" s="155" t="s">
        <v>850</v>
      </c>
      <c r="C574" s="54" t="s">
        <v>1505</v>
      </c>
      <c r="D574" s="54" t="s">
        <v>1370</v>
      </c>
      <c r="E574" s="218">
        <v>150000</v>
      </c>
      <c r="F574" s="219">
        <v>150000</v>
      </c>
    </row>
    <row r="575" spans="1:6">
      <c r="A575" s="54" t="s">
        <v>250</v>
      </c>
      <c r="B575" s="155" t="s">
        <v>850</v>
      </c>
      <c r="C575" s="54" t="s">
        <v>1505</v>
      </c>
      <c r="D575" s="54" t="s">
        <v>480</v>
      </c>
      <c r="E575" s="218">
        <v>150000</v>
      </c>
      <c r="F575" s="219">
        <v>150000</v>
      </c>
    </row>
    <row r="576" spans="1:6" ht="127.5">
      <c r="A576" s="54" t="s">
        <v>613</v>
      </c>
      <c r="B576" s="155" t="s">
        <v>851</v>
      </c>
      <c r="C576" s="54" t="s">
        <v>1468</v>
      </c>
      <c r="D576" s="54" t="s">
        <v>1468</v>
      </c>
      <c r="E576" s="218">
        <v>332771</v>
      </c>
      <c r="F576" s="219">
        <v>332771</v>
      </c>
    </row>
    <row r="577" spans="1:6" ht="38.25">
      <c r="A577" s="54" t="s">
        <v>1763</v>
      </c>
      <c r="B577" s="155" t="s">
        <v>851</v>
      </c>
      <c r="C577" s="54" t="s">
        <v>1764</v>
      </c>
      <c r="D577" s="54" t="s">
        <v>1468</v>
      </c>
      <c r="E577" s="218">
        <v>332771</v>
      </c>
      <c r="F577" s="219">
        <v>332771</v>
      </c>
    </row>
    <row r="578" spans="1:6">
      <c r="A578" s="54" t="s">
        <v>1504</v>
      </c>
      <c r="B578" s="155" t="s">
        <v>851</v>
      </c>
      <c r="C578" s="54" t="s">
        <v>1505</v>
      </c>
      <c r="D578" s="54" t="s">
        <v>1468</v>
      </c>
      <c r="E578" s="218">
        <v>332771</v>
      </c>
      <c r="F578" s="219">
        <v>332771</v>
      </c>
    </row>
    <row r="579" spans="1:6">
      <c r="A579" s="54" t="s">
        <v>293</v>
      </c>
      <c r="B579" s="155" t="s">
        <v>851</v>
      </c>
      <c r="C579" s="54" t="s">
        <v>1505</v>
      </c>
      <c r="D579" s="54" t="s">
        <v>1370</v>
      </c>
      <c r="E579" s="218">
        <v>332771</v>
      </c>
      <c r="F579" s="219">
        <v>332771</v>
      </c>
    </row>
    <row r="580" spans="1:6">
      <c r="A580" s="54" t="s">
        <v>250</v>
      </c>
      <c r="B580" s="155" t="s">
        <v>851</v>
      </c>
      <c r="C580" s="54" t="s">
        <v>1505</v>
      </c>
      <c r="D580" s="54" t="s">
        <v>480</v>
      </c>
      <c r="E580" s="218">
        <v>332771</v>
      </c>
      <c r="F580" s="219">
        <v>332771</v>
      </c>
    </row>
    <row r="581" spans="1:6" ht="127.5">
      <c r="A581" s="54" t="s">
        <v>679</v>
      </c>
      <c r="B581" s="155" t="s">
        <v>852</v>
      </c>
      <c r="C581" s="54" t="s">
        <v>1468</v>
      </c>
      <c r="D581" s="54" t="s">
        <v>1468</v>
      </c>
      <c r="E581" s="218">
        <v>21000000</v>
      </c>
      <c r="F581" s="219">
        <v>21000000</v>
      </c>
    </row>
    <row r="582" spans="1:6" ht="38.25">
      <c r="A582" s="54" t="s">
        <v>1763</v>
      </c>
      <c r="B582" s="155" t="s">
        <v>852</v>
      </c>
      <c r="C582" s="54" t="s">
        <v>1764</v>
      </c>
      <c r="D582" s="54" t="s">
        <v>1468</v>
      </c>
      <c r="E582" s="218">
        <v>21000000</v>
      </c>
      <c r="F582" s="219">
        <v>21000000</v>
      </c>
    </row>
    <row r="583" spans="1:6">
      <c r="A583" s="54" t="s">
        <v>1504</v>
      </c>
      <c r="B583" s="155" t="s">
        <v>852</v>
      </c>
      <c r="C583" s="54" t="s">
        <v>1505</v>
      </c>
      <c r="D583" s="54" t="s">
        <v>1468</v>
      </c>
      <c r="E583" s="218">
        <v>21000000</v>
      </c>
      <c r="F583" s="219">
        <v>21000000</v>
      </c>
    </row>
    <row r="584" spans="1:6">
      <c r="A584" s="54" t="s">
        <v>293</v>
      </c>
      <c r="B584" s="155" t="s">
        <v>852</v>
      </c>
      <c r="C584" s="54" t="s">
        <v>1505</v>
      </c>
      <c r="D584" s="54" t="s">
        <v>1370</v>
      </c>
      <c r="E584" s="218">
        <v>21000000</v>
      </c>
      <c r="F584" s="219">
        <v>21000000</v>
      </c>
    </row>
    <row r="585" spans="1:6">
      <c r="A585" s="54" t="s">
        <v>250</v>
      </c>
      <c r="B585" s="155" t="s">
        <v>852</v>
      </c>
      <c r="C585" s="54" t="s">
        <v>1505</v>
      </c>
      <c r="D585" s="54" t="s">
        <v>480</v>
      </c>
      <c r="E585" s="218">
        <v>21000000</v>
      </c>
      <c r="F585" s="219">
        <v>21000000</v>
      </c>
    </row>
    <row r="586" spans="1:6" ht="114.75">
      <c r="A586" s="54" t="s">
        <v>1091</v>
      </c>
      <c r="B586" s="155" t="s">
        <v>1092</v>
      </c>
      <c r="C586" s="54" t="s">
        <v>1468</v>
      </c>
      <c r="D586" s="54" t="s">
        <v>1468</v>
      </c>
      <c r="E586" s="218">
        <v>3200000</v>
      </c>
      <c r="F586" s="219">
        <v>3200000</v>
      </c>
    </row>
    <row r="587" spans="1:6" ht="38.25">
      <c r="A587" s="54" t="s">
        <v>1763</v>
      </c>
      <c r="B587" s="155" t="s">
        <v>1092</v>
      </c>
      <c r="C587" s="54" t="s">
        <v>1764</v>
      </c>
      <c r="D587" s="54" t="s">
        <v>1468</v>
      </c>
      <c r="E587" s="218">
        <v>3200000</v>
      </c>
      <c r="F587" s="219">
        <v>3200000</v>
      </c>
    </row>
    <row r="588" spans="1:6">
      <c r="A588" s="54" t="s">
        <v>1504</v>
      </c>
      <c r="B588" s="155" t="s">
        <v>1092</v>
      </c>
      <c r="C588" s="54" t="s">
        <v>1505</v>
      </c>
      <c r="D588" s="54" t="s">
        <v>1468</v>
      </c>
      <c r="E588" s="218">
        <v>3200000</v>
      </c>
      <c r="F588" s="219">
        <v>3200000</v>
      </c>
    </row>
    <row r="589" spans="1:6">
      <c r="A589" s="54" t="s">
        <v>293</v>
      </c>
      <c r="B589" s="155" t="s">
        <v>1092</v>
      </c>
      <c r="C589" s="54" t="s">
        <v>1505</v>
      </c>
      <c r="D589" s="54" t="s">
        <v>1370</v>
      </c>
      <c r="E589" s="218">
        <v>3200000</v>
      </c>
      <c r="F589" s="219">
        <v>3200000</v>
      </c>
    </row>
    <row r="590" spans="1:6">
      <c r="A590" s="54" t="s">
        <v>250</v>
      </c>
      <c r="B590" s="155" t="s">
        <v>1092</v>
      </c>
      <c r="C590" s="54" t="s">
        <v>1505</v>
      </c>
      <c r="D590" s="54" t="s">
        <v>480</v>
      </c>
      <c r="E590" s="218">
        <v>3200000</v>
      </c>
      <c r="F590" s="219">
        <v>3200000</v>
      </c>
    </row>
    <row r="591" spans="1:6" ht="76.5">
      <c r="A591" s="54" t="s">
        <v>602</v>
      </c>
      <c r="B591" s="155" t="s">
        <v>830</v>
      </c>
      <c r="C591" s="54" t="s">
        <v>1468</v>
      </c>
      <c r="D591" s="54" t="s">
        <v>1468</v>
      </c>
      <c r="E591" s="218">
        <v>2748436</v>
      </c>
      <c r="F591" s="219">
        <v>2748436</v>
      </c>
    </row>
    <row r="592" spans="1:6" ht="38.25">
      <c r="A592" s="54" t="s">
        <v>1763</v>
      </c>
      <c r="B592" s="155" t="s">
        <v>830</v>
      </c>
      <c r="C592" s="54" t="s">
        <v>1764</v>
      </c>
      <c r="D592" s="54" t="s">
        <v>1468</v>
      </c>
      <c r="E592" s="218">
        <v>2748436</v>
      </c>
      <c r="F592" s="219">
        <v>2748436</v>
      </c>
    </row>
    <row r="593" spans="1:6">
      <c r="A593" s="54" t="s">
        <v>1504</v>
      </c>
      <c r="B593" s="155" t="s">
        <v>830</v>
      </c>
      <c r="C593" s="54" t="s">
        <v>1505</v>
      </c>
      <c r="D593" s="54" t="s">
        <v>1468</v>
      </c>
      <c r="E593" s="218">
        <v>2748436</v>
      </c>
      <c r="F593" s="219">
        <v>2748436</v>
      </c>
    </row>
    <row r="594" spans="1:6">
      <c r="A594" s="54" t="s">
        <v>173</v>
      </c>
      <c r="B594" s="155" t="s">
        <v>830</v>
      </c>
      <c r="C594" s="54" t="s">
        <v>1505</v>
      </c>
      <c r="D594" s="54" t="s">
        <v>1364</v>
      </c>
      <c r="E594" s="218">
        <v>200000</v>
      </c>
      <c r="F594" s="219">
        <v>200000</v>
      </c>
    </row>
    <row r="595" spans="1:6">
      <c r="A595" s="212" t="s">
        <v>1240</v>
      </c>
      <c r="B595" s="155" t="s">
        <v>830</v>
      </c>
      <c r="C595" s="54" t="s">
        <v>1505</v>
      </c>
      <c r="D595" s="54" t="s">
        <v>1241</v>
      </c>
      <c r="E595" s="218">
        <v>200000</v>
      </c>
      <c r="F595" s="219">
        <v>200000</v>
      </c>
    </row>
    <row r="596" spans="1:6">
      <c r="A596" s="54" t="s">
        <v>293</v>
      </c>
      <c r="B596" s="155" t="s">
        <v>830</v>
      </c>
      <c r="C596" s="54" t="s">
        <v>1505</v>
      </c>
      <c r="D596" s="54" t="s">
        <v>1370</v>
      </c>
      <c r="E596" s="218">
        <v>2548436</v>
      </c>
      <c r="F596" s="219">
        <v>2548436</v>
      </c>
    </row>
    <row r="597" spans="1:6">
      <c r="A597" s="54" t="s">
        <v>250</v>
      </c>
      <c r="B597" s="155" t="s">
        <v>830</v>
      </c>
      <c r="C597" s="54" t="s">
        <v>1505</v>
      </c>
      <c r="D597" s="54" t="s">
        <v>480</v>
      </c>
      <c r="E597" s="218">
        <v>2548436</v>
      </c>
      <c r="F597" s="219">
        <v>2548436</v>
      </c>
    </row>
    <row r="598" spans="1:6" ht="38.25">
      <c r="A598" s="54" t="s">
        <v>704</v>
      </c>
      <c r="B598" s="155" t="s">
        <v>1123</v>
      </c>
      <c r="C598" s="54" t="s">
        <v>1468</v>
      </c>
      <c r="D598" s="54" t="s">
        <v>1468</v>
      </c>
      <c r="E598" s="218">
        <v>103819489</v>
      </c>
      <c r="F598" s="219">
        <v>103819489</v>
      </c>
    </row>
    <row r="599" spans="1:6" ht="140.25">
      <c r="A599" s="54" t="s">
        <v>603</v>
      </c>
      <c r="B599" s="155" t="s">
        <v>831</v>
      </c>
      <c r="C599" s="54" t="s">
        <v>1468</v>
      </c>
      <c r="D599" s="54" t="s">
        <v>1468</v>
      </c>
      <c r="E599" s="218">
        <v>70382807</v>
      </c>
      <c r="F599" s="219">
        <v>70382807</v>
      </c>
    </row>
    <row r="600" spans="1:6" ht="76.5">
      <c r="A600" s="54" t="s">
        <v>1754</v>
      </c>
      <c r="B600" s="155" t="s">
        <v>831</v>
      </c>
      <c r="C600" s="54" t="s">
        <v>322</v>
      </c>
      <c r="D600" s="54" t="s">
        <v>1468</v>
      </c>
      <c r="E600" s="218">
        <v>36150842</v>
      </c>
      <c r="F600" s="219">
        <v>36150842</v>
      </c>
    </row>
    <row r="601" spans="1:6" ht="25.5">
      <c r="A601" s="54" t="s">
        <v>1487</v>
      </c>
      <c r="B601" s="155" t="s">
        <v>831</v>
      </c>
      <c r="C601" s="54" t="s">
        <v>165</v>
      </c>
      <c r="D601" s="54" t="s">
        <v>1468</v>
      </c>
      <c r="E601" s="218">
        <v>36150842</v>
      </c>
      <c r="F601" s="219">
        <v>36150842</v>
      </c>
    </row>
    <row r="602" spans="1:6">
      <c r="A602" s="54" t="s">
        <v>293</v>
      </c>
      <c r="B602" s="155" t="s">
        <v>831</v>
      </c>
      <c r="C602" s="54" t="s">
        <v>165</v>
      </c>
      <c r="D602" s="54" t="s">
        <v>1370</v>
      </c>
      <c r="E602" s="218">
        <v>36150842</v>
      </c>
      <c r="F602" s="219">
        <v>36150842</v>
      </c>
    </row>
    <row r="603" spans="1:6" ht="25.5">
      <c r="A603" s="54" t="s">
        <v>0</v>
      </c>
      <c r="B603" s="155" t="s">
        <v>831</v>
      </c>
      <c r="C603" s="54" t="s">
        <v>165</v>
      </c>
      <c r="D603" s="54" t="s">
        <v>491</v>
      </c>
      <c r="E603" s="218">
        <v>36150842</v>
      </c>
      <c r="F603" s="219">
        <v>36150842</v>
      </c>
    </row>
    <row r="604" spans="1:6" ht="38.25">
      <c r="A604" s="54" t="s">
        <v>1755</v>
      </c>
      <c r="B604" s="155" t="s">
        <v>831</v>
      </c>
      <c r="C604" s="54" t="s">
        <v>1756</v>
      </c>
      <c r="D604" s="54" t="s">
        <v>1468</v>
      </c>
      <c r="E604" s="218">
        <v>2027000</v>
      </c>
      <c r="F604" s="219">
        <v>2027000</v>
      </c>
    </row>
    <row r="605" spans="1:6" ht="38.25">
      <c r="A605" s="54" t="s">
        <v>1502</v>
      </c>
      <c r="B605" s="155" t="s">
        <v>831</v>
      </c>
      <c r="C605" s="54" t="s">
        <v>1503</v>
      </c>
      <c r="D605" s="54" t="s">
        <v>1468</v>
      </c>
      <c r="E605" s="218">
        <v>2027000</v>
      </c>
      <c r="F605" s="219">
        <v>2027000</v>
      </c>
    </row>
    <row r="606" spans="1:6">
      <c r="A606" s="54" t="s">
        <v>293</v>
      </c>
      <c r="B606" s="155" t="s">
        <v>831</v>
      </c>
      <c r="C606" s="54" t="s">
        <v>1503</v>
      </c>
      <c r="D606" s="54" t="s">
        <v>1370</v>
      </c>
      <c r="E606" s="218">
        <v>2027000</v>
      </c>
      <c r="F606" s="219">
        <v>2027000</v>
      </c>
    </row>
    <row r="607" spans="1:6" ht="25.5">
      <c r="A607" s="54" t="s">
        <v>0</v>
      </c>
      <c r="B607" s="155" t="s">
        <v>831</v>
      </c>
      <c r="C607" s="54" t="s">
        <v>1503</v>
      </c>
      <c r="D607" s="54" t="s">
        <v>491</v>
      </c>
      <c r="E607" s="218">
        <v>2027000</v>
      </c>
      <c r="F607" s="219">
        <v>2027000</v>
      </c>
    </row>
    <row r="608" spans="1:6" ht="38.25">
      <c r="A608" s="54" t="s">
        <v>1763</v>
      </c>
      <c r="B608" s="155" t="s">
        <v>831</v>
      </c>
      <c r="C608" s="54" t="s">
        <v>1764</v>
      </c>
      <c r="D608" s="54" t="s">
        <v>1468</v>
      </c>
      <c r="E608" s="218">
        <v>32164965</v>
      </c>
      <c r="F608" s="219">
        <v>32164965</v>
      </c>
    </row>
    <row r="609" spans="1:6">
      <c r="A609" s="54" t="s">
        <v>1504</v>
      </c>
      <c r="B609" s="155" t="s">
        <v>831</v>
      </c>
      <c r="C609" s="54" t="s">
        <v>1505</v>
      </c>
      <c r="D609" s="54" t="s">
        <v>1468</v>
      </c>
      <c r="E609" s="218">
        <v>32164965</v>
      </c>
      <c r="F609" s="219">
        <v>32164965</v>
      </c>
    </row>
    <row r="610" spans="1:6">
      <c r="A610" s="54" t="s">
        <v>173</v>
      </c>
      <c r="B610" s="155" t="s">
        <v>831</v>
      </c>
      <c r="C610" s="54" t="s">
        <v>1505</v>
      </c>
      <c r="D610" s="54" t="s">
        <v>1364</v>
      </c>
      <c r="E610" s="218">
        <v>32164965</v>
      </c>
      <c r="F610" s="219">
        <v>32164965</v>
      </c>
    </row>
    <row r="611" spans="1:6">
      <c r="A611" s="54" t="s">
        <v>1240</v>
      </c>
      <c r="B611" s="155" t="s">
        <v>831</v>
      </c>
      <c r="C611" s="54" t="s">
        <v>1505</v>
      </c>
      <c r="D611" s="54" t="s">
        <v>1241</v>
      </c>
      <c r="E611" s="218">
        <v>32164965</v>
      </c>
      <c r="F611" s="219">
        <v>32164965</v>
      </c>
    </row>
    <row r="612" spans="1:6">
      <c r="A612" s="54" t="s">
        <v>1757</v>
      </c>
      <c r="B612" s="155" t="s">
        <v>831</v>
      </c>
      <c r="C612" s="54" t="s">
        <v>1758</v>
      </c>
      <c r="D612" s="54" t="s">
        <v>1468</v>
      </c>
      <c r="E612" s="218">
        <v>40000</v>
      </c>
      <c r="F612" s="219">
        <v>40000</v>
      </c>
    </row>
    <row r="613" spans="1:6">
      <c r="A613" s="54" t="s">
        <v>1507</v>
      </c>
      <c r="B613" s="155" t="s">
        <v>831</v>
      </c>
      <c r="C613" s="54" t="s">
        <v>1508</v>
      </c>
      <c r="D613" s="54" t="s">
        <v>1468</v>
      </c>
      <c r="E613" s="218">
        <v>40000</v>
      </c>
      <c r="F613" s="219">
        <v>40000</v>
      </c>
    </row>
    <row r="614" spans="1:6">
      <c r="A614" s="54" t="s">
        <v>293</v>
      </c>
      <c r="B614" s="155" t="s">
        <v>831</v>
      </c>
      <c r="C614" s="54" t="s">
        <v>1508</v>
      </c>
      <c r="D614" s="54" t="s">
        <v>1370</v>
      </c>
      <c r="E614" s="218">
        <v>40000</v>
      </c>
      <c r="F614" s="219">
        <v>40000</v>
      </c>
    </row>
    <row r="615" spans="1:6" ht="25.5">
      <c r="A615" s="54" t="s">
        <v>0</v>
      </c>
      <c r="B615" s="155" t="s">
        <v>831</v>
      </c>
      <c r="C615" s="54" t="s">
        <v>1508</v>
      </c>
      <c r="D615" s="54" t="s">
        <v>491</v>
      </c>
      <c r="E615" s="218">
        <v>40000</v>
      </c>
      <c r="F615" s="219">
        <v>40000</v>
      </c>
    </row>
    <row r="616" spans="1:6" ht="191.25">
      <c r="A616" s="54" t="s">
        <v>604</v>
      </c>
      <c r="B616" s="155" t="s">
        <v>832</v>
      </c>
      <c r="C616" s="54" t="s">
        <v>1468</v>
      </c>
      <c r="D616" s="54" t="s">
        <v>1468</v>
      </c>
      <c r="E616" s="218">
        <v>27670900</v>
      </c>
      <c r="F616" s="219">
        <v>27670900</v>
      </c>
    </row>
    <row r="617" spans="1:6" ht="76.5">
      <c r="A617" s="54" t="s">
        <v>1754</v>
      </c>
      <c r="B617" s="155" t="s">
        <v>832</v>
      </c>
      <c r="C617" s="54" t="s">
        <v>322</v>
      </c>
      <c r="D617" s="54" t="s">
        <v>1468</v>
      </c>
      <c r="E617" s="218">
        <v>21878174</v>
      </c>
      <c r="F617" s="219">
        <v>21878174</v>
      </c>
    </row>
    <row r="618" spans="1:6" ht="25.5">
      <c r="A618" s="54" t="s">
        <v>1487</v>
      </c>
      <c r="B618" s="155" t="s">
        <v>832</v>
      </c>
      <c r="C618" s="54" t="s">
        <v>165</v>
      </c>
      <c r="D618" s="54" t="s">
        <v>1468</v>
      </c>
      <c r="E618" s="218">
        <v>21878174</v>
      </c>
      <c r="F618" s="219">
        <v>21878174</v>
      </c>
    </row>
    <row r="619" spans="1:6">
      <c r="A619" s="54" t="s">
        <v>293</v>
      </c>
      <c r="B619" s="155" t="s">
        <v>832</v>
      </c>
      <c r="C619" s="54" t="s">
        <v>165</v>
      </c>
      <c r="D619" s="54" t="s">
        <v>1370</v>
      </c>
      <c r="E619" s="218">
        <v>21878174</v>
      </c>
      <c r="F619" s="219">
        <v>21878174</v>
      </c>
    </row>
    <row r="620" spans="1:6" ht="25.5">
      <c r="A620" s="54" t="s">
        <v>0</v>
      </c>
      <c r="B620" s="155" t="s">
        <v>832</v>
      </c>
      <c r="C620" s="54" t="s">
        <v>165</v>
      </c>
      <c r="D620" s="54" t="s">
        <v>491</v>
      </c>
      <c r="E620" s="218">
        <v>21878174</v>
      </c>
      <c r="F620" s="219">
        <v>21878174</v>
      </c>
    </row>
    <row r="621" spans="1:6" ht="38.25">
      <c r="A621" s="54" t="s">
        <v>1763</v>
      </c>
      <c r="B621" s="155" t="s">
        <v>832</v>
      </c>
      <c r="C621" s="54" t="s">
        <v>1764</v>
      </c>
      <c r="D621" s="54" t="s">
        <v>1468</v>
      </c>
      <c r="E621" s="218">
        <v>5792726</v>
      </c>
      <c r="F621" s="219">
        <v>5792726</v>
      </c>
    </row>
    <row r="622" spans="1:6">
      <c r="A622" s="54" t="s">
        <v>1504</v>
      </c>
      <c r="B622" s="155" t="s">
        <v>832</v>
      </c>
      <c r="C622" s="54" t="s">
        <v>1505</v>
      </c>
      <c r="D622" s="54" t="s">
        <v>1468</v>
      </c>
      <c r="E622" s="218">
        <v>5792726</v>
      </c>
      <c r="F622" s="219">
        <v>5792726</v>
      </c>
    </row>
    <row r="623" spans="1:6">
      <c r="A623" s="54" t="s">
        <v>173</v>
      </c>
      <c r="B623" s="155" t="s">
        <v>832</v>
      </c>
      <c r="C623" s="54" t="s">
        <v>1505</v>
      </c>
      <c r="D623" s="54" t="s">
        <v>1364</v>
      </c>
      <c r="E623" s="218">
        <v>5792726</v>
      </c>
      <c r="F623" s="219">
        <v>5792726</v>
      </c>
    </row>
    <row r="624" spans="1:6">
      <c r="A624" s="54" t="s">
        <v>1240</v>
      </c>
      <c r="B624" s="155" t="s">
        <v>832</v>
      </c>
      <c r="C624" s="54" t="s">
        <v>1505</v>
      </c>
      <c r="D624" s="54" t="s">
        <v>1241</v>
      </c>
      <c r="E624" s="218">
        <v>5792726</v>
      </c>
      <c r="F624" s="219">
        <v>5792726</v>
      </c>
    </row>
    <row r="625" spans="1:6" ht="153">
      <c r="A625" s="54" t="s">
        <v>675</v>
      </c>
      <c r="B625" s="155" t="s">
        <v>833</v>
      </c>
      <c r="C625" s="54" t="s">
        <v>1468</v>
      </c>
      <c r="D625" s="54" t="s">
        <v>1468</v>
      </c>
      <c r="E625" s="218">
        <v>148161</v>
      </c>
      <c r="F625" s="219">
        <v>148161</v>
      </c>
    </row>
    <row r="626" spans="1:6" ht="38.25">
      <c r="A626" s="54" t="s">
        <v>1763</v>
      </c>
      <c r="B626" s="155" t="s">
        <v>833</v>
      </c>
      <c r="C626" s="54" t="s">
        <v>1764</v>
      </c>
      <c r="D626" s="54" t="s">
        <v>1468</v>
      </c>
      <c r="E626" s="218">
        <v>148161</v>
      </c>
      <c r="F626" s="219">
        <v>148161</v>
      </c>
    </row>
    <row r="627" spans="1:6">
      <c r="A627" s="54" t="s">
        <v>1504</v>
      </c>
      <c r="B627" s="155" t="s">
        <v>833</v>
      </c>
      <c r="C627" s="54" t="s">
        <v>1505</v>
      </c>
      <c r="D627" s="54" t="s">
        <v>1468</v>
      </c>
      <c r="E627" s="218">
        <v>148161</v>
      </c>
      <c r="F627" s="219">
        <v>148161</v>
      </c>
    </row>
    <row r="628" spans="1:6">
      <c r="A628" s="212" t="s">
        <v>173</v>
      </c>
      <c r="B628" s="155" t="s">
        <v>833</v>
      </c>
      <c r="C628" s="54" t="s">
        <v>1505</v>
      </c>
      <c r="D628" s="54" t="s">
        <v>1364</v>
      </c>
      <c r="E628" s="218">
        <v>148161</v>
      </c>
      <c r="F628" s="219">
        <v>148161</v>
      </c>
    </row>
    <row r="629" spans="1:6">
      <c r="A629" s="54" t="s">
        <v>1240</v>
      </c>
      <c r="B629" s="155" t="s">
        <v>833</v>
      </c>
      <c r="C629" s="54" t="s">
        <v>1505</v>
      </c>
      <c r="D629" s="54" t="s">
        <v>1241</v>
      </c>
      <c r="E629" s="218">
        <v>148161</v>
      </c>
      <c r="F629" s="219">
        <v>148161</v>
      </c>
    </row>
    <row r="630" spans="1:6" ht="127.5">
      <c r="A630" s="54" t="s">
        <v>605</v>
      </c>
      <c r="B630" s="155" t="s">
        <v>834</v>
      </c>
      <c r="C630" s="54" t="s">
        <v>1468</v>
      </c>
      <c r="D630" s="54" t="s">
        <v>1468</v>
      </c>
      <c r="E630" s="218">
        <v>1538321</v>
      </c>
      <c r="F630" s="219">
        <v>1538321</v>
      </c>
    </row>
    <row r="631" spans="1:6" ht="76.5">
      <c r="A631" s="54" t="s">
        <v>1754</v>
      </c>
      <c r="B631" s="155" t="s">
        <v>834</v>
      </c>
      <c r="C631" s="54" t="s">
        <v>322</v>
      </c>
      <c r="D631" s="54" t="s">
        <v>1468</v>
      </c>
      <c r="E631" s="218">
        <v>1064548</v>
      </c>
      <c r="F631" s="219">
        <v>1064548</v>
      </c>
    </row>
    <row r="632" spans="1:6" ht="25.5">
      <c r="A632" s="54" t="s">
        <v>1487</v>
      </c>
      <c r="B632" s="155" t="s">
        <v>834</v>
      </c>
      <c r="C632" s="54" t="s">
        <v>165</v>
      </c>
      <c r="D632" s="54" t="s">
        <v>1468</v>
      </c>
      <c r="E632" s="218">
        <v>1064548</v>
      </c>
      <c r="F632" s="219">
        <v>1064548</v>
      </c>
    </row>
    <row r="633" spans="1:6">
      <c r="A633" s="212" t="s">
        <v>293</v>
      </c>
      <c r="B633" s="155" t="s">
        <v>834</v>
      </c>
      <c r="C633" s="54" t="s">
        <v>165</v>
      </c>
      <c r="D633" s="54" t="s">
        <v>1370</v>
      </c>
      <c r="E633" s="218">
        <v>1064548</v>
      </c>
      <c r="F633" s="219">
        <v>1064548</v>
      </c>
    </row>
    <row r="634" spans="1:6" ht="25.5">
      <c r="A634" s="54" t="s">
        <v>0</v>
      </c>
      <c r="B634" s="155" t="s">
        <v>834</v>
      </c>
      <c r="C634" s="54" t="s">
        <v>165</v>
      </c>
      <c r="D634" s="54" t="s">
        <v>491</v>
      </c>
      <c r="E634" s="218">
        <v>1064548</v>
      </c>
      <c r="F634" s="219">
        <v>1064548</v>
      </c>
    </row>
    <row r="635" spans="1:6" ht="38.25">
      <c r="A635" s="54" t="s">
        <v>1763</v>
      </c>
      <c r="B635" s="155" t="s">
        <v>834</v>
      </c>
      <c r="C635" s="54" t="s">
        <v>1764</v>
      </c>
      <c r="D635" s="54" t="s">
        <v>1468</v>
      </c>
      <c r="E635" s="218">
        <v>473773</v>
      </c>
      <c r="F635" s="219">
        <v>473773</v>
      </c>
    </row>
    <row r="636" spans="1:6">
      <c r="A636" s="54" t="s">
        <v>1504</v>
      </c>
      <c r="B636" s="155" t="s">
        <v>834</v>
      </c>
      <c r="C636" s="54" t="s">
        <v>1505</v>
      </c>
      <c r="D636" s="54" t="s">
        <v>1468</v>
      </c>
      <c r="E636" s="218">
        <v>473773</v>
      </c>
      <c r="F636" s="219">
        <v>473773</v>
      </c>
    </row>
    <row r="637" spans="1:6">
      <c r="A637" s="54" t="s">
        <v>173</v>
      </c>
      <c r="B637" s="155" t="s">
        <v>834</v>
      </c>
      <c r="C637" s="54" t="s">
        <v>1505</v>
      </c>
      <c r="D637" s="54" t="s">
        <v>1364</v>
      </c>
      <c r="E637" s="218">
        <v>473773</v>
      </c>
      <c r="F637" s="219">
        <v>473773</v>
      </c>
    </row>
    <row r="638" spans="1:6">
      <c r="A638" s="54" t="s">
        <v>1240</v>
      </c>
      <c r="B638" s="155" t="s">
        <v>834</v>
      </c>
      <c r="C638" s="54" t="s">
        <v>1505</v>
      </c>
      <c r="D638" s="54" t="s">
        <v>1241</v>
      </c>
      <c r="E638" s="218">
        <v>473773</v>
      </c>
      <c r="F638" s="219">
        <v>473773</v>
      </c>
    </row>
    <row r="639" spans="1:6" ht="140.25">
      <c r="A639" s="54" t="s">
        <v>676</v>
      </c>
      <c r="B639" s="155" t="s">
        <v>835</v>
      </c>
      <c r="C639" s="54" t="s">
        <v>1468</v>
      </c>
      <c r="D639" s="54" t="s">
        <v>1468</v>
      </c>
      <c r="E639" s="218">
        <v>3417800</v>
      </c>
      <c r="F639" s="219">
        <v>3417800</v>
      </c>
    </row>
    <row r="640" spans="1:6" ht="38.25">
      <c r="A640" s="54" t="s">
        <v>1755</v>
      </c>
      <c r="B640" s="155" t="s">
        <v>835</v>
      </c>
      <c r="C640" s="54" t="s">
        <v>1756</v>
      </c>
      <c r="D640" s="54" t="s">
        <v>1468</v>
      </c>
      <c r="E640" s="218">
        <v>356000</v>
      </c>
      <c r="F640" s="219">
        <v>356000</v>
      </c>
    </row>
    <row r="641" spans="1:6" ht="38.25">
      <c r="A641" s="54" t="s">
        <v>1502</v>
      </c>
      <c r="B641" s="155" t="s">
        <v>835</v>
      </c>
      <c r="C641" s="54" t="s">
        <v>1503</v>
      </c>
      <c r="D641" s="54" t="s">
        <v>1468</v>
      </c>
      <c r="E641" s="218">
        <v>356000</v>
      </c>
      <c r="F641" s="219">
        <v>356000</v>
      </c>
    </row>
    <row r="642" spans="1:6">
      <c r="A642" s="54" t="s">
        <v>293</v>
      </c>
      <c r="B642" s="155" t="s">
        <v>835</v>
      </c>
      <c r="C642" s="54" t="s">
        <v>1503</v>
      </c>
      <c r="D642" s="54" t="s">
        <v>1370</v>
      </c>
      <c r="E642" s="218">
        <v>356000</v>
      </c>
      <c r="F642" s="219">
        <v>356000</v>
      </c>
    </row>
    <row r="643" spans="1:6" ht="25.5">
      <c r="A643" s="54" t="s">
        <v>0</v>
      </c>
      <c r="B643" s="155" t="s">
        <v>835</v>
      </c>
      <c r="C643" s="54" t="s">
        <v>1503</v>
      </c>
      <c r="D643" s="54" t="s">
        <v>491</v>
      </c>
      <c r="E643" s="218">
        <v>356000</v>
      </c>
      <c r="F643" s="219">
        <v>356000</v>
      </c>
    </row>
    <row r="644" spans="1:6" ht="38.25">
      <c r="A644" s="212" t="s">
        <v>1763</v>
      </c>
      <c r="B644" s="155" t="s">
        <v>835</v>
      </c>
      <c r="C644" s="54" t="s">
        <v>1764</v>
      </c>
      <c r="D644" s="54" t="s">
        <v>1468</v>
      </c>
      <c r="E644" s="218">
        <v>3061800</v>
      </c>
      <c r="F644" s="219">
        <v>3061800</v>
      </c>
    </row>
    <row r="645" spans="1:6">
      <c r="A645" s="54" t="s">
        <v>1504</v>
      </c>
      <c r="B645" s="155" t="s">
        <v>835</v>
      </c>
      <c r="C645" s="54" t="s">
        <v>1505</v>
      </c>
      <c r="D645" s="54" t="s">
        <v>1468</v>
      </c>
      <c r="E645" s="218">
        <v>3061800</v>
      </c>
      <c r="F645" s="219">
        <v>3061800</v>
      </c>
    </row>
    <row r="646" spans="1:6">
      <c r="A646" s="54" t="s">
        <v>173</v>
      </c>
      <c r="B646" s="155" t="s">
        <v>835</v>
      </c>
      <c r="C646" s="54" t="s">
        <v>1505</v>
      </c>
      <c r="D646" s="54" t="s">
        <v>1364</v>
      </c>
      <c r="E646" s="218">
        <v>3061800</v>
      </c>
      <c r="F646" s="219">
        <v>3061800</v>
      </c>
    </row>
    <row r="647" spans="1:6">
      <c r="A647" s="212" t="s">
        <v>1240</v>
      </c>
      <c r="B647" s="155" t="s">
        <v>835</v>
      </c>
      <c r="C647" s="54" t="s">
        <v>1505</v>
      </c>
      <c r="D647" s="54" t="s">
        <v>1241</v>
      </c>
      <c r="E647" s="218">
        <v>3061800</v>
      </c>
      <c r="F647" s="219">
        <v>3061800</v>
      </c>
    </row>
    <row r="648" spans="1:6" ht="89.25">
      <c r="A648" s="54" t="s">
        <v>1093</v>
      </c>
      <c r="B648" s="155" t="s">
        <v>1094</v>
      </c>
      <c r="C648" s="54" t="s">
        <v>1468</v>
      </c>
      <c r="D648" s="54" t="s">
        <v>1468</v>
      </c>
      <c r="E648" s="218">
        <v>120000</v>
      </c>
      <c r="F648" s="219">
        <v>120000</v>
      </c>
    </row>
    <row r="649" spans="1:6" ht="38.25">
      <c r="A649" s="54" t="s">
        <v>1755</v>
      </c>
      <c r="B649" s="155" t="s">
        <v>1094</v>
      </c>
      <c r="C649" s="54" t="s">
        <v>1756</v>
      </c>
      <c r="D649" s="54" t="s">
        <v>1468</v>
      </c>
      <c r="E649" s="218">
        <v>120000</v>
      </c>
      <c r="F649" s="219">
        <v>120000</v>
      </c>
    </row>
    <row r="650" spans="1:6" ht="38.25">
      <c r="A650" s="54" t="s">
        <v>1502</v>
      </c>
      <c r="B650" s="289" t="s">
        <v>1094</v>
      </c>
      <c r="C650" s="6" t="s">
        <v>1503</v>
      </c>
      <c r="D650" s="6" t="s">
        <v>1468</v>
      </c>
      <c r="E650" s="218">
        <v>120000</v>
      </c>
      <c r="F650" s="219">
        <v>120000</v>
      </c>
    </row>
    <row r="651" spans="1:6">
      <c r="A651" s="54" t="s">
        <v>293</v>
      </c>
      <c r="B651" s="289" t="s">
        <v>1094</v>
      </c>
      <c r="C651" s="6" t="s">
        <v>1503</v>
      </c>
      <c r="D651" s="6" t="s">
        <v>1370</v>
      </c>
      <c r="E651" s="218">
        <v>120000</v>
      </c>
      <c r="F651" s="327">
        <v>120000</v>
      </c>
    </row>
    <row r="652" spans="1:6" ht="25.5">
      <c r="A652" s="54" t="s">
        <v>0</v>
      </c>
      <c r="B652" s="289" t="s">
        <v>1094</v>
      </c>
      <c r="C652" s="6" t="s">
        <v>1503</v>
      </c>
      <c r="D652" s="6" t="s">
        <v>491</v>
      </c>
      <c r="E652" s="218">
        <v>120000</v>
      </c>
      <c r="F652" s="327">
        <v>120000</v>
      </c>
    </row>
    <row r="653" spans="1:6" ht="127.5">
      <c r="A653" s="54" t="s">
        <v>1087</v>
      </c>
      <c r="B653" s="289" t="s">
        <v>1088</v>
      </c>
      <c r="C653" s="6" t="s">
        <v>1468</v>
      </c>
      <c r="D653" s="6" t="s">
        <v>1468</v>
      </c>
      <c r="E653" s="218">
        <v>541500</v>
      </c>
      <c r="F653" s="327">
        <v>541500</v>
      </c>
    </row>
    <row r="654" spans="1:6" ht="38.25">
      <c r="A654" s="54" t="s">
        <v>1755</v>
      </c>
      <c r="B654" s="289" t="s">
        <v>1088</v>
      </c>
      <c r="C654" s="6" t="s">
        <v>1756</v>
      </c>
      <c r="D654" s="6" t="s">
        <v>1468</v>
      </c>
      <c r="E654" s="218">
        <v>210500</v>
      </c>
      <c r="F654" s="327">
        <v>210500</v>
      </c>
    </row>
    <row r="655" spans="1:6">
      <c r="A655" s="6" t="s">
        <v>1502</v>
      </c>
      <c r="B655" s="289" t="s">
        <v>1088</v>
      </c>
      <c r="C655" s="6" t="s">
        <v>1503</v>
      </c>
      <c r="D655" s="6" t="s">
        <v>1468</v>
      </c>
      <c r="E655" s="218">
        <v>210500</v>
      </c>
      <c r="F655" s="219">
        <v>210500</v>
      </c>
    </row>
    <row r="656" spans="1:6">
      <c r="A656" s="54" t="s">
        <v>293</v>
      </c>
      <c r="B656" s="289" t="s">
        <v>1088</v>
      </c>
      <c r="C656" s="6" t="s">
        <v>1503</v>
      </c>
      <c r="D656" s="6" t="s">
        <v>1370</v>
      </c>
      <c r="E656" s="218">
        <v>210500</v>
      </c>
      <c r="F656" s="219">
        <v>210500</v>
      </c>
    </row>
    <row r="657" spans="1:6" ht="25.5">
      <c r="A657" s="54" t="s">
        <v>0</v>
      </c>
      <c r="B657" s="289" t="s">
        <v>1088</v>
      </c>
      <c r="C657" s="6" t="s">
        <v>1503</v>
      </c>
      <c r="D657" s="6" t="s">
        <v>491</v>
      </c>
      <c r="E657" s="218">
        <v>210500</v>
      </c>
      <c r="F657" s="219">
        <v>210500</v>
      </c>
    </row>
    <row r="658" spans="1:6" ht="38.25">
      <c r="A658" s="54" t="s">
        <v>1763</v>
      </c>
      <c r="B658" s="289" t="s">
        <v>1088</v>
      </c>
      <c r="C658" s="6" t="s">
        <v>1764</v>
      </c>
      <c r="D658" s="6" t="s">
        <v>1468</v>
      </c>
      <c r="E658" s="218">
        <v>331000</v>
      </c>
      <c r="F658" s="219">
        <v>331000</v>
      </c>
    </row>
    <row r="659" spans="1:6">
      <c r="A659" s="54" t="s">
        <v>1504</v>
      </c>
      <c r="B659" s="289" t="s">
        <v>1088</v>
      </c>
      <c r="C659" s="6" t="s">
        <v>1505</v>
      </c>
      <c r="D659" s="6" t="s">
        <v>1468</v>
      </c>
      <c r="E659" s="218">
        <v>331000</v>
      </c>
      <c r="F659" s="219">
        <v>331000</v>
      </c>
    </row>
    <row r="660" spans="1:6">
      <c r="A660" s="54" t="s">
        <v>173</v>
      </c>
      <c r="B660" s="289" t="s">
        <v>1088</v>
      </c>
      <c r="C660" s="6" t="s">
        <v>1505</v>
      </c>
      <c r="D660" s="6" t="s">
        <v>1364</v>
      </c>
      <c r="E660" s="218">
        <v>331000</v>
      </c>
      <c r="F660" s="219">
        <v>331000</v>
      </c>
    </row>
    <row r="661" spans="1:6">
      <c r="A661" s="54" t="s">
        <v>1240</v>
      </c>
      <c r="B661" s="289" t="s">
        <v>1088</v>
      </c>
      <c r="C661" s="6" t="s">
        <v>1505</v>
      </c>
      <c r="D661" s="6" t="s">
        <v>1241</v>
      </c>
      <c r="E661" s="218">
        <v>331000</v>
      </c>
      <c r="F661" s="219">
        <v>331000</v>
      </c>
    </row>
    <row r="662" spans="1:6" ht="25.5">
      <c r="A662" s="54" t="s">
        <v>559</v>
      </c>
      <c r="B662" s="289" t="s">
        <v>1124</v>
      </c>
      <c r="C662" s="6" t="s">
        <v>1468</v>
      </c>
      <c r="D662" s="6" t="s">
        <v>1468</v>
      </c>
      <c r="E662" s="218">
        <v>11349200</v>
      </c>
      <c r="F662" s="219">
        <v>11349200</v>
      </c>
    </row>
    <row r="663" spans="1:6">
      <c r="A663" s="6" t="s">
        <v>560</v>
      </c>
      <c r="B663" s="289" t="s">
        <v>1125</v>
      </c>
      <c r="C663" s="6" t="s">
        <v>1468</v>
      </c>
      <c r="D663" s="6" t="s">
        <v>1468</v>
      </c>
      <c r="E663" s="214">
        <v>2377500</v>
      </c>
      <c r="F663" s="277">
        <v>2377500</v>
      </c>
    </row>
    <row r="664" spans="1:6">
      <c r="A664" s="6" t="s">
        <v>1085</v>
      </c>
      <c r="B664" s="289" t="s">
        <v>1086</v>
      </c>
      <c r="C664" s="6" t="s">
        <v>1468</v>
      </c>
      <c r="D664" s="6" t="s">
        <v>1468</v>
      </c>
      <c r="E664" s="218">
        <v>121260</v>
      </c>
      <c r="F664" s="219">
        <v>121260</v>
      </c>
    </row>
    <row r="665" spans="1:6">
      <c r="A665" s="6" t="s">
        <v>1763</v>
      </c>
      <c r="B665" s="289" t="s">
        <v>1086</v>
      </c>
      <c r="C665" s="6" t="s">
        <v>1764</v>
      </c>
      <c r="D665" s="6" t="s">
        <v>1468</v>
      </c>
      <c r="E665" s="350">
        <v>121260</v>
      </c>
      <c r="F665" s="351">
        <v>121260</v>
      </c>
    </row>
    <row r="666" spans="1:6">
      <c r="A666" s="54" t="s">
        <v>1504</v>
      </c>
      <c r="B666" s="289" t="s">
        <v>1086</v>
      </c>
      <c r="C666" s="6" t="s">
        <v>1505</v>
      </c>
      <c r="D666" s="6" t="s">
        <v>1468</v>
      </c>
      <c r="E666" s="218">
        <v>121260</v>
      </c>
      <c r="F666" s="219">
        <v>121260</v>
      </c>
    </row>
    <row r="667" spans="1:6">
      <c r="A667" s="54" t="s">
        <v>173</v>
      </c>
      <c r="B667" s="289" t="s">
        <v>1086</v>
      </c>
      <c r="C667" s="6" t="s">
        <v>1505</v>
      </c>
      <c r="D667" s="6" t="s">
        <v>1364</v>
      </c>
      <c r="E667" s="218">
        <v>121260</v>
      </c>
      <c r="F667" s="219">
        <v>121260</v>
      </c>
    </row>
    <row r="668" spans="1:6">
      <c r="A668" s="54" t="s">
        <v>1238</v>
      </c>
      <c r="B668" s="289" t="s">
        <v>1086</v>
      </c>
      <c r="C668" s="6" t="s">
        <v>1505</v>
      </c>
      <c r="D668" s="6" t="s">
        <v>453</v>
      </c>
      <c r="E668" s="218">
        <v>121260</v>
      </c>
      <c r="F668" s="219">
        <v>121260</v>
      </c>
    </row>
    <row r="669" spans="1:6" ht="102">
      <c r="A669" s="54" t="s">
        <v>456</v>
      </c>
      <c r="B669" s="289" t="s">
        <v>810</v>
      </c>
      <c r="C669" s="6" t="s">
        <v>1468</v>
      </c>
      <c r="D669" s="6" t="s">
        <v>1468</v>
      </c>
      <c r="E669" s="218">
        <v>106240</v>
      </c>
      <c r="F669" s="219">
        <v>106240</v>
      </c>
    </row>
    <row r="670" spans="1:6" ht="38.25">
      <c r="A670" s="54" t="s">
        <v>1763</v>
      </c>
      <c r="B670" s="289" t="s">
        <v>810</v>
      </c>
      <c r="C670" s="6" t="s">
        <v>1764</v>
      </c>
      <c r="D670" s="6" t="s">
        <v>1468</v>
      </c>
      <c r="E670" s="218">
        <v>106240</v>
      </c>
      <c r="F670" s="219">
        <v>106240</v>
      </c>
    </row>
    <row r="671" spans="1:6">
      <c r="A671" s="54" t="s">
        <v>1504</v>
      </c>
      <c r="B671" s="289" t="s">
        <v>810</v>
      </c>
      <c r="C671" s="6" t="s">
        <v>1505</v>
      </c>
      <c r="D671" s="6" t="s">
        <v>1468</v>
      </c>
      <c r="E671" s="218">
        <v>106240</v>
      </c>
      <c r="F671" s="219">
        <v>106240</v>
      </c>
    </row>
    <row r="672" spans="1:6">
      <c r="A672" s="54" t="s">
        <v>173</v>
      </c>
      <c r="B672" s="289" t="s">
        <v>810</v>
      </c>
      <c r="C672" s="6" t="s">
        <v>1505</v>
      </c>
      <c r="D672" s="6" t="s">
        <v>1364</v>
      </c>
      <c r="E672" s="218">
        <v>106240</v>
      </c>
      <c r="F672" s="219">
        <v>106240</v>
      </c>
    </row>
    <row r="673" spans="1:6">
      <c r="A673" s="54" t="s">
        <v>1238</v>
      </c>
      <c r="B673" s="289" t="s">
        <v>810</v>
      </c>
      <c r="C673" s="6" t="s">
        <v>1505</v>
      </c>
      <c r="D673" s="6" t="s">
        <v>453</v>
      </c>
      <c r="E673" s="218">
        <v>106240</v>
      </c>
      <c r="F673" s="219">
        <v>106240</v>
      </c>
    </row>
    <row r="674" spans="1:6" ht="89.25">
      <c r="A674" s="54" t="s">
        <v>525</v>
      </c>
      <c r="B674" s="289" t="s">
        <v>927</v>
      </c>
      <c r="C674" s="6" t="s">
        <v>1468</v>
      </c>
      <c r="D674" s="6" t="s">
        <v>1468</v>
      </c>
      <c r="E674" s="218">
        <v>2150000</v>
      </c>
      <c r="F674" s="219">
        <v>2150000</v>
      </c>
    </row>
    <row r="675" spans="1:6">
      <c r="A675" s="54" t="s">
        <v>1765</v>
      </c>
      <c r="B675" s="289" t="s">
        <v>927</v>
      </c>
      <c r="C675" s="6" t="s">
        <v>1766</v>
      </c>
      <c r="D675" s="6" t="s">
        <v>1468</v>
      </c>
      <c r="E675" s="218">
        <v>2150000</v>
      </c>
      <c r="F675" s="219">
        <v>2150000</v>
      </c>
    </row>
    <row r="676" spans="1:6">
      <c r="A676" s="54" t="s">
        <v>94</v>
      </c>
      <c r="B676" s="289" t="s">
        <v>927</v>
      </c>
      <c r="C676" s="6" t="s">
        <v>519</v>
      </c>
      <c r="D676" s="6" t="s">
        <v>1468</v>
      </c>
      <c r="E676" s="218">
        <v>2150000</v>
      </c>
      <c r="F676" s="219">
        <v>2150000</v>
      </c>
    </row>
    <row r="677" spans="1:6">
      <c r="A677" s="54" t="s">
        <v>173</v>
      </c>
      <c r="B677" s="289" t="s">
        <v>927</v>
      </c>
      <c r="C677" s="6" t="s">
        <v>519</v>
      </c>
      <c r="D677" s="6" t="s">
        <v>1364</v>
      </c>
      <c r="E677" s="218">
        <v>2150000</v>
      </c>
      <c r="F677" s="219">
        <v>2150000</v>
      </c>
    </row>
    <row r="678" spans="1:6">
      <c r="A678" s="54" t="s">
        <v>1238</v>
      </c>
      <c r="B678" s="289" t="s">
        <v>927</v>
      </c>
      <c r="C678" s="6" t="s">
        <v>519</v>
      </c>
      <c r="D678" s="6" t="s">
        <v>453</v>
      </c>
      <c r="E678" s="218">
        <v>2150000</v>
      </c>
      <c r="F678" s="219">
        <v>2150000</v>
      </c>
    </row>
    <row r="679" spans="1:6" ht="38.25">
      <c r="A679" s="54" t="s">
        <v>562</v>
      </c>
      <c r="B679" s="289" t="s">
        <v>1246</v>
      </c>
      <c r="C679" s="6" t="s">
        <v>1468</v>
      </c>
      <c r="D679" s="6" t="s">
        <v>1468</v>
      </c>
      <c r="E679" s="218">
        <v>150050</v>
      </c>
      <c r="F679" s="219">
        <v>150050</v>
      </c>
    </row>
    <row r="680" spans="1:6" ht="63.75">
      <c r="A680" s="54" t="s">
        <v>457</v>
      </c>
      <c r="B680" s="289" t="s">
        <v>811</v>
      </c>
      <c r="C680" s="6" t="s">
        <v>1468</v>
      </c>
      <c r="D680" s="6" t="s">
        <v>1468</v>
      </c>
      <c r="E680" s="218">
        <v>150050</v>
      </c>
      <c r="F680" s="219">
        <v>150050</v>
      </c>
    </row>
    <row r="681" spans="1:6" ht="38.25">
      <c r="A681" s="54" t="s">
        <v>1763</v>
      </c>
      <c r="B681" s="289" t="s">
        <v>811</v>
      </c>
      <c r="C681" s="6" t="s">
        <v>1764</v>
      </c>
      <c r="D681" s="6" t="s">
        <v>1468</v>
      </c>
      <c r="E681" s="218">
        <v>150050</v>
      </c>
      <c r="F681" s="219">
        <v>150050</v>
      </c>
    </row>
    <row r="682" spans="1:6">
      <c r="A682" s="54" t="s">
        <v>1504</v>
      </c>
      <c r="B682" s="289" t="s">
        <v>811</v>
      </c>
      <c r="C682" s="6" t="s">
        <v>1505</v>
      </c>
      <c r="D682" s="6" t="s">
        <v>1468</v>
      </c>
      <c r="E682" s="218">
        <v>150050</v>
      </c>
      <c r="F682" s="219">
        <v>150050</v>
      </c>
    </row>
    <row r="683" spans="1:6">
      <c r="A683" s="54" t="s">
        <v>173</v>
      </c>
      <c r="B683" s="289" t="s">
        <v>811</v>
      </c>
      <c r="C683" s="6" t="s">
        <v>1505</v>
      </c>
      <c r="D683" s="6" t="s">
        <v>1364</v>
      </c>
      <c r="E683" s="218">
        <v>150050</v>
      </c>
      <c r="F683" s="219">
        <v>150050</v>
      </c>
    </row>
    <row r="684" spans="1:6">
      <c r="A684" s="54" t="s">
        <v>1238</v>
      </c>
      <c r="B684" s="289" t="s">
        <v>811</v>
      </c>
      <c r="C684" s="6" t="s">
        <v>1505</v>
      </c>
      <c r="D684" s="6" t="s">
        <v>453</v>
      </c>
      <c r="E684" s="218">
        <v>150050</v>
      </c>
      <c r="F684" s="219">
        <v>150050</v>
      </c>
    </row>
    <row r="685" spans="1:6" ht="25.5">
      <c r="A685" s="54" t="s">
        <v>564</v>
      </c>
      <c r="B685" s="289" t="s">
        <v>1126</v>
      </c>
      <c r="C685" s="6" t="s">
        <v>1468</v>
      </c>
      <c r="D685" s="6" t="s">
        <v>1468</v>
      </c>
      <c r="E685" s="218">
        <v>1000000</v>
      </c>
      <c r="F685" s="219">
        <v>1000000</v>
      </c>
    </row>
    <row r="686" spans="1:6" ht="114.75">
      <c r="A686" s="54" t="s">
        <v>495</v>
      </c>
      <c r="B686" s="289" t="s">
        <v>1607</v>
      </c>
      <c r="C686" s="6" t="s">
        <v>1468</v>
      </c>
      <c r="D686" s="6" t="s">
        <v>1468</v>
      </c>
      <c r="E686" s="218">
        <v>1000000</v>
      </c>
      <c r="F686" s="219">
        <v>1000000</v>
      </c>
    </row>
    <row r="687" spans="1:6" ht="25.5">
      <c r="A687" s="54" t="s">
        <v>1759</v>
      </c>
      <c r="B687" s="289" t="s">
        <v>1607</v>
      </c>
      <c r="C687" s="6" t="s">
        <v>1760</v>
      </c>
      <c r="D687" s="6" t="s">
        <v>1468</v>
      </c>
      <c r="E687" s="218">
        <v>1000000</v>
      </c>
      <c r="F687" s="219">
        <v>1000000</v>
      </c>
    </row>
    <row r="688" spans="1:6" ht="38.25">
      <c r="A688" s="54" t="s">
        <v>1506</v>
      </c>
      <c r="B688" s="289" t="s">
        <v>1607</v>
      </c>
      <c r="C688" s="6" t="s">
        <v>666</v>
      </c>
      <c r="D688" s="6" t="s">
        <v>1468</v>
      </c>
      <c r="E688" s="218">
        <v>1000000</v>
      </c>
      <c r="F688" s="219">
        <v>1000000</v>
      </c>
    </row>
    <row r="689" spans="1:6">
      <c r="A689" s="54" t="s">
        <v>174</v>
      </c>
      <c r="B689" s="289" t="s">
        <v>1607</v>
      </c>
      <c r="C689" s="6" t="s">
        <v>666</v>
      </c>
      <c r="D689" s="6" t="s">
        <v>1365</v>
      </c>
      <c r="E689" s="218">
        <v>1000000</v>
      </c>
      <c r="F689" s="219">
        <v>1000000</v>
      </c>
    </row>
    <row r="690" spans="1:6">
      <c r="A690" s="54" t="s">
        <v>127</v>
      </c>
      <c r="B690" s="289" t="s">
        <v>1607</v>
      </c>
      <c r="C690" s="6" t="s">
        <v>666</v>
      </c>
      <c r="D690" s="6" t="s">
        <v>466</v>
      </c>
      <c r="E690" s="218">
        <v>1000000</v>
      </c>
      <c r="F690" s="219">
        <v>1000000</v>
      </c>
    </row>
    <row r="691" spans="1:6" ht="38.25">
      <c r="A691" s="54" t="s">
        <v>540</v>
      </c>
      <c r="B691" s="289" t="s">
        <v>1127</v>
      </c>
      <c r="C691" s="6" t="s">
        <v>1468</v>
      </c>
      <c r="D691" s="6" t="s">
        <v>1468</v>
      </c>
      <c r="E691" s="218">
        <v>7821650</v>
      </c>
      <c r="F691" s="219">
        <v>7821650</v>
      </c>
    </row>
    <row r="692" spans="1:6" ht="127.5">
      <c r="A692" s="54" t="s">
        <v>459</v>
      </c>
      <c r="B692" s="289" t="s">
        <v>813</v>
      </c>
      <c r="C692" s="6" t="s">
        <v>1468</v>
      </c>
      <c r="D692" s="6" t="s">
        <v>1468</v>
      </c>
      <c r="E692" s="218">
        <v>4882550</v>
      </c>
      <c r="F692" s="219">
        <v>4882550</v>
      </c>
    </row>
    <row r="693" spans="1:6" ht="38.25">
      <c r="A693" s="54" t="s">
        <v>1763</v>
      </c>
      <c r="B693" s="289" t="s">
        <v>813</v>
      </c>
      <c r="C693" s="6" t="s">
        <v>1764</v>
      </c>
      <c r="D693" s="6" t="s">
        <v>1468</v>
      </c>
      <c r="E693" s="218">
        <v>4882550</v>
      </c>
      <c r="F693" s="219">
        <v>4882550</v>
      </c>
    </row>
    <row r="694" spans="1:6">
      <c r="A694" s="54" t="s">
        <v>1504</v>
      </c>
      <c r="B694" s="289" t="s">
        <v>813</v>
      </c>
      <c r="C694" s="6" t="s">
        <v>1505</v>
      </c>
      <c r="D694" s="6" t="s">
        <v>1468</v>
      </c>
      <c r="E694" s="218">
        <v>4882550</v>
      </c>
      <c r="F694" s="219">
        <v>4882550</v>
      </c>
    </row>
    <row r="695" spans="1:6">
      <c r="A695" s="54" t="s">
        <v>173</v>
      </c>
      <c r="B695" s="289" t="s">
        <v>813</v>
      </c>
      <c r="C695" s="6" t="s">
        <v>1505</v>
      </c>
      <c r="D695" s="6" t="s">
        <v>1364</v>
      </c>
      <c r="E695" s="218">
        <v>4882550</v>
      </c>
      <c r="F695" s="219">
        <v>4882550</v>
      </c>
    </row>
    <row r="696" spans="1:6">
      <c r="A696" s="54" t="s">
        <v>1238</v>
      </c>
      <c r="B696" s="289" t="s">
        <v>813</v>
      </c>
      <c r="C696" s="6" t="s">
        <v>1505</v>
      </c>
      <c r="D696" s="6" t="s">
        <v>453</v>
      </c>
      <c r="E696" s="218">
        <v>4882550</v>
      </c>
      <c r="F696" s="219">
        <v>4882550</v>
      </c>
    </row>
    <row r="697" spans="1:6" ht="178.5">
      <c r="A697" s="54" t="s">
        <v>460</v>
      </c>
      <c r="B697" s="289" t="s">
        <v>814</v>
      </c>
      <c r="C697" s="6" t="s">
        <v>1468</v>
      </c>
      <c r="D697" s="6" t="s">
        <v>1468</v>
      </c>
      <c r="E697" s="218">
        <v>600000</v>
      </c>
      <c r="F697" s="219">
        <v>600000</v>
      </c>
    </row>
    <row r="698" spans="1:6" ht="38.25">
      <c r="A698" s="54" t="s">
        <v>1763</v>
      </c>
      <c r="B698" s="289" t="s">
        <v>814</v>
      </c>
      <c r="C698" s="6" t="s">
        <v>1764</v>
      </c>
      <c r="D698" s="6" t="s">
        <v>1468</v>
      </c>
      <c r="E698" s="218">
        <v>600000</v>
      </c>
      <c r="F698" s="219">
        <v>600000</v>
      </c>
    </row>
    <row r="699" spans="1:6">
      <c r="A699" s="54" t="s">
        <v>1504</v>
      </c>
      <c r="B699" s="289" t="s">
        <v>814</v>
      </c>
      <c r="C699" s="6" t="s">
        <v>1505</v>
      </c>
      <c r="D699" s="6" t="s">
        <v>1468</v>
      </c>
      <c r="E699" s="218">
        <v>600000</v>
      </c>
      <c r="F699" s="219">
        <v>600000</v>
      </c>
    </row>
    <row r="700" spans="1:6">
      <c r="A700" s="54" t="s">
        <v>173</v>
      </c>
      <c r="B700" s="289" t="s">
        <v>814</v>
      </c>
      <c r="C700" s="6" t="s">
        <v>1505</v>
      </c>
      <c r="D700" s="6" t="s">
        <v>1364</v>
      </c>
      <c r="E700" s="218">
        <v>600000</v>
      </c>
      <c r="F700" s="219">
        <v>600000</v>
      </c>
    </row>
    <row r="701" spans="1:6">
      <c r="A701" s="54" t="s">
        <v>1238</v>
      </c>
      <c r="B701" s="289" t="s">
        <v>814</v>
      </c>
      <c r="C701" s="6" t="s">
        <v>1505</v>
      </c>
      <c r="D701" s="6" t="s">
        <v>453</v>
      </c>
      <c r="E701" s="218">
        <v>600000</v>
      </c>
      <c r="F701" s="219">
        <v>600000</v>
      </c>
    </row>
    <row r="702" spans="1:6" ht="127.5">
      <c r="A702" s="54" t="s">
        <v>1035</v>
      </c>
      <c r="B702" s="289" t="s">
        <v>1034</v>
      </c>
      <c r="C702" s="6" t="s">
        <v>1468</v>
      </c>
      <c r="D702" s="6" t="s">
        <v>1468</v>
      </c>
      <c r="E702" s="218">
        <v>50000</v>
      </c>
      <c r="F702" s="219">
        <v>50000</v>
      </c>
    </row>
    <row r="703" spans="1:6" ht="38.25">
      <c r="A703" s="54" t="s">
        <v>1763</v>
      </c>
      <c r="B703" s="289" t="s">
        <v>1034</v>
      </c>
      <c r="C703" s="6" t="s">
        <v>1764</v>
      </c>
      <c r="D703" s="6" t="s">
        <v>1468</v>
      </c>
      <c r="E703" s="218">
        <v>50000</v>
      </c>
      <c r="F703" s="219">
        <v>50000</v>
      </c>
    </row>
    <row r="704" spans="1:6">
      <c r="A704" s="54" t="s">
        <v>1504</v>
      </c>
      <c r="B704" s="289" t="s">
        <v>1034</v>
      </c>
      <c r="C704" s="6" t="s">
        <v>1505</v>
      </c>
      <c r="D704" s="6" t="s">
        <v>1468</v>
      </c>
      <c r="E704" s="218">
        <v>50000</v>
      </c>
      <c r="F704" s="219">
        <v>50000</v>
      </c>
    </row>
    <row r="705" spans="1:6">
      <c r="A705" s="54" t="s">
        <v>173</v>
      </c>
      <c r="B705" s="289" t="s">
        <v>1034</v>
      </c>
      <c r="C705" s="6" t="s">
        <v>1505</v>
      </c>
      <c r="D705" s="6" t="s">
        <v>1364</v>
      </c>
      <c r="E705" s="218">
        <v>50000</v>
      </c>
      <c r="F705" s="219">
        <v>50000</v>
      </c>
    </row>
    <row r="706" spans="1:6">
      <c r="A706" s="54" t="s">
        <v>1238</v>
      </c>
      <c r="B706" s="289" t="s">
        <v>1034</v>
      </c>
      <c r="C706" s="6" t="s">
        <v>1505</v>
      </c>
      <c r="D706" s="6" t="s">
        <v>453</v>
      </c>
      <c r="E706" s="218">
        <v>50000</v>
      </c>
      <c r="F706" s="219">
        <v>50000</v>
      </c>
    </row>
    <row r="707" spans="1:6" ht="102">
      <c r="A707" s="54" t="s">
        <v>1553</v>
      </c>
      <c r="B707" s="289" t="s">
        <v>1554</v>
      </c>
      <c r="C707" s="6" t="s">
        <v>1468</v>
      </c>
      <c r="D707" s="6" t="s">
        <v>1468</v>
      </c>
      <c r="E707" s="218">
        <v>996700</v>
      </c>
      <c r="F707" s="219">
        <v>996700</v>
      </c>
    </row>
    <row r="708" spans="1:6" ht="38.25">
      <c r="A708" s="54" t="s">
        <v>1763</v>
      </c>
      <c r="B708" s="289" t="s">
        <v>1554</v>
      </c>
      <c r="C708" s="6" t="s">
        <v>1764</v>
      </c>
      <c r="D708" s="6" t="s">
        <v>1468</v>
      </c>
      <c r="E708" s="218">
        <v>996700</v>
      </c>
      <c r="F708" s="219">
        <v>996700</v>
      </c>
    </row>
    <row r="709" spans="1:6">
      <c r="A709" s="54" t="s">
        <v>1504</v>
      </c>
      <c r="B709" s="289" t="s">
        <v>1554</v>
      </c>
      <c r="C709" s="6" t="s">
        <v>1505</v>
      </c>
      <c r="D709" s="6" t="s">
        <v>1468</v>
      </c>
      <c r="E709" s="218">
        <v>996700</v>
      </c>
      <c r="F709" s="219">
        <v>996700</v>
      </c>
    </row>
    <row r="710" spans="1:6">
      <c r="A710" s="54" t="s">
        <v>173</v>
      </c>
      <c r="B710" s="289" t="s">
        <v>1554</v>
      </c>
      <c r="C710" s="6" t="s">
        <v>1505</v>
      </c>
      <c r="D710" s="6" t="s">
        <v>1364</v>
      </c>
      <c r="E710" s="218">
        <v>996700</v>
      </c>
      <c r="F710" s="219">
        <v>996700</v>
      </c>
    </row>
    <row r="711" spans="1:6">
      <c r="A711" s="54" t="s">
        <v>1238</v>
      </c>
      <c r="B711" s="289" t="s">
        <v>1554</v>
      </c>
      <c r="C711" s="6" t="s">
        <v>1505</v>
      </c>
      <c r="D711" s="6" t="s">
        <v>453</v>
      </c>
      <c r="E711" s="218">
        <v>996700</v>
      </c>
      <c r="F711" s="219">
        <v>996700</v>
      </c>
    </row>
    <row r="712" spans="1:6" ht="89.25">
      <c r="A712" s="54" t="s">
        <v>1555</v>
      </c>
      <c r="B712" s="289" t="s">
        <v>1556</v>
      </c>
      <c r="C712" s="6" t="s">
        <v>1468</v>
      </c>
      <c r="D712" s="6" t="s">
        <v>1468</v>
      </c>
      <c r="E712" s="218">
        <v>230000</v>
      </c>
      <c r="F712" s="219">
        <v>230000</v>
      </c>
    </row>
    <row r="713" spans="1:6" ht="38.25">
      <c r="A713" s="54" t="s">
        <v>1763</v>
      </c>
      <c r="B713" s="289" t="s">
        <v>1556</v>
      </c>
      <c r="C713" s="6" t="s">
        <v>1764</v>
      </c>
      <c r="D713" s="6" t="s">
        <v>1468</v>
      </c>
      <c r="E713" s="218">
        <v>230000</v>
      </c>
      <c r="F713" s="219">
        <v>230000</v>
      </c>
    </row>
    <row r="714" spans="1:6">
      <c r="A714" s="54" t="s">
        <v>1504</v>
      </c>
      <c r="B714" s="289" t="s">
        <v>1556</v>
      </c>
      <c r="C714" s="6" t="s">
        <v>1505</v>
      </c>
      <c r="D714" s="6" t="s">
        <v>1468</v>
      </c>
      <c r="E714" s="218">
        <v>230000</v>
      </c>
      <c r="F714" s="219">
        <v>230000</v>
      </c>
    </row>
    <row r="715" spans="1:6">
      <c r="A715" s="54" t="s">
        <v>173</v>
      </c>
      <c r="B715" s="289" t="s">
        <v>1556</v>
      </c>
      <c r="C715" s="6" t="s">
        <v>1505</v>
      </c>
      <c r="D715" s="6" t="s">
        <v>1364</v>
      </c>
      <c r="E715" s="218">
        <v>230000</v>
      </c>
      <c r="F715" s="219">
        <v>230000</v>
      </c>
    </row>
    <row r="716" spans="1:6">
      <c r="A716" s="54" t="s">
        <v>1238</v>
      </c>
      <c r="B716" s="289" t="s">
        <v>1556</v>
      </c>
      <c r="C716" s="6" t="s">
        <v>1505</v>
      </c>
      <c r="D716" s="6" t="s">
        <v>453</v>
      </c>
      <c r="E716" s="218">
        <v>230000</v>
      </c>
      <c r="F716" s="219">
        <v>230000</v>
      </c>
    </row>
    <row r="717" spans="1:6" ht="76.5">
      <c r="A717" s="54" t="s">
        <v>458</v>
      </c>
      <c r="B717" s="289" t="s">
        <v>812</v>
      </c>
      <c r="C717" s="6" t="s">
        <v>1468</v>
      </c>
      <c r="D717" s="6" t="s">
        <v>1468</v>
      </c>
      <c r="E717" s="218">
        <v>1062400</v>
      </c>
      <c r="F717" s="219">
        <v>1062400</v>
      </c>
    </row>
    <row r="718" spans="1:6" ht="38.25">
      <c r="A718" s="54" t="s">
        <v>1763</v>
      </c>
      <c r="B718" s="289" t="s">
        <v>812</v>
      </c>
      <c r="C718" s="6" t="s">
        <v>1764</v>
      </c>
      <c r="D718" s="6" t="s">
        <v>1468</v>
      </c>
      <c r="E718" s="218">
        <v>1062400</v>
      </c>
      <c r="F718" s="219">
        <v>1062400</v>
      </c>
    </row>
    <row r="719" spans="1:6">
      <c r="A719" s="54" t="s">
        <v>1504</v>
      </c>
      <c r="B719" s="289" t="s">
        <v>812</v>
      </c>
      <c r="C719" s="6" t="s">
        <v>1505</v>
      </c>
      <c r="D719" s="6" t="s">
        <v>1468</v>
      </c>
      <c r="E719" s="218">
        <v>1062400</v>
      </c>
      <c r="F719" s="219">
        <v>1062400</v>
      </c>
    </row>
    <row r="720" spans="1:6">
      <c r="A720" s="54" t="s">
        <v>173</v>
      </c>
      <c r="B720" s="289" t="s">
        <v>812</v>
      </c>
      <c r="C720" s="6" t="s">
        <v>1505</v>
      </c>
      <c r="D720" s="6" t="s">
        <v>1364</v>
      </c>
      <c r="E720" s="218">
        <v>1062400</v>
      </c>
      <c r="F720" s="219">
        <v>1062400</v>
      </c>
    </row>
    <row r="721" spans="1:6">
      <c r="A721" s="54" t="s">
        <v>1238</v>
      </c>
      <c r="B721" s="289" t="s">
        <v>812</v>
      </c>
      <c r="C721" s="6" t="s">
        <v>1505</v>
      </c>
      <c r="D721" s="6" t="s">
        <v>453</v>
      </c>
      <c r="E721" s="218">
        <v>1062400</v>
      </c>
      <c r="F721" s="219">
        <v>1062400</v>
      </c>
    </row>
    <row r="722" spans="1:6" ht="38.25">
      <c r="A722" s="54" t="s">
        <v>567</v>
      </c>
      <c r="B722" s="289" t="s">
        <v>1128</v>
      </c>
      <c r="C722" s="6" t="s">
        <v>1468</v>
      </c>
      <c r="D722" s="6" t="s">
        <v>1468</v>
      </c>
      <c r="E722" s="218">
        <v>7611700</v>
      </c>
      <c r="F722" s="219">
        <v>7611700</v>
      </c>
    </row>
    <row r="723" spans="1:6" ht="25.5">
      <c r="A723" s="54" t="s">
        <v>568</v>
      </c>
      <c r="B723" s="289" t="s">
        <v>1129</v>
      </c>
      <c r="C723" s="6" t="s">
        <v>1468</v>
      </c>
      <c r="D723" s="6" t="s">
        <v>1468</v>
      </c>
      <c r="E723" s="218">
        <v>7411700</v>
      </c>
      <c r="F723" s="219">
        <v>7411700</v>
      </c>
    </row>
    <row r="724" spans="1:6" ht="140.25">
      <c r="A724" s="54" t="s">
        <v>1471</v>
      </c>
      <c r="B724" s="289" t="s">
        <v>1472</v>
      </c>
      <c r="C724" s="6" t="s">
        <v>1468</v>
      </c>
      <c r="D724" s="6" t="s">
        <v>1468</v>
      </c>
      <c r="E724" s="218">
        <v>4060274</v>
      </c>
      <c r="F724" s="219">
        <v>4060274</v>
      </c>
    </row>
    <row r="725" spans="1:6" ht="38.25">
      <c r="A725" s="54" t="s">
        <v>1763</v>
      </c>
      <c r="B725" s="289" t="s">
        <v>1472</v>
      </c>
      <c r="C725" s="6" t="s">
        <v>1764</v>
      </c>
      <c r="D725" s="6" t="s">
        <v>1468</v>
      </c>
      <c r="E725" s="218">
        <v>4060274</v>
      </c>
      <c r="F725" s="219">
        <v>4060274</v>
      </c>
    </row>
    <row r="726" spans="1:6">
      <c r="A726" s="54" t="s">
        <v>1504</v>
      </c>
      <c r="B726" s="289" t="s">
        <v>1472</v>
      </c>
      <c r="C726" s="6" t="s">
        <v>1505</v>
      </c>
      <c r="D726" s="6" t="s">
        <v>1468</v>
      </c>
      <c r="E726" s="218">
        <v>4060274</v>
      </c>
      <c r="F726" s="219">
        <v>4060274</v>
      </c>
    </row>
    <row r="727" spans="1:6">
      <c r="A727" s="54" t="s">
        <v>292</v>
      </c>
      <c r="B727" s="289" t="s">
        <v>1472</v>
      </c>
      <c r="C727" s="6" t="s">
        <v>1505</v>
      </c>
      <c r="D727" s="6" t="s">
        <v>1366</v>
      </c>
      <c r="E727" s="218">
        <v>4060274</v>
      </c>
      <c r="F727" s="219">
        <v>4060274</v>
      </c>
    </row>
    <row r="728" spans="1:6">
      <c r="A728" s="54" t="s">
        <v>1588</v>
      </c>
      <c r="B728" s="289" t="s">
        <v>1472</v>
      </c>
      <c r="C728" s="6" t="s">
        <v>1505</v>
      </c>
      <c r="D728" s="6" t="s">
        <v>1589</v>
      </c>
      <c r="E728" s="218">
        <v>4060274</v>
      </c>
      <c r="F728" s="219">
        <v>4060274</v>
      </c>
    </row>
    <row r="729" spans="1:6" ht="191.25">
      <c r="A729" s="54" t="s">
        <v>1473</v>
      </c>
      <c r="B729" s="289" t="s">
        <v>1474</v>
      </c>
      <c r="C729" s="6" t="s">
        <v>1468</v>
      </c>
      <c r="D729" s="6" t="s">
        <v>1468</v>
      </c>
      <c r="E729" s="218">
        <v>280000</v>
      </c>
      <c r="F729" s="219">
        <v>280000</v>
      </c>
    </row>
    <row r="730" spans="1:6" ht="38.25">
      <c r="A730" s="54" t="s">
        <v>1763</v>
      </c>
      <c r="B730" s="289" t="s">
        <v>1474</v>
      </c>
      <c r="C730" s="6" t="s">
        <v>1764</v>
      </c>
      <c r="D730" s="6" t="s">
        <v>1468</v>
      </c>
      <c r="E730" s="218">
        <v>280000</v>
      </c>
      <c r="F730" s="219">
        <v>280000</v>
      </c>
    </row>
    <row r="731" spans="1:6">
      <c r="A731" s="54" t="s">
        <v>1504</v>
      </c>
      <c r="B731" s="289" t="s">
        <v>1474</v>
      </c>
      <c r="C731" s="6" t="s">
        <v>1505</v>
      </c>
      <c r="D731" s="6" t="s">
        <v>1468</v>
      </c>
      <c r="E731" s="218">
        <v>280000</v>
      </c>
      <c r="F731" s="219">
        <v>280000</v>
      </c>
    </row>
    <row r="732" spans="1:6">
      <c r="A732" s="54" t="s">
        <v>292</v>
      </c>
      <c r="B732" s="289" t="s">
        <v>1474</v>
      </c>
      <c r="C732" s="6" t="s">
        <v>1505</v>
      </c>
      <c r="D732" s="6" t="s">
        <v>1366</v>
      </c>
      <c r="E732" s="218">
        <v>280000</v>
      </c>
      <c r="F732" s="219">
        <v>280000</v>
      </c>
    </row>
    <row r="733" spans="1:6">
      <c r="A733" s="54" t="s">
        <v>1588</v>
      </c>
      <c r="B733" s="289" t="s">
        <v>1474</v>
      </c>
      <c r="C733" s="6" t="s">
        <v>1505</v>
      </c>
      <c r="D733" s="6" t="s">
        <v>1589</v>
      </c>
      <c r="E733" s="218">
        <v>280000</v>
      </c>
      <c r="F733" s="219">
        <v>280000</v>
      </c>
    </row>
    <row r="734" spans="1:6" ht="140.25">
      <c r="A734" s="54" t="s">
        <v>1475</v>
      </c>
      <c r="B734" s="289" t="s">
        <v>1476</v>
      </c>
      <c r="C734" s="6" t="s">
        <v>1468</v>
      </c>
      <c r="D734" s="6" t="s">
        <v>1468</v>
      </c>
      <c r="E734" s="218">
        <v>30000</v>
      </c>
      <c r="F734" s="219">
        <v>30000</v>
      </c>
    </row>
    <row r="735" spans="1:6" ht="38.25">
      <c r="A735" s="54" t="s">
        <v>1763</v>
      </c>
      <c r="B735" s="289" t="s">
        <v>1476</v>
      </c>
      <c r="C735" s="6" t="s">
        <v>1764</v>
      </c>
      <c r="D735" s="6" t="s">
        <v>1468</v>
      </c>
      <c r="E735" s="218">
        <v>30000</v>
      </c>
      <c r="F735" s="219">
        <v>30000</v>
      </c>
    </row>
    <row r="736" spans="1:6">
      <c r="A736" s="54" t="s">
        <v>1504</v>
      </c>
      <c r="B736" s="289" t="s">
        <v>1476</v>
      </c>
      <c r="C736" s="6" t="s">
        <v>1505</v>
      </c>
      <c r="D736" s="6" t="s">
        <v>1468</v>
      </c>
      <c r="E736" s="218">
        <v>30000</v>
      </c>
      <c r="F736" s="219">
        <v>30000</v>
      </c>
    </row>
    <row r="737" spans="1:6">
      <c r="A737" s="54" t="s">
        <v>292</v>
      </c>
      <c r="B737" s="289" t="s">
        <v>1476</v>
      </c>
      <c r="C737" s="6" t="s">
        <v>1505</v>
      </c>
      <c r="D737" s="6" t="s">
        <v>1366</v>
      </c>
      <c r="E737" s="218">
        <v>30000</v>
      </c>
      <c r="F737" s="219">
        <v>30000</v>
      </c>
    </row>
    <row r="738" spans="1:6">
      <c r="A738" s="54" t="s">
        <v>1588</v>
      </c>
      <c r="B738" s="289" t="s">
        <v>1476</v>
      </c>
      <c r="C738" s="6" t="s">
        <v>1505</v>
      </c>
      <c r="D738" s="6" t="s">
        <v>1589</v>
      </c>
      <c r="E738" s="218">
        <v>30000</v>
      </c>
      <c r="F738" s="219">
        <v>30000</v>
      </c>
    </row>
    <row r="739" spans="1:6" ht="140.25">
      <c r="A739" s="54" t="s">
        <v>1477</v>
      </c>
      <c r="B739" s="289" t="s">
        <v>1478</v>
      </c>
      <c r="C739" s="6" t="s">
        <v>1468</v>
      </c>
      <c r="D739" s="6" t="s">
        <v>1468</v>
      </c>
      <c r="E739" s="218">
        <v>706400</v>
      </c>
      <c r="F739" s="219">
        <v>706400</v>
      </c>
    </row>
    <row r="740" spans="1:6" ht="38.25">
      <c r="A740" s="54" t="s">
        <v>1763</v>
      </c>
      <c r="B740" s="289" t="s">
        <v>1478</v>
      </c>
      <c r="C740" s="6" t="s">
        <v>1764</v>
      </c>
      <c r="D740" s="6" t="s">
        <v>1468</v>
      </c>
      <c r="E740" s="218">
        <v>706400</v>
      </c>
      <c r="F740" s="219">
        <v>706400</v>
      </c>
    </row>
    <row r="741" spans="1:6">
      <c r="A741" s="54" t="s">
        <v>1504</v>
      </c>
      <c r="B741" s="289" t="s">
        <v>1478</v>
      </c>
      <c r="C741" s="6" t="s">
        <v>1505</v>
      </c>
      <c r="D741" s="6" t="s">
        <v>1468</v>
      </c>
      <c r="E741" s="218">
        <v>706400</v>
      </c>
      <c r="F741" s="219">
        <v>706400</v>
      </c>
    </row>
    <row r="742" spans="1:6">
      <c r="A742" s="54" t="s">
        <v>292</v>
      </c>
      <c r="B742" s="289" t="s">
        <v>1478</v>
      </c>
      <c r="C742" s="6" t="s">
        <v>1505</v>
      </c>
      <c r="D742" s="6" t="s">
        <v>1366</v>
      </c>
      <c r="E742" s="218">
        <v>706400</v>
      </c>
      <c r="F742" s="219">
        <v>706400</v>
      </c>
    </row>
    <row r="743" spans="1:6">
      <c r="A743" s="54" t="s">
        <v>1588</v>
      </c>
      <c r="B743" s="289" t="s">
        <v>1478</v>
      </c>
      <c r="C743" s="6" t="s">
        <v>1505</v>
      </c>
      <c r="D743" s="6" t="s">
        <v>1589</v>
      </c>
      <c r="E743" s="218">
        <v>706400</v>
      </c>
      <c r="F743" s="219">
        <v>706400</v>
      </c>
    </row>
    <row r="744" spans="1:6" ht="127.5">
      <c r="A744" s="54" t="s">
        <v>1479</v>
      </c>
      <c r="B744" s="289" t="s">
        <v>1480</v>
      </c>
      <c r="C744" s="6" t="s">
        <v>1468</v>
      </c>
      <c r="D744" s="6" t="s">
        <v>1468</v>
      </c>
      <c r="E744" s="218">
        <v>200000</v>
      </c>
      <c r="F744" s="219">
        <v>200000</v>
      </c>
    </row>
    <row r="745" spans="1:6" ht="38.25">
      <c r="A745" s="54" t="s">
        <v>1763</v>
      </c>
      <c r="B745" s="289" t="s">
        <v>1480</v>
      </c>
      <c r="C745" s="6" t="s">
        <v>1764</v>
      </c>
      <c r="D745" s="6" t="s">
        <v>1468</v>
      </c>
      <c r="E745" s="218">
        <v>200000</v>
      </c>
      <c r="F745" s="219">
        <v>200000</v>
      </c>
    </row>
    <row r="746" spans="1:6">
      <c r="A746" s="54" t="s">
        <v>1504</v>
      </c>
      <c r="B746" s="289" t="s">
        <v>1480</v>
      </c>
      <c r="C746" s="6" t="s">
        <v>1505</v>
      </c>
      <c r="D746" s="6" t="s">
        <v>1468</v>
      </c>
      <c r="E746" s="218">
        <v>200000</v>
      </c>
      <c r="F746" s="219">
        <v>200000</v>
      </c>
    </row>
    <row r="747" spans="1:6">
      <c r="A747" s="54" t="s">
        <v>292</v>
      </c>
      <c r="B747" s="289" t="s">
        <v>1480</v>
      </c>
      <c r="C747" s="6" t="s">
        <v>1505</v>
      </c>
      <c r="D747" s="6" t="s">
        <v>1366</v>
      </c>
      <c r="E747" s="218">
        <v>200000</v>
      </c>
      <c r="F747" s="219">
        <v>200000</v>
      </c>
    </row>
    <row r="748" spans="1:6">
      <c r="A748" s="54" t="s">
        <v>1588</v>
      </c>
      <c r="B748" s="289" t="s">
        <v>1480</v>
      </c>
      <c r="C748" s="6" t="s">
        <v>1505</v>
      </c>
      <c r="D748" s="6" t="s">
        <v>1589</v>
      </c>
      <c r="E748" s="218">
        <v>200000</v>
      </c>
      <c r="F748" s="219">
        <v>200000</v>
      </c>
    </row>
    <row r="749" spans="1:6" ht="102">
      <c r="A749" s="54" t="s">
        <v>470</v>
      </c>
      <c r="B749" s="289" t="s">
        <v>816</v>
      </c>
      <c r="C749" s="6" t="s">
        <v>1468</v>
      </c>
      <c r="D749" s="6" t="s">
        <v>1468</v>
      </c>
      <c r="E749" s="218">
        <v>600000</v>
      </c>
      <c r="F749" s="219">
        <v>600000</v>
      </c>
    </row>
    <row r="750" spans="1:6" ht="38.25">
      <c r="A750" s="54" t="s">
        <v>1763</v>
      </c>
      <c r="B750" s="289" t="s">
        <v>816</v>
      </c>
      <c r="C750" s="6" t="s">
        <v>1764</v>
      </c>
      <c r="D750" s="6" t="s">
        <v>1468</v>
      </c>
      <c r="E750" s="218">
        <v>600000</v>
      </c>
      <c r="F750" s="219">
        <v>600000</v>
      </c>
    </row>
    <row r="751" spans="1:6">
      <c r="A751" s="54" t="s">
        <v>1504</v>
      </c>
      <c r="B751" s="289" t="s">
        <v>816</v>
      </c>
      <c r="C751" s="6" t="s">
        <v>1505</v>
      </c>
      <c r="D751" s="6" t="s">
        <v>1468</v>
      </c>
      <c r="E751" s="218">
        <v>600000</v>
      </c>
      <c r="F751" s="219">
        <v>600000</v>
      </c>
    </row>
    <row r="752" spans="1:6">
      <c r="A752" s="54" t="s">
        <v>292</v>
      </c>
      <c r="B752" s="289" t="s">
        <v>816</v>
      </c>
      <c r="C752" s="6" t="s">
        <v>1505</v>
      </c>
      <c r="D752" s="6" t="s">
        <v>1366</v>
      </c>
      <c r="E752" s="218">
        <v>600000</v>
      </c>
      <c r="F752" s="219">
        <v>600000</v>
      </c>
    </row>
    <row r="753" spans="1:6">
      <c r="A753" s="54" t="s">
        <v>254</v>
      </c>
      <c r="B753" s="289" t="s">
        <v>816</v>
      </c>
      <c r="C753" s="6" t="s">
        <v>1505</v>
      </c>
      <c r="D753" s="6" t="s">
        <v>469</v>
      </c>
      <c r="E753" s="218">
        <v>600000</v>
      </c>
      <c r="F753" s="219">
        <v>600000</v>
      </c>
    </row>
    <row r="754" spans="1:6" ht="102">
      <c r="A754" s="54" t="s">
        <v>471</v>
      </c>
      <c r="B754" s="289" t="s">
        <v>817</v>
      </c>
      <c r="C754" s="6" t="s">
        <v>1468</v>
      </c>
      <c r="D754" s="6" t="s">
        <v>1468</v>
      </c>
      <c r="E754" s="218">
        <v>800000</v>
      </c>
      <c r="F754" s="219">
        <v>800000</v>
      </c>
    </row>
    <row r="755" spans="1:6" ht="38.25">
      <c r="A755" s="54" t="s">
        <v>1763</v>
      </c>
      <c r="B755" s="289" t="s">
        <v>817</v>
      </c>
      <c r="C755" s="6" t="s">
        <v>1764</v>
      </c>
      <c r="D755" s="6" t="s">
        <v>1468</v>
      </c>
      <c r="E755" s="218">
        <v>800000</v>
      </c>
      <c r="F755" s="219">
        <v>800000</v>
      </c>
    </row>
    <row r="756" spans="1:6">
      <c r="A756" s="54" t="s">
        <v>1504</v>
      </c>
      <c r="B756" s="289" t="s">
        <v>817</v>
      </c>
      <c r="C756" s="6" t="s">
        <v>1505</v>
      </c>
      <c r="D756" s="6" t="s">
        <v>1468</v>
      </c>
      <c r="E756" s="218">
        <v>800000</v>
      </c>
      <c r="F756" s="219">
        <v>800000</v>
      </c>
    </row>
    <row r="757" spans="1:6">
      <c r="A757" s="54" t="s">
        <v>292</v>
      </c>
      <c r="B757" s="289" t="s">
        <v>817</v>
      </c>
      <c r="C757" s="6" t="s">
        <v>1505</v>
      </c>
      <c r="D757" s="6" t="s">
        <v>1366</v>
      </c>
      <c r="E757" s="218">
        <v>800000</v>
      </c>
      <c r="F757" s="219">
        <v>800000</v>
      </c>
    </row>
    <row r="758" spans="1:6">
      <c r="A758" s="54" t="s">
        <v>254</v>
      </c>
      <c r="B758" s="289" t="s">
        <v>817</v>
      </c>
      <c r="C758" s="6" t="s">
        <v>1505</v>
      </c>
      <c r="D758" s="6" t="s">
        <v>469</v>
      </c>
      <c r="E758" s="218">
        <v>800000</v>
      </c>
      <c r="F758" s="219">
        <v>800000</v>
      </c>
    </row>
    <row r="759" spans="1:6" ht="89.25">
      <c r="A759" s="54" t="s">
        <v>1557</v>
      </c>
      <c r="B759" s="289" t="s">
        <v>1558</v>
      </c>
      <c r="C759" s="6" t="s">
        <v>1468</v>
      </c>
      <c r="D759" s="6" t="s">
        <v>1468</v>
      </c>
      <c r="E759" s="218">
        <v>47026</v>
      </c>
      <c r="F759" s="219">
        <v>47026</v>
      </c>
    </row>
    <row r="760" spans="1:6" ht="38.25">
      <c r="A760" s="54" t="s">
        <v>1763</v>
      </c>
      <c r="B760" s="289" t="s">
        <v>1558</v>
      </c>
      <c r="C760" s="6" t="s">
        <v>1764</v>
      </c>
      <c r="D760" s="6" t="s">
        <v>1468</v>
      </c>
      <c r="E760" s="218">
        <v>47026</v>
      </c>
      <c r="F760" s="219">
        <v>47026</v>
      </c>
    </row>
    <row r="761" spans="1:6">
      <c r="A761" s="54" t="s">
        <v>1504</v>
      </c>
      <c r="B761" s="289" t="s">
        <v>1558</v>
      </c>
      <c r="C761" s="6" t="s">
        <v>1505</v>
      </c>
      <c r="D761" s="6" t="s">
        <v>1468</v>
      </c>
      <c r="E761" s="218">
        <v>47026</v>
      </c>
      <c r="F761" s="219">
        <v>47026</v>
      </c>
    </row>
    <row r="762" spans="1:6">
      <c r="A762" s="54" t="s">
        <v>292</v>
      </c>
      <c r="B762" s="289" t="s">
        <v>1558</v>
      </c>
      <c r="C762" s="6" t="s">
        <v>1505</v>
      </c>
      <c r="D762" s="6" t="s">
        <v>1366</v>
      </c>
      <c r="E762" s="218">
        <v>47026</v>
      </c>
      <c r="F762" s="219">
        <v>47026</v>
      </c>
    </row>
    <row r="763" spans="1:6">
      <c r="A763" s="54" t="s">
        <v>254</v>
      </c>
      <c r="B763" s="289" t="s">
        <v>1558</v>
      </c>
      <c r="C763" s="6" t="s">
        <v>1505</v>
      </c>
      <c r="D763" s="6" t="s">
        <v>469</v>
      </c>
      <c r="E763" s="218">
        <v>47026</v>
      </c>
      <c r="F763" s="219">
        <v>47026</v>
      </c>
    </row>
    <row r="764" spans="1:6" ht="102">
      <c r="A764" s="54" t="s">
        <v>1481</v>
      </c>
      <c r="B764" s="289" t="s">
        <v>1482</v>
      </c>
      <c r="C764" s="6" t="s">
        <v>1468</v>
      </c>
      <c r="D764" s="6" t="s">
        <v>1468</v>
      </c>
      <c r="E764" s="218">
        <v>688000</v>
      </c>
      <c r="F764" s="219">
        <v>688000</v>
      </c>
    </row>
    <row r="765" spans="1:6" ht="38.25">
      <c r="A765" s="54" t="s">
        <v>1763</v>
      </c>
      <c r="B765" s="289" t="s">
        <v>1482</v>
      </c>
      <c r="C765" s="6" t="s">
        <v>1764</v>
      </c>
      <c r="D765" s="6" t="s">
        <v>1468</v>
      </c>
      <c r="E765" s="218">
        <v>688000</v>
      </c>
      <c r="F765" s="219">
        <v>688000</v>
      </c>
    </row>
    <row r="766" spans="1:6">
      <c r="A766" s="54" t="s">
        <v>1504</v>
      </c>
      <c r="B766" s="289" t="s">
        <v>1482</v>
      </c>
      <c r="C766" s="6" t="s">
        <v>1505</v>
      </c>
      <c r="D766" s="6" t="s">
        <v>1468</v>
      </c>
      <c r="E766" s="218">
        <v>688000</v>
      </c>
      <c r="F766" s="219">
        <v>688000</v>
      </c>
    </row>
    <row r="767" spans="1:6">
      <c r="A767" s="54" t="s">
        <v>292</v>
      </c>
      <c r="B767" s="289" t="s">
        <v>1482</v>
      </c>
      <c r="C767" s="6" t="s">
        <v>1505</v>
      </c>
      <c r="D767" s="6" t="s">
        <v>1366</v>
      </c>
      <c r="E767" s="218">
        <v>688000</v>
      </c>
      <c r="F767" s="219">
        <v>688000</v>
      </c>
    </row>
    <row r="768" spans="1:6">
      <c r="A768" s="54" t="s">
        <v>1588</v>
      </c>
      <c r="B768" s="289" t="s">
        <v>1482</v>
      </c>
      <c r="C768" s="6" t="s">
        <v>1505</v>
      </c>
      <c r="D768" s="6" t="s">
        <v>1589</v>
      </c>
      <c r="E768" s="218">
        <v>688000</v>
      </c>
      <c r="F768" s="219">
        <v>688000</v>
      </c>
    </row>
    <row r="769" spans="1:6" ht="25.5">
      <c r="A769" s="54" t="s">
        <v>570</v>
      </c>
      <c r="B769" s="289" t="s">
        <v>1130</v>
      </c>
      <c r="C769" s="6" t="s">
        <v>1468</v>
      </c>
      <c r="D769" s="6" t="s">
        <v>1468</v>
      </c>
      <c r="E769" s="218">
        <v>200000</v>
      </c>
      <c r="F769" s="219">
        <v>200000</v>
      </c>
    </row>
    <row r="770" spans="1:6" ht="102">
      <c r="A770" s="54" t="s">
        <v>598</v>
      </c>
      <c r="B770" s="289" t="s">
        <v>818</v>
      </c>
      <c r="C770" s="6" t="s">
        <v>1468</v>
      </c>
      <c r="D770" s="6" t="s">
        <v>1468</v>
      </c>
      <c r="E770" s="218">
        <v>16900</v>
      </c>
      <c r="F770" s="219">
        <v>16900</v>
      </c>
    </row>
    <row r="771" spans="1:6" ht="38.25">
      <c r="A771" s="54" t="s">
        <v>1763</v>
      </c>
      <c r="B771" s="289" t="s">
        <v>818</v>
      </c>
      <c r="C771" s="6" t="s">
        <v>1764</v>
      </c>
      <c r="D771" s="6" t="s">
        <v>1468</v>
      </c>
      <c r="E771" s="218">
        <v>16900</v>
      </c>
      <c r="F771" s="219">
        <v>16900</v>
      </c>
    </row>
    <row r="772" spans="1:6">
      <c r="A772" s="54" t="s">
        <v>1504</v>
      </c>
      <c r="B772" s="289" t="s">
        <v>818</v>
      </c>
      <c r="C772" s="6" t="s">
        <v>1505</v>
      </c>
      <c r="D772" s="6" t="s">
        <v>1468</v>
      </c>
      <c r="E772" s="218">
        <v>16900</v>
      </c>
      <c r="F772" s="219">
        <v>16900</v>
      </c>
    </row>
    <row r="773" spans="1:6">
      <c r="A773" s="54" t="s">
        <v>292</v>
      </c>
      <c r="B773" s="289" t="s">
        <v>818</v>
      </c>
      <c r="C773" s="6" t="s">
        <v>1505</v>
      </c>
      <c r="D773" s="6" t="s">
        <v>1366</v>
      </c>
      <c r="E773" s="218">
        <v>16900</v>
      </c>
      <c r="F773" s="219">
        <v>16900</v>
      </c>
    </row>
    <row r="774" spans="1:6">
      <c r="A774" s="54" t="s">
        <v>254</v>
      </c>
      <c r="B774" s="289" t="s">
        <v>818</v>
      </c>
      <c r="C774" s="6" t="s">
        <v>1505</v>
      </c>
      <c r="D774" s="6" t="s">
        <v>469</v>
      </c>
      <c r="E774" s="218">
        <v>16900</v>
      </c>
      <c r="F774" s="219">
        <v>16900</v>
      </c>
    </row>
    <row r="775" spans="1:6" ht="89.25">
      <c r="A775" s="54" t="s">
        <v>472</v>
      </c>
      <c r="B775" s="289" t="s">
        <v>819</v>
      </c>
      <c r="C775" s="6" t="s">
        <v>1468</v>
      </c>
      <c r="D775" s="6" t="s">
        <v>1468</v>
      </c>
      <c r="E775" s="218">
        <v>176400</v>
      </c>
      <c r="F775" s="219">
        <v>176400</v>
      </c>
    </row>
    <row r="776" spans="1:6" ht="38.25">
      <c r="A776" s="54" t="s">
        <v>1763</v>
      </c>
      <c r="B776" s="289" t="s">
        <v>819</v>
      </c>
      <c r="C776" s="6" t="s">
        <v>1764</v>
      </c>
      <c r="D776" s="6" t="s">
        <v>1468</v>
      </c>
      <c r="E776" s="218">
        <v>176400</v>
      </c>
      <c r="F776" s="219">
        <v>176400</v>
      </c>
    </row>
    <row r="777" spans="1:6">
      <c r="A777" s="54" t="s">
        <v>1504</v>
      </c>
      <c r="B777" s="289" t="s">
        <v>819</v>
      </c>
      <c r="C777" s="6" t="s">
        <v>1505</v>
      </c>
      <c r="D777" s="6" t="s">
        <v>1468</v>
      </c>
      <c r="E777" s="218">
        <v>176400</v>
      </c>
      <c r="F777" s="219">
        <v>176400</v>
      </c>
    </row>
    <row r="778" spans="1:6">
      <c r="A778" s="54" t="s">
        <v>292</v>
      </c>
      <c r="B778" s="289" t="s">
        <v>819</v>
      </c>
      <c r="C778" s="6" t="s">
        <v>1505</v>
      </c>
      <c r="D778" s="6" t="s">
        <v>1366</v>
      </c>
      <c r="E778" s="218">
        <v>176400</v>
      </c>
      <c r="F778" s="219">
        <v>176400</v>
      </c>
    </row>
    <row r="779" spans="1:6">
      <c r="A779" s="54" t="s">
        <v>254</v>
      </c>
      <c r="B779" s="289" t="s">
        <v>819</v>
      </c>
      <c r="C779" s="6" t="s">
        <v>1505</v>
      </c>
      <c r="D779" s="6" t="s">
        <v>469</v>
      </c>
      <c r="E779" s="218">
        <v>176400</v>
      </c>
      <c r="F779" s="219">
        <v>176400</v>
      </c>
    </row>
    <row r="780" spans="1:6" ht="140.25">
      <c r="A780" s="54" t="s">
        <v>473</v>
      </c>
      <c r="B780" s="289" t="s">
        <v>820</v>
      </c>
      <c r="C780" s="6" t="s">
        <v>1468</v>
      </c>
      <c r="D780" s="6" t="s">
        <v>1468</v>
      </c>
      <c r="E780" s="218">
        <v>6700</v>
      </c>
      <c r="F780" s="219">
        <v>6700</v>
      </c>
    </row>
    <row r="781" spans="1:6" ht="38.25">
      <c r="A781" s="54" t="s">
        <v>1763</v>
      </c>
      <c r="B781" s="289" t="s">
        <v>820</v>
      </c>
      <c r="C781" s="6" t="s">
        <v>1764</v>
      </c>
      <c r="D781" s="6" t="s">
        <v>1468</v>
      </c>
      <c r="E781" s="218">
        <v>6700</v>
      </c>
      <c r="F781" s="219">
        <v>6700</v>
      </c>
    </row>
    <row r="782" spans="1:6">
      <c r="A782" s="54" t="s">
        <v>1504</v>
      </c>
      <c r="B782" s="289" t="s">
        <v>820</v>
      </c>
      <c r="C782" s="6" t="s">
        <v>1505</v>
      </c>
      <c r="D782" s="6" t="s">
        <v>1468</v>
      </c>
      <c r="E782" s="218">
        <v>6700</v>
      </c>
      <c r="F782" s="219">
        <v>6700</v>
      </c>
    </row>
    <row r="783" spans="1:6">
      <c r="A783" s="54" t="s">
        <v>292</v>
      </c>
      <c r="B783" s="289" t="s">
        <v>820</v>
      </c>
      <c r="C783" s="6" t="s">
        <v>1505</v>
      </c>
      <c r="D783" s="6" t="s">
        <v>1366</v>
      </c>
      <c r="E783" s="218">
        <v>6700</v>
      </c>
      <c r="F783" s="219">
        <v>6700</v>
      </c>
    </row>
    <row r="784" spans="1:6">
      <c r="A784" s="54" t="s">
        <v>254</v>
      </c>
      <c r="B784" s="289" t="s">
        <v>820</v>
      </c>
      <c r="C784" s="6" t="s">
        <v>1505</v>
      </c>
      <c r="D784" s="6" t="s">
        <v>469</v>
      </c>
      <c r="E784" s="218">
        <v>6700</v>
      </c>
      <c r="F784" s="219">
        <v>6700</v>
      </c>
    </row>
    <row r="785" spans="1:6" ht="51">
      <c r="A785" s="54" t="s">
        <v>1624</v>
      </c>
      <c r="B785" s="289" t="s">
        <v>1131</v>
      </c>
      <c r="C785" s="6" t="s">
        <v>1468</v>
      </c>
      <c r="D785" s="6" t="s">
        <v>1468</v>
      </c>
      <c r="E785" s="218">
        <v>393000</v>
      </c>
      <c r="F785" s="219">
        <v>393000</v>
      </c>
    </row>
    <row r="786" spans="1:6" ht="38.25">
      <c r="A786" s="54" t="s">
        <v>573</v>
      </c>
      <c r="B786" s="289" t="s">
        <v>1132</v>
      </c>
      <c r="C786" s="6" t="s">
        <v>1468</v>
      </c>
      <c r="D786" s="6" t="s">
        <v>1468</v>
      </c>
      <c r="E786" s="218">
        <v>390000</v>
      </c>
      <c r="F786" s="219">
        <v>390000</v>
      </c>
    </row>
    <row r="787" spans="1:6" ht="140.25">
      <c r="A787" s="54" t="s">
        <v>1741</v>
      </c>
      <c r="B787" s="289" t="s">
        <v>802</v>
      </c>
      <c r="C787" s="6" t="s">
        <v>1468</v>
      </c>
      <c r="D787" s="6" t="s">
        <v>1468</v>
      </c>
      <c r="E787" s="218">
        <v>380000</v>
      </c>
      <c r="F787" s="219">
        <v>380000</v>
      </c>
    </row>
    <row r="788" spans="1:6">
      <c r="A788" s="54" t="s">
        <v>1757</v>
      </c>
      <c r="B788" s="289" t="s">
        <v>802</v>
      </c>
      <c r="C788" s="6" t="s">
        <v>1758</v>
      </c>
      <c r="D788" s="6" t="s">
        <v>1468</v>
      </c>
      <c r="E788" s="218">
        <v>380000</v>
      </c>
      <c r="F788" s="219">
        <v>380000</v>
      </c>
    </row>
    <row r="789" spans="1:6" ht="63.75">
      <c r="A789" s="54" t="s">
        <v>1512</v>
      </c>
      <c r="B789" s="289" t="s">
        <v>802</v>
      </c>
      <c r="C789" s="6" t="s">
        <v>442</v>
      </c>
      <c r="D789" s="6" t="s">
        <v>1468</v>
      </c>
      <c r="E789" s="218">
        <v>380000</v>
      </c>
      <c r="F789" s="219">
        <v>380000</v>
      </c>
    </row>
    <row r="790" spans="1:6">
      <c r="A790" s="54" t="s">
        <v>218</v>
      </c>
      <c r="B790" s="289" t="s">
        <v>802</v>
      </c>
      <c r="C790" s="6" t="s">
        <v>442</v>
      </c>
      <c r="D790" s="6" t="s">
        <v>1362</v>
      </c>
      <c r="E790" s="218">
        <v>380000</v>
      </c>
      <c r="F790" s="219">
        <v>380000</v>
      </c>
    </row>
    <row r="791" spans="1:6" ht="25.5">
      <c r="A791" s="54" t="s">
        <v>179</v>
      </c>
      <c r="B791" s="289" t="s">
        <v>802</v>
      </c>
      <c r="C791" s="6" t="s">
        <v>442</v>
      </c>
      <c r="D791" s="6" t="s">
        <v>448</v>
      </c>
      <c r="E791" s="218">
        <v>380000</v>
      </c>
      <c r="F791" s="219">
        <v>380000</v>
      </c>
    </row>
    <row r="792" spans="1:6" ht="127.5">
      <c r="A792" s="54" t="s">
        <v>1742</v>
      </c>
      <c r="B792" s="289" t="s">
        <v>800</v>
      </c>
      <c r="C792" s="6" t="s">
        <v>1468</v>
      </c>
      <c r="D792" s="6" t="s">
        <v>1468</v>
      </c>
      <c r="E792" s="218">
        <v>10000</v>
      </c>
      <c r="F792" s="219">
        <v>10000</v>
      </c>
    </row>
    <row r="793" spans="1:6" ht="38.25">
      <c r="A793" s="54" t="s">
        <v>1755</v>
      </c>
      <c r="B793" s="289" t="s">
        <v>800</v>
      </c>
      <c r="C793" s="6" t="s">
        <v>1756</v>
      </c>
      <c r="D793" s="6" t="s">
        <v>1468</v>
      </c>
      <c r="E793" s="218">
        <v>10000</v>
      </c>
      <c r="F793" s="219">
        <v>10000</v>
      </c>
    </row>
    <row r="794" spans="1:6" ht="38.25">
      <c r="A794" s="54" t="s">
        <v>1502</v>
      </c>
      <c r="B794" s="289" t="s">
        <v>800</v>
      </c>
      <c r="C794" s="6" t="s">
        <v>1503</v>
      </c>
      <c r="D794" s="6" t="s">
        <v>1468</v>
      </c>
      <c r="E794" s="218">
        <v>10000</v>
      </c>
      <c r="F794" s="219">
        <v>10000</v>
      </c>
    </row>
    <row r="795" spans="1:6">
      <c r="A795" s="54" t="s">
        <v>218</v>
      </c>
      <c r="B795" s="289" t="s">
        <v>800</v>
      </c>
      <c r="C795" s="6" t="s">
        <v>1503</v>
      </c>
      <c r="D795" s="6" t="s">
        <v>1362</v>
      </c>
      <c r="E795" s="218">
        <v>10000</v>
      </c>
      <c r="F795" s="219">
        <v>10000</v>
      </c>
    </row>
    <row r="796" spans="1:6" ht="25.5">
      <c r="A796" s="54" t="s">
        <v>179</v>
      </c>
      <c r="B796" s="289" t="s">
        <v>800</v>
      </c>
      <c r="C796" s="6" t="s">
        <v>1503</v>
      </c>
      <c r="D796" s="6" t="s">
        <v>448</v>
      </c>
      <c r="E796" s="218">
        <v>10000</v>
      </c>
      <c r="F796" s="219">
        <v>10000</v>
      </c>
    </row>
    <row r="797" spans="1:6" ht="38.25">
      <c r="A797" s="54" t="s">
        <v>540</v>
      </c>
      <c r="B797" s="289" t="s">
        <v>1743</v>
      </c>
      <c r="C797" s="6" t="s">
        <v>1468</v>
      </c>
      <c r="D797" s="6" t="s">
        <v>1468</v>
      </c>
      <c r="E797" s="218">
        <v>3000</v>
      </c>
      <c r="F797" s="219">
        <v>3000</v>
      </c>
    </row>
    <row r="798" spans="1:6" ht="127.5">
      <c r="A798" s="54" t="s">
        <v>1744</v>
      </c>
      <c r="B798" s="289" t="s">
        <v>1745</v>
      </c>
      <c r="C798" s="6" t="s">
        <v>1468</v>
      </c>
      <c r="D798" s="6" t="s">
        <v>1468</v>
      </c>
      <c r="E798" s="218">
        <v>3000</v>
      </c>
      <c r="F798" s="219">
        <v>3000</v>
      </c>
    </row>
    <row r="799" spans="1:6" ht="38.25">
      <c r="A799" s="54" t="s">
        <v>1755</v>
      </c>
      <c r="B799" s="289" t="s">
        <v>1745</v>
      </c>
      <c r="C799" s="6" t="s">
        <v>1756</v>
      </c>
      <c r="D799" s="6" t="s">
        <v>1468</v>
      </c>
      <c r="E799" s="218">
        <v>3000</v>
      </c>
      <c r="F799" s="219">
        <v>3000</v>
      </c>
    </row>
    <row r="800" spans="1:6" ht="38.25">
      <c r="A800" s="54" t="s">
        <v>1502</v>
      </c>
      <c r="B800" s="289" t="s">
        <v>1745</v>
      </c>
      <c r="C800" s="6" t="s">
        <v>1503</v>
      </c>
      <c r="D800" s="6" t="s">
        <v>1468</v>
      </c>
      <c r="E800" s="218">
        <v>3000</v>
      </c>
      <c r="F800" s="219">
        <v>3000</v>
      </c>
    </row>
    <row r="801" spans="1:6">
      <c r="A801" s="54" t="s">
        <v>218</v>
      </c>
      <c r="B801" s="289" t="s">
        <v>1745</v>
      </c>
      <c r="C801" s="6" t="s">
        <v>1503</v>
      </c>
      <c r="D801" s="6" t="s">
        <v>1362</v>
      </c>
      <c r="E801" s="218">
        <v>3000</v>
      </c>
      <c r="F801" s="219">
        <v>3000</v>
      </c>
    </row>
    <row r="802" spans="1:6" ht="25.5">
      <c r="A802" s="54" t="s">
        <v>179</v>
      </c>
      <c r="B802" s="289" t="s">
        <v>1745</v>
      </c>
      <c r="C802" s="6" t="s">
        <v>1503</v>
      </c>
      <c r="D802" s="6" t="s">
        <v>448</v>
      </c>
      <c r="E802" s="218">
        <v>3000</v>
      </c>
      <c r="F802" s="219">
        <v>3000</v>
      </c>
    </row>
    <row r="803" spans="1:6" ht="38.25">
      <c r="A803" s="54" t="s">
        <v>576</v>
      </c>
      <c r="B803" s="289" t="s">
        <v>1133</v>
      </c>
      <c r="C803" s="6" t="s">
        <v>1468</v>
      </c>
      <c r="D803" s="6" t="s">
        <v>1468</v>
      </c>
      <c r="E803" s="218">
        <v>12924212</v>
      </c>
      <c r="F803" s="219">
        <v>12943912</v>
      </c>
    </row>
    <row r="804" spans="1:6" ht="25.5">
      <c r="A804" s="54" t="s">
        <v>577</v>
      </c>
      <c r="B804" s="289" t="s">
        <v>1134</v>
      </c>
      <c r="C804" s="6" t="s">
        <v>1468</v>
      </c>
      <c r="D804" s="6" t="s">
        <v>1468</v>
      </c>
      <c r="E804" s="218">
        <v>35700</v>
      </c>
      <c r="F804" s="219">
        <v>40400</v>
      </c>
    </row>
    <row r="805" spans="1:6" ht="63.75">
      <c r="A805" s="54" t="s">
        <v>447</v>
      </c>
      <c r="B805" s="289" t="s">
        <v>799</v>
      </c>
      <c r="C805" s="6" t="s">
        <v>1468</v>
      </c>
      <c r="D805" s="6" t="s">
        <v>1468</v>
      </c>
      <c r="E805" s="218">
        <v>34300</v>
      </c>
      <c r="F805" s="219">
        <v>39000</v>
      </c>
    </row>
    <row r="806" spans="1:6" ht="38.25">
      <c r="A806" s="54" t="s">
        <v>1755</v>
      </c>
      <c r="B806" s="289" t="s">
        <v>799</v>
      </c>
      <c r="C806" s="6" t="s">
        <v>1756</v>
      </c>
      <c r="D806" s="6" t="s">
        <v>1468</v>
      </c>
      <c r="E806" s="218">
        <v>34300</v>
      </c>
      <c r="F806" s="219">
        <v>39000</v>
      </c>
    </row>
    <row r="807" spans="1:6" ht="38.25">
      <c r="A807" s="54" t="s">
        <v>1502</v>
      </c>
      <c r="B807" s="289" t="s">
        <v>799</v>
      </c>
      <c r="C807" s="6" t="s">
        <v>1503</v>
      </c>
      <c r="D807" s="6" t="s">
        <v>1468</v>
      </c>
      <c r="E807" s="218">
        <v>34300</v>
      </c>
      <c r="F807" s="219">
        <v>39000</v>
      </c>
    </row>
    <row r="808" spans="1:6">
      <c r="A808" s="54" t="s">
        <v>218</v>
      </c>
      <c r="B808" s="289" t="s">
        <v>799</v>
      </c>
      <c r="C808" s="6" t="s">
        <v>1503</v>
      </c>
      <c r="D808" s="6" t="s">
        <v>1362</v>
      </c>
      <c r="E808" s="218">
        <v>34300</v>
      </c>
      <c r="F808" s="219">
        <v>39000</v>
      </c>
    </row>
    <row r="809" spans="1:6">
      <c r="A809" s="54" t="s">
        <v>298</v>
      </c>
      <c r="B809" s="289" t="s">
        <v>799</v>
      </c>
      <c r="C809" s="6" t="s">
        <v>1503</v>
      </c>
      <c r="D809" s="6" t="s">
        <v>446</v>
      </c>
      <c r="E809" s="218">
        <v>34300</v>
      </c>
      <c r="F809" s="219">
        <v>39000</v>
      </c>
    </row>
    <row r="810" spans="1:6" ht="102">
      <c r="A810" s="54" t="s">
        <v>1584</v>
      </c>
      <c r="B810" s="289" t="s">
        <v>1585</v>
      </c>
      <c r="C810" s="6" t="s">
        <v>1468</v>
      </c>
      <c r="D810" s="6" t="s">
        <v>1468</v>
      </c>
      <c r="E810" s="218">
        <v>1400</v>
      </c>
      <c r="F810" s="219">
        <v>1400</v>
      </c>
    </row>
    <row r="811" spans="1:6" ht="38.25">
      <c r="A811" s="54" t="s">
        <v>1755</v>
      </c>
      <c r="B811" s="289" t="s">
        <v>1585</v>
      </c>
      <c r="C811" s="6" t="s">
        <v>1756</v>
      </c>
      <c r="D811" s="6" t="s">
        <v>1468</v>
      </c>
      <c r="E811" s="218">
        <v>1400</v>
      </c>
      <c r="F811" s="219">
        <v>1400</v>
      </c>
    </row>
    <row r="812" spans="1:6" ht="38.25">
      <c r="A812" s="54" t="s">
        <v>1502</v>
      </c>
      <c r="B812" s="289" t="s">
        <v>1585</v>
      </c>
      <c r="C812" s="6" t="s">
        <v>1503</v>
      </c>
      <c r="D812" s="6" t="s">
        <v>1468</v>
      </c>
      <c r="E812" s="218">
        <v>1400</v>
      </c>
      <c r="F812" s="219">
        <v>1400</v>
      </c>
    </row>
    <row r="813" spans="1:6">
      <c r="A813" s="54" t="s">
        <v>218</v>
      </c>
      <c r="B813" s="289" t="s">
        <v>1585</v>
      </c>
      <c r="C813" s="6" t="s">
        <v>1503</v>
      </c>
      <c r="D813" s="6" t="s">
        <v>1362</v>
      </c>
      <c r="E813" s="218">
        <v>1400</v>
      </c>
      <c r="F813" s="219">
        <v>1400</v>
      </c>
    </row>
    <row r="814" spans="1:6">
      <c r="A814" s="54" t="s">
        <v>298</v>
      </c>
      <c r="B814" s="289" t="s">
        <v>1585</v>
      </c>
      <c r="C814" s="6" t="s">
        <v>1503</v>
      </c>
      <c r="D814" s="6" t="s">
        <v>446</v>
      </c>
      <c r="E814" s="218">
        <v>1400</v>
      </c>
      <c r="F814" s="219">
        <v>1400</v>
      </c>
    </row>
    <row r="815" spans="1:6" ht="25.5">
      <c r="A815" s="54" t="s">
        <v>579</v>
      </c>
      <c r="B815" s="289" t="s">
        <v>1135</v>
      </c>
      <c r="C815" s="6" t="s">
        <v>1468</v>
      </c>
      <c r="D815" s="6" t="s">
        <v>1468</v>
      </c>
      <c r="E815" s="218">
        <v>12835502</v>
      </c>
      <c r="F815" s="219">
        <v>12850502</v>
      </c>
    </row>
    <row r="816" spans="1:6" ht="89.25">
      <c r="A816" s="54" t="s">
        <v>953</v>
      </c>
      <c r="B816" s="289" t="s">
        <v>1079</v>
      </c>
      <c r="C816" s="6" t="s">
        <v>1468</v>
      </c>
      <c r="D816" s="6" t="s">
        <v>1468</v>
      </c>
      <c r="E816" s="218">
        <v>375000</v>
      </c>
      <c r="F816" s="219">
        <v>390000</v>
      </c>
    </row>
    <row r="817" spans="1:6">
      <c r="A817" s="54" t="s">
        <v>1757</v>
      </c>
      <c r="B817" s="289" t="s">
        <v>1079</v>
      </c>
      <c r="C817" s="6" t="s">
        <v>1758</v>
      </c>
      <c r="D817" s="6" t="s">
        <v>1468</v>
      </c>
      <c r="E817" s="218">
        <v>375000</v>
      </c>
      <c r="F817" s="219">
        <v>390000</v>
      </c>
    </row>
    <row r="818" spans="1:6" ht="63.75">
      <c r="A818" s="54" t="s">
        <v>1512</v>
      </c>
      <c r="B818" s="289" t="s">
        <v>1079</v>
      </c>
      <c r="C818" s="6" t="s">
        <v>442</v>
      </c>
      <c r="D818" s="6" t="s">
        <v>1468</v>
      </c>
      <c r="E818" s="218">
        <v>375000</v>
      </c>
      <c r="F818" s="219">
        <v>390000</v>
      </c>
    </row>
    <row r="819" spans="1:6">
      <c r="A819" s="54" t="s">
        <v>218</v>
      </c>
      <c r="B819" s="289" t="s">
        <v>1079</v>
      </c>
      <c r="C819" s="6" t="s">
        <v>442</v>
      </c>
      <c r="D819" s="6" t="s">
        <v>1362</v>
      </c>
      <c r="E819" s="218">
        <v>375000</v>
      </c>
      <c r="F819" s="219">
        <v>390000</v>
      </c>
    </row>
    <row r="820" spans="1:6">
      <c r="A820" s="54" t="s">
        <v>220</v>
      </c>
      <c r="B820" s="289" t="s">
        <v>1079</v>
      </c>
      <c r="C820" s="6" t="s">
        <v>442</v>
      </c>
      <c r="D820" s="6" t="s">
        <v>444</v>
      </c>
      <c r="E820" s="218">
        <v>375000</v>
      </c>
      <c r="F820" s="219">
        <v>390000</v>
      </c>
    </row>
    <row r="821" spans="1:6" ht="89.25">
      <c r="A821" s="54" t="s">
        <v>445</v>
      </c>
      <c r="B821" s="289" t="s">
        <v>798</v>
      </c>
      <c r="C821" s="6" t="s">
        <v>1468</v>
      </c>
      <c r="D821" s="6" t="s">
        <v>1468</v>
      </c>
      <c r="E821" s="218">
        <v>12460502</v>
      </c>
      <c r="F821" s="219">
        <v>12460502</v>
      </c>
    </row>
    <row r="822" spans="1:6">
      <c r="A822" s="54" t="s">
        <v>1757</v>
      </c>
      <c r="B822" s="289" t="s">
        <v>798</v>
      </c>
      <c r="C822" s="6" t="s">
        <v>1758</v>
      </c>
      <c r="D822" s="6" t="s">
        <v>1468</v>
      </c>
      <c r="E822" s="218">
        <v>12460502</v>
      </c>
      <c r="F822" s="219">
        <v>12460502</v>
      </c>
    </row>
    <row r="823" spans="1:6" ht="63.75">
      <c r="A823" s="54" t="s">
        <v>1512</v>
      </c>
      <c r="B823" s="289" t="s">
        <v>798</v>
      </c>
      <c r="C823" s="6" t="s">
        <v>442</v>
      </c>
      <c r="D823" s="6" t="s">
        <v>1468</v>
      </c>
      <c r="E823" s="218">
        <v>12460502</v>
      </c>
      <c r="F823" s="219">
        <v>12460502</v>
      </c>
    </row>
    <row r="824" spans="1:6">
      <c r="A824" s="54" t="s">
        <v>218</v>
      </c>
      <c r="B824" s="289" t="s">
        <v>798</v>
      </c>
      <c r="C824" s="6" t="s">
        <v>442</v>
      </c>
      <c r="D824" s="6" t="s">
        <v>1362</v>
      </c>
      <c r="E824" s="218">
        <v>12460502</v>
      </c>
      <c r="F824" s="219">
        <v>12460502</v>
      </c>
    </row>
    <row r="825" spans="1:6">
      <c r="A825" s="54" t="s">
        <v>220</v>
      </c>
      <c r="B825" s="289" t="s">
        <v>798</v>
      </c>
      <c r="C825" s="6" t="s">
        <v>442</v>
      </c>
      <c r="D825" s="6" t="s">
        <v>444</v>
      </c>
      <c r="E825" s="218">
        <v>12460502</v>
      </c>
      <c r="F825" s="219">
        <v>12460502</v>
      </c>
    </row>
    <row r="826" spans="1:6" ht="25.5">
      <c r="A826" s="54" t="s">
        <v>581</v>
      </c>
      <c r="B826" s="289" t="s">
        <v>1136</v>
      </c>
      <c r="C826" s="6" t="s">
        <v>1468</v>
      </c>
      <c r="D826" s="6" t="s">
        <v>1468</v>
      </c>
      <c r="E826" s="218">
        <v>53010</v>
      </c>
      <c r="F826" s="219">
        <v>53010</v>
      </c>
    </row>
    <row r="827" spans="1:6" ht="76.5">
      <c r="A827" s="54" t="s">
        <v>496</v>
      </c>
      <c r="B827" s="289" t="s">
        <v>894</v>
      </c>
      <c r="C827" s="6" t="s">
        <v>1468</v>
      </c>
      <c r="D827" s="6" t="s">
        <v>1468</v>
      </c>
      <c r="E827" s="218">
        <v>53010</v>
      </c>
      <c r="F827" s="219">
        <v>53010</v>
      </c>
    </row>
    <row r="828" spans="1:6" ht="38.25">
      <c r="A828" s="54" t="s">
        <v>1755</v>
      </c>
      <c r="B828" s="289" t="s">
        <v>894</v>
      </c>
      <c r="C828" s="6" t="s">
        <v>1756</v>
      </c>
      <c r="D828" s="6" t="s">
        <v>1468</v>
      </c>
      <c r="E828" s="218">
        <v>53010</v>
      </c>
      <c r="F828" s="219">
        <v>53010</v>
      </c>
    </row>
    <row r="829" spans="1:6" ht="38.25">
      <c r="A829" s="54" t="s">
        <v>1502</v>
      </c>
      <c r="B829" s="289" t="s">
        <v>894</v>
      </c>
      <c r="C829" s="6" t="s">
        <v>1503</v>
      </c>
      <c r="D829" s="6" t="s">
        <v>1468</v>
      </c>
      <c r="E829" s="218">
        <v>53010</v>
      </c>
      <c r="F829" s="219">
        <v>53010</v>
      </c>
    </row>
    <row r="830" spans="1:6">
      <c r="A830" s="54" t="s">
        <v>173</v>
      </c>
      <c r="B830" s="289" t="s">
        <v>894</v>
      </c>
      <c r="C830" s="6" t="s">
        <v>1503</v>
      </c>
      <c r="D830" s="6" t="s">
        <v>1364</v>
      </c>
      <c r="E830" s="218">
        <v>53010</v>
      </c>
      <c r="F830" s="219">
        <v>53010</v>
      </c>
    </row>
    <row r="831" spans="1:6">
      <c r="A831" s="54" t="s">
        <v>1240</v>
      </c>
      <c r="B831" s="289" t="s">
        <v>894</v>
      </c>
      <c r="C831" s="6" t="s">
        <v>1503</v>
      </c>
      <c r="D831" s="6" t="s">
        <v>1241</v>
      </c>
      <c r="E831" s="218">
        <v>53010</v>
      </c>
      <c r="F831" s="219">
        <v>53010</v>
      </c>
    </row>
    <row r="832" spans="1:6" ht="38.25">
      <c r="A832" s="54" t="s">
        <v>705</v>
      </c>
      <c r="B832" s="289" t="s">
        <v>1137</v>
      </c>
      <c r="C832" s="6" t="s">
        <v>1468</v>
      </c>
      <c r="D832" s="6" t="s">
        <v>1468</v>
      </c>
      <c r="E832" s="218">
        <v>440000</v>
      </c>
      <c r="F832" s="219">
        <v>440000</v>
      </c>
    </row>
    <row r="833" spans="1:6" ht="38.25">
      <c r="A833" s="54" t="s">
        <v>1464</v>
      </c>
      <c r="B833" s="289" t="s">
        <v>1465</v>
      </c>
      <c r="C833" s="6" t="s">
        <v>1468</v>
      </c>
      <c r="D833" s="6" t="s">
        <v>1468</v>
      </c>
      <c r="E833" s="218">
        <v>300000</v>
      </c>
      <c r="F833" s="219">
        <v>300000</v>
      </c>
    </row>
    <row r="834" spans="1:6" ht="89.25">
      <c r="A834" s="54" t="s">
        <v>1605</v>
      </c>
      <c r="B834" s="289" t="s">
        <v>1606</v>
      </c>
      <c r="C834" s="6" t="s">
        <v>1468</v>
      </c>
      <c r="D834" s="6" t="s">
        <v>1468</v>
      </c>
      <c r="E834" s="218">
        <v>300000</v>
      </c>
      <c r="F834" s="219">
        <v>300000</v>
      </c>
    </row>
    <row r="835" spans="1:6" ht="38.25">
      <c r="A835" s="54" t="s">
        <v>1755</v>
      </c>
      <c r="B835" s="289" t="s">
        <v>1606</v>
      </c>
      <c r="C835" s="6" t="s">
        <v>1756</v>
      </c>
      <c r="D835" s="6" t="s">
        <v>1468</v>
      </c>
      <c r="E835" s="218">
        <v>300000</v>
      </c>
      <c r="F835" s="219">
        <v>300000</v>
      </c>
    </row>
    <row r="836" spans="1:6" ht="38.25">
      <c r="A836" s="54" t="s">
        <v>1502</v>
      </c>
      <c r="B836" s="289" t="s">
        <v>1606</v>
      </c>
      <c r="C836" s="6" t="s">
        <v>1503</v>
      </c>
      <c r="D836" s="6" t="s">
        <v>1468</v>
      </c>
      <c r="E836" s="218">
        <v>300000</v>
      </c>
      <c r="F836" s="219">
        <v>300000</v>
      </c>
    </row>
    <row r="837" spans="1:6">
      <c r="A837" s="54" t="s">
        <v>218</v>
      </c>
      <c r="B837" s="289" t="s">
        <v>1606</v>
      </c>
      <c r="C837" s="6" t="s">
        <v>1503</v>
      </c>
      <c r="D837" s="6" t="s">
        <v>1362</v>
      </c>
      <c r="E837" s="218">
        <v>300000</v>
      </c>
      <c r="F837" s="219">
        <v>300000</v>
      </c>
    </row>
    <row r="838" spans="1:6" ht="25.5">
      <c r="A838" s="54" t="s">
        <v>179</v>
      </c>
      <c r="B838" s="289" t="s">
        <v>1606</v>
      </c>
      <c r="C838" s="6" t="s">
        <v>1503</v>
      </c>
      <c r="D838" s="6" t="s">
        <v>448</v>
      </c>
      <c r="E838" s="218">
        <v>300000</v>
      </c>
      <c r="F838" s="219">
        <v>300000</v>
      </c>
    </row>
    <row r="839" spans="1:6" ht="38.25">
      <c r="A839" s="54" t="s">
        <v>706</v>
      </c>
      <c r="B839" s="289" t="s">
        <v>1138</v>
      </c>
      <c r="C839" s="6" t="s">
        <v>1468</v>
      </c>
      <c r="D839" s="6" t="s">
        <v>1468</v>
      </c>
      <c r="E839" s="218">
        <v>140000</v>
      </c>
      <c r="F839" s="219">
        <v>140000</v>
      </c>
    </row>
    <row r="840" spans="1:6" ht="89.25">
      <c r="A840" s="54" t="s">
        <v>622</v>
      </c>
      <c r="B840" s="289" t="s">
        <v>864</v>
      </c>
      <c r="C840" s="6" t="s">
        <v>1468</v>
      </c>
      <c r="D840" s="6" t="s">
        <v>1468</v>
      </c>
      <c r="E840" s="218">
        <v>140000</v>
      </c>
      <c r="F840" s="219">
        <v>140000</v>
      </c>
    </row>
    <row r="841" spans="1:6" ht="25.5">
      <c r="A841" s="54" t="s">
        <v>1759</v>
      </c>
      <c r="B841" s="289" t="s">
        <v>864</v>
      </c>
      <c r="C841" s="6" t="s">
        <v>1760</v>
      </c>
      <c r="D841" s="6" t="s">
        <v>1468</v>
      </c>
      <c r="E841" s="218">
        <v>140000</v>
      </c>
      <c r="F841" s="219">
        <v>140000</v>
      </c>
    </row>
    <row r="842" spans="1:6">
      <c r="A842" s="54" t="s">
        <v>625</v>
      </c>
      <c r="B842" s="289" t="s">
        <v>864</v>
      </c>
      <c r="C842" s="6" t="s">
        <v>626</v>
      </c>
      <c r="D842" s="6" t="s">
        <v>1468</v>
      </c>
      <c r="E842" s="218">
        <v>140000</v>
      </c>
      <c r="F842" s="219">
        <v>140000</v>
      </c>
    </row>
    <row r="843" spans="1:6" ht="25.5">
      <c r="A843" s="54" t="s">
        <v>283</v>
      </c>
      <c r="B843" s="289" t="s">
        <v>864</v>
      </c>
      <c r="C843" s="6" t="s">
        <v>626</v>
      </c>
      <c r="D843" s="6" t="s">
        <v>1363</v>
      </c>
      <c r="E843" s="218">
        <v>140000</v>
      </c>
      <c r="F843" s="219">
        <v>140000</v>
      </c>
    </row>
    <row r="844" spans="1:6">
      <c r="A844" s="54" t="s">
        <v>3</v>
      </c>
      <c r="B844" s="289" t="s">
        <v>864</v>
      </c>
      <c r="C844" s="6" t="s">
        <v>626</v>
      </c>
      <c r="D844" s="6" t="s">
        <v>474</v>
      </c>
      <c r="E844" s="218">
        <v>140000</v>
      </c>
      <c r="F844" s="219">
        <v>140000</v>
      </c>
    </row>
    <row r="845" spans="1:6" ht="25.5">
      <c r="A845" s="54" t="s">
        <v>584</v>
      </c>
      <c r="B845" s="289" t="s">
        <v>1139</v>
      </c>
      <c r="C845" s="6" t="s">
        <v>1468</v>
      </c>
      <c r="D845" s="6" t="s">
        <v>1468</v>
      </c>
      <c r="E845" s="218">
        <v>100388360</v>
      </c>
      <c r="F845" s="219">
        <v>95884160</v>
      </c>
    </row>
    <row r="846" spans="1:6" ht="63.75">
      <c r="A846" s="54" t="s">
        <v>707</v>
      </c>
      <c r="B846" s="289" t="s">
        <v>1140</v>
      </c>
      <c r="C846" s="6" t="s">
        <v>1468</v>
      </c>
      <c r="D846" s="6" t="s">
        <v>1468</v>
      </c>
      <c r="E846" s="218">
        <v>88580800</v>
      </c>
      <c r="F846" s="219">
        <v>84076600</v>
      </c>
    </row>
    <row r="847" spans="1:6" ht="153">
      <c r="A847" s="54" t="s">
        <v>632</v>
      </c>
      <c r="B847" s="289" t="s">
        <v>924</v>
      </c>
      <c r="C847" s="6" t="s">
        <v>1468</v>
      </c>
      <c r="D847" s="6" t="s">
        <v>1468</v>
      </c>
      <c r="E847" s="218">
        <v>4504200</v>
      </c>
      <c r="F847" s="219">
        <v>0</v>
      </c>
    </row>
    <row r="848" spans="1:6">
      <c r="A848" s="54" t="s">
        <v>1765</v>
      </c>
      <c r="B848" s="289" t="s">
        <v>924</v>
      </c>
      <c r="C848" s="6" t="s">
        <v>1766</v>
      </c>
      <c r="D848" s="6" t="s">
        <v>1468</v>
      </c>
      <c r="E848" s="218">
        <v>4504200</v>
      </c>
      <c r="F848" s="219">
        <v>0</v>
      </c>
    </row>
    <row r="849" spans="1:6">
      <c r="A849" s="54" t="s">
        <v>523</v>
      </c>
      <c r="B849" s="289" t="s">
        <v>924</v>
      </c>
      <c r="C849" s="6" t="s">
        <v>524</v>
      </c>
      <c r="D849" s="6" t="s">
        <v>1468</v>
      </c>
      <c r="E849" s="218">
        <v>4504200</v>
      </c>
      <c r="F849" s="219">
        <v>0</v>
      </c>
    </row>
    <row r="850" spans="1:6">
      <c r="A850" s="54" t="s">
        <v>228</v>
      </c>
      <c r="B850" s="289" t="s">
        <v>924</v>
      </c>
      <c r="C850" s="6" t="s">
        <v>524</v>
      </c>
      <c r="D850" s="6" t="s">
        <v>1377</v>
      </c>
      <c r="E850" s="218">
        <v>4504200</v>
      </c>
      <c r="F850" s="219">
        <v>0</v>
      </c>
    </row>
    <row r="851" spans="1:6" ht="25.5">
      <c r="A851" s="54" t="s">
        <v>229</v>
      </c>
      <c r="B851" s="289" t="s">
        <v>924</v>
      </c>
      <c r="C851" s="6" t="s">
        <v>524</v>
      </c>
      <c r="D851" s="6" t="s">
        <v>522</v>
      </c>
      <c r="E851" s="218">
        <v>4504200</v>
      </c>
      <c r="F851" s="219">
        <v>0</v>
      </c>
    </row>
    <row r="852" spans="1:6" ht="153">
      <c r="A852" s="54" t="s">
        <v>631</v>
      </c>
      <c r="B852" s="289" t="s">
        <v>922</v>
      </c>
      <c r="C852" s="6" t="s">
        <v>1468</v>
      </c>
      <c r="D852" s="6" t="s">
        <v>1468</v>
      </c>
      <c r="E852" s="218">
        <v>213800</v>
      </c>
      <c r="F852" s="219">
        <v>213800</v>
      </c>
    </row>
    <row r="853" spans="1:6">
      <c r="A853" s="54" t="s">
        <v>1765</v>
      </c>
      <c r="B853" s="289" t="s">
        <v>922</v>
      </c>
      <c r="C853" s="6" t="s">
        <v>1766</v>
      </c>
      <c r="D853" s="6" t="s">
        <v>1468</v>
      </c>
      <c r="E853" s="218">
        <v>213800</v>
      </c>
      <c r="F853" s="219">
        <v>213800</v>
      </c>
    </row>
    <row r="854" spans="1:6">
      <c r="A854" s="54" t="s">
        <v>523</v>
      </c>
      <c r="B854" s="289" t="s">
        <v>922</v>
      </c>
      <c r="C854" s="6" t="s">
        <v>524</v>
      </c>
      <c r="D854" s="6" t="s">
        <v>1468</v>
      </c>
      <c r="E854" s="218">
        <v>213800</v>
      </c>
      <c r="F854" s="219">
        <v>213800</v>
      </c>
    </row>
    <row r="855" spans="1:6">
      <c r="A855" s="54" t="s">
        <v>278</v>
      </c>
      <c r="B855" s="289" t="s">
        <v>922</v>
      </c>
      <c r="C855" s="6" t="s">
        <v>524</v>
      </c>
      <c r="D855" s="6" t="s">
        <v>1357</v>
      </c>
      <c r="E855" s="218">
        <v>213800</v>
      </c>
      <c r="F855" s="219">
        <v>213800</v>
      </c>
    </row>
    <row r="856" spans="1:6">
      <c r="A856" s="54" t="s">
        <v>261</v>
      </c>
      <c r="B856" s="289" t="s">
        <v>922</v>
      </c>
      <c r="C856" s="6" t="s">
        <v>524</v>
      </c>
      <c r="D856" s="6" t="s">
        <v>424</v>
      </c>
      <c r="E856" s="218">
        <v>213800</v>
      </c>
      <c r="F856" s="219">
        <v>213800</v>
      </c>
    </row>
    <row r="857" spans="1:6" ht="191.25">
      <c r="A857" s="54" t="s">
        <v>1214</v>
      </c>
      <c r="B857" s="289" t="s">
        <v>929</v>
      </c>
      <c r="C857" s="6" t="s">
        <v>1468</v>
      </c>
      <c r="D857" s="6" t="s">
        <v>1468</v>
      </c>
      <c r="E857" s="218">
        <v>33120800</v>
      </c>
      <c r="F857" s="219">
        <v>33120800</v>
      </c>
    </row>
    <row r="858" spans="1:6">
      <c r="A858" s="54" t="s">
        <v>1765</v>
      </c>
      <c r="B858" s="289" t="s">
        <v>929</v>
      </c>
      <c r="C858" s="6" t="s">
        <v>1766</v>
      </c>
      <c r="D858" s="6" t="s">
        <v>1468</v>
      </c>
      <c r="E858" s="218">
        <v>33120800</v>
      </c>
      <c r="F858" s="219">
        <v>33120800</v>
      </c>
    </row>
    <row r="859" spans="1:6">
      <c r="A859" s="54" t="s">
        <v>1514</v>
      </c>
      <c r="B859" s="289" t="s">
        <v>929</v>
      </c>
      <c r="C859" s="6" t="s">
        <v>1515</v>
      </c>
      <c r="D859" s="6" t="s">
        <v>1468</v>
      </c>
      <c r="E859" s="218">
        <v>33120800</v>
      </c>
      <c r="F859" s="219">
        <v>33120800</v>
      </c>
    </row>
    <row r="860" spans="1:6" ht="51">
      <c r="A860" s="54" t="s">
        <v>1381</v>
      </c>
      <c r="B860" s="289" t="s">
        <v>929</v>
      </c>
      <c r="C860" s="6" t="s">
        <v>1515</v>
      </c>
      <c r="D860" s="6" t="s">
        <v>1382</v>
      </c>
      <c r="E860" s="218">
        <v>33120800</v>
      </c>
      <c r="F860" s="219">
        <v>33120800</v>
      </c>
    </row>
    <row r="861" spans="1:6" ht="51">
      <c r="A861" s="54" t="s">
        <v>255</v>
      </c>
      <c r="B861" s="289" t="s">
        <v>929</v>
      </c>
      <c r="C861" s="6" t="s">
        <v>1515</v>
      </c>
      <c r="D861" s="6" t="s">
        <v>529</v>
      </c>
      <c r="E861" s="218">
        <v>33120800</v>
      </c>
      <c r="F861" s="219">
        <v>33120800</v>
      </c>
    </row>
    <row r="862" spans="1:6" ht="140.25">
      <c r="A862" s="54" t="s">
        <v>635</v>
      </c>
      <c r="B862" s="289" t="s">
        <v>931</v>
      </c>
      <c r="C862" s="6" t="s">
        <v>1468</v>
      </c>
      <c r="D862" s="6" t="s">
        <v>1468</v>
      </c>
      <c r="E862" s="218">
        <v>18693000</v>
      </c>
      <c r="F862" s="219">
        <v>18693000</v>
      </c>
    </row>
    <row r="863" spans="1:6">
      <c r="A863" s="54" t="s">
        <v>1765</v>
      </c>
      <c r="B863" s="289" t="s">
        <v>931</v>
      </c>
      <c r="C863" s="6" t="s">
        <v>1766</v>
      </c>
      <c r="D863" s="6" t="s">
        <v>1468</v>
      </c>
      <c r="E863" s="218">
        <v>18693000</v>
      </c>
      <c r="F863" s="219">
        <v>18693000</v>
      </c>
    </row>
    <row r="864" spans="1:6">
      <c r="A864" s="54" t="s">
        <v>94</v>
      </c>
      <c r="B864" s="289" t="s">
        <v>931</v>
      </c>
      <c r="C864" s="6" t="s">
        <v>519</v>
      </c>
      <c r="D864" s="6" t="s">
        <v>1468</v>
      </c>
      <c r="E864" s="218">
        <v>18693000</v>
      </c>
      <c r="F864" s="219">
        <v>18693000</v>
      </c>
    </row>
    <row r="865" spans="1:6" ht="51">
      <c r="A865" s="54" t="s">
        <v>1381</v>
      </c>
      <c r="B865" s="289" t="s">
        <v>931</v>
      </c>
      <c r="C865" s="6" t="s">
        <v>519</v>
      </c>
      <c r="D865" s="6" t="s">
        <v>1382</v>
      </c>
      <c r="E865" s="218">
        <v>18693000</v>
      </c>
      <c r="F865" s="219">
        <v>18693000</v>
      </c>
    </row>
    <row r="866" spans="1:6" ht="25.5">
      <c r="A866" s="54" t="s">
        <v>296</v>
      </c>
      <c r="B866" s="289" t="s">
        <v>931</v>
      </c>
      <c r="C866" s="6" t="s">
        <v>519</v>
      </c>
      <c r="D866" s="6" t="s">
        <v>531</v>
      </c>
      <c r="E866" s="218">
        <v>18693000</v>
      </c>
      <c r="F866" s="219">
        <v>18693000</v>
      </c>
    </row>
    <row r="867" spans="1:6" ht="127.5">
      <c r="A867" s="54" t="s">
        <v>634</v>
      </c>
      <c r="B867" s="289" t="s">
        <v>930</v>
      </c>
      <c r="C867" s="6" t="s">
        <v>1468</v>
      </c>
      <c r="D867" s="6" t="s">
        <v>1468</v>
      </c>
      <c r="E867" s="218">
        <v>32049000</v>
      </c>
      <c r="F867" s="219">
        <v>32049000</v>
      </c>
    </row>
    <row r="868" spans="1:6">
      <c r="A868" s="54" t="s">
        <v>1765</v>
      </c>
      <c r="B868" s="289" t="s">
        <v>930</v>
      </c>
      <c r="C868" s="6" t="s">
        <v>1766</v>
      </c>
      <c r="D868" s="6" t="s">
        <v>1468</v>
      </c>
      <c r="E868" s="218">
        <v>32049000</v>
      </c>
      <c r="F868" s="219">
        <v>32049000</v>
      </c>
    </row>
    <row r="869" spans="1:6">
      <c r="A869" s="54" t="s">
        <v>1514</v>
      </c>
      <c r="B869" s="289" t="s">
        <v>930</v>
      </c>
      <c r="C869" s="6" t="s">
        <v>1515</v>
      </c>
      <c r="D869" s="6" t="s">
        <v>1468</v>
      </c>
      <c r="E869" s="218">
        <v>32049000</v>
      </c>
      <c r="F869" s="219">
        <v>32049000</v>
      </c>
    </row>
    <row r="870" spans="1:6" ht="51">
      <c r="A870" s="54" t="s">
        <v>1381</v>
      </c>
      <c r="B870" s="289" t="s">
        <v>930</v>
      </c>
      <c r="C870" s="6" t="s">
        <v>1515</v>
      </c>
      <c r="D870" s="6" t="s">
        <v>1382</v>
      </c>
      <c r="E870" s="218">
        <v>32049000</v>
      </c>
      <c r="F870" s="219">
        <v>32049000</v>
      </c>
    </row>
    <row r="871" spans="1:6" ht="51">
      <c r="A871" s="54" t="s">
        <v>255</v>
      </c>
      <c r="B871" s="289" t="s">
        <v>930</v>
      </c>
      <c r="C871" s="6" t="s">
        <v>1515</v>
      </c>
      <c r="D871" s="6" t="s">
        <v>529</v>
      </c>
      <c r="E871" s="218">
        <v>32049000</v>
      </c>
      <c r="F871" s="219">
        <v>32049000</v>
      </c>
    </row>
    <row r="872" spans="1:6" ht="25.5">
      <c r="A872" s="54" t="s">
        <v>585</v>
      </c>
      <c r="B872" s="289" t="s">
        <v>1141</v>
      </c>
      <c r="C872" s="6" t="s">
        <v>1468</v>
      </c>
      <c r="D872" s="6" t="s">
        <v>1468</v>
      </c>
      <c r="E872" s="218">
        <v>11807560</v>
      </c>
      <c r="F872" s="219">
        <v>11807560</v>
      </c>
    </row>
    <row r="873" spans="1:6" ht="89.25">
      <c r="A873" s="54" t="s">
        <v>514</v>
      </c>
      <c r="B873" s="289" t="s">
        <v>916</v>
      </c>
      <c r="C873" s="6" t="s">
        <v>1468</v>
      </c>
      <c r="D873" s="6" t="s">
        <v>1468</v>
      </c>
      <c r="E873" s="218">
        <v>9913921</v>
      </c>
      <c r="F873" s="219">
        <v>9913921</v>
      </c>
    </row>
    <row r="874" spans="1:6" ht="76.5">
      <c r="A874" s="54" t="s">
        <v>1754</v>
      </c>
      <c r="B874" s="289" t="s">
        <v>916</v>
      </c>
      <c r="C874" s="6" t="s">
        <v>322</v>
      </c>
      <c r="D874" s="6" t="s">
        <v>1468</v>
      </c>
      <c r="E874" s="218">
        <v>9913921</v>
      </c>
      <c r="F874" s="219">
        <v>9913921</v>
      </c>
    </row>
    <row r="875" spans="1:6" ht="38.25">
      <c r="A875" s="54" t="s">
        <v>1509</v>
      </c>
      <c r="B875" s="289" t="s">
        <v>916</v>
      </c>
      <c r="C875" s="6" t="s">
        <v>37</v>
      </c>
      <c r="D875" s="6" t="s">
        <v>1468</v>
      </c>
      <c r="E875" s="218">
        <v>9913921</v>
      </c>
      <c r="F875" s="219">
        <v>9913921</v>
      </c>
    </row>
    <row r="876" spans="1:6">
      <c r="A876" s="54" t="s">
        <v>278</v>
      </c>
      <c r="B876" s="289" t="s">
        <v>916</v>
      </c>
      <c r="C876" s="6" t="s">
        <v>37</v>
      </c>
      <c r="D876" s="6" t="s">
        <v>1357</v>
      </c>
      <c r="E876" s="218">
        <v>9913921</v>
      </c>
      <c r="F876" s="219">
        <v>9913921</v>
      </c>
    </row>
    <row r="877" spans="1:6" ht="51">
      <c r="A877" s="54" t="s">
        <v>260</v>
      </c>
      <c r="B877" s="289" t="s">
        <v>916</v>
      </c>
      <c r="C877" s="6" t="s">
        <v>37</v>
      </c>
      <c r="D877" s="6" t="s">
        <v>418</v>
      </c>
      <c r="E877" s="218">
        <v>9913921</v>
      </c>
      <c r="F877" s="219">
        <v>9913921</v>
      </c>
    </row>
    <row r="878" spans="1:6" ht="102">
      <c r="A878" s="54" t="s">
        <v>1061</v>
      </c>
      <c r="B878" s="289" t="s">
        <v>1060</v>
      </c>
      <c r="C878" s="6" t="s">
        <v>1468</v>
      </c>
      <c r="D878" s="6" t="s">
        <v>1468</v>
      </c>
      <c r="E878" s="218">
        <v>1398848</v>
      </c>
      <c r="F878" s="219">
        <v>1398848</v>
      </c>
    </row>
    <row r="879" spans="1:6" ht="76.5">
      <c r="A879" s="54" t="s">
        <v>1754</v>
      </c>
      <c r="B879" s="289" t="s">
        <v>1060</v>
      </c>
      <c r="C879" s="6" t="s">
        <v>322</v>
      </c>
      <c r="D879" s="6" t="s">
        <v>1468</v>
      </c>
      <c r="E879" s="218">
        <v>1398848</v>
      </c>
      <c r="F879" s="219">
        <v>1398848</v>
      </c>
    </row>
    <row r="880" spans="1:6" ht="38.25">
      <c r="A880" s="54" t="s">
        <v>1509</v>
      </c>
      <c r="B880" s="289" t="s">
        <v>1060</v>
      </c>
      <c r="C880" s="6" t="s">
        <v>37</v>
      </c>
      <c r="D880" s="6" t="s">
        <v>1468</v>
      </c>
      <c r="E880" s="218">
        <v>1398848</v>
      </c>
      <c r="F880" s="219">
        <v>1398848</v>
      </c>
    </row>
    <row r="881" spans="1:6">
      <c r="A881" s="54" t="s">
        <v>278</v>
      </c>
      <c r="B881" s="289" t="s">
        <v>1060</v>
      </c>
      <c r="C881" s="6" t="s">
        <v>37</v>
      </c>
      <c r="D881" s="6" t="s">
        <v>1357</v>
      </c>
      <c r="E881" s="218">
        <v>1398848</v>
      </c>
      <c r="F881" s="219">
        <v>1398848</v>
      </c>
    </row>
    <row r="882" spans="1:6" ht="51">
      <c r="A882" s="54" t="s">
        <v>260</v>
      </c>
      <c r="B882" s="289" t="s">
        <v>1060</v>
      </c>
      <c r="C882" s="6" t="s">
        <v>37</v>
      </c>
      <c r="D882" s="6" t="s">
        <v>418</v>
      </c>
      <c r="E882" s="218">
        <v>1398848</v>
      </c>
      <c r="F882" s="219">
        <v>1398848</v>
      </c>
    </row>
    <row r="883" spans="1:6" ht="89.25">
      <c r="A883" s="54" t="s">
        <v>630</v>
      </c>
      <c r="B883" s="289" t="s">
        <v>920</v>
      </c>
      <c r="C883" s="6" t="s">
        <v>1468</v>
      </c>
      <c r="D883" s="6" t="s">
        <v>1468</v>
      </c>
      <c r="E883" s="218">
        <v>479791</v>
      </c>
      <c r="F883" s="219">
        <v>479791</v>
      </c>
    </row>
    <row r="884" spans="1:6" ht="76.5">
      <c r="A884" s="54" t="s">
        <v>1754</v>
      </c>
      <c r="B884" s="289" t="s">
        <v>920</v>
      </c>
      <c r="C884" s="6" t="s">
        <v>322</v>
      </c>
      <c r="D884" s="6" t="s">
        <v>1468</v>
      </c>
      <c r="E884" s="218">
        <v>479791</v>
      </c>
      <c r="F884" s="219">
        <v>479791</v>
      </c>
    </row>
    <row r="885" spans="1:6" ht="38.25">
      <c r="A885" s="54" t="s">
        <v>1509</v>
      </c>
      <c r="B885" s="289" t="s">
        <v>920</v>
      </c>
      <c r="C885" s="6" t="s">
        <v>37</v>
      </c>
      <c r="D885" s="6" t="s">
        <v>1468</v>
      </c>
      <c r="E885" s="218">
        <v>479791</v>
      </c>
      <c r="F885" s="219">
        <v>479791</v>
      </c>
    </row>
    <row r="886" spans="1:6">
      <c r="A886" s="54" t="s">
        <v>278</v>
      </c>
      <c r="B886" s="289" t="s">
        <v>920</v>
      </c>
      <c r="C886" s="6" t="s">
        <v>37</v>
      </c>
      <c r="D886" s="6" t="s">
        <v>1357</v>
      </c>
      <c r="E886" s="218">
        <v>479791</v>
      </c>
      <c r="F886" s="219">
        <v>479791</v>
      </c>
    </row>
    <row r="887" spans="1:6" ht="51">
      <c r="A887" s="54" t="s">
        <v>260</v>
      </c>
      <c r="B887" s="289" t="s">
        <v>920</v>
      </c>
      <c r="C887" s="6" t="s">
        <v>37</v>
      </c>
      <c r="D887" s="6" t="s">
        <v>418</v>
      </c>
      <c r="E887" s="218">
        <v>479791</v>
      </c>
      <c r="F887" s="219">
        <v>479791</v>
      </c>
    </row>
    <row r="888" spans="1:6" ht="127.5">
      <c r="A888" s="54" t="s">
        <v>1831</v>
      </c>
      <c r="B888" s="289" t="s">
        <v>1786</v>
      </c>
      <c r="C888" s="6" t="s">
        <v>1468</v>
      </c>
      <c r="D888" s="6" t="s">
        <v>1468</v>
      </c>
      <c r="E888" s="218">
        <v>15000</v>
      </c>
      <c r="F888" s="219">
        <v>15000</v>
      </c>
    </row>
    <row r="889" spans="1:6" ht="38.25">
      <c r="A889" s="54" t="s">
        <v>1755</v>
      </c>
      <c r="B889" s="289" t="s">
        <v>1786</v>
      </c>
      <c r="C889" s="6" t="s">
        <v>1756</v>
      </c>
      <c r="D889" s="6" t="s">
        <v>1468</v>
      </c>
      <c r="E889" s="218">
        <v>15000</v>
      </c>
      <c r="F889" s="219">
        <v>15000</v>
      </c>
    </row>
    <row r="890" spans="1:6" ht="38.25">
      <c r="A890" s="54" t="s">
        <v>1502</v>
      </c>
      <c r="B890" s="289" t="s">
        <v>1786</v>
      </c>
      <c r="C890" s="6" t="s">
        <v>1503</v>
      </c>
      <c r="D890" s="6" t="s">
        <v>1468</v>
      </c>
      <c r="E890" s="218">
        <v>15000</v>
      </c>
      <c r="F890" s="219">
        <v>15000</v>
      </c>
    </row>
    <row r="891" spans="1:6">
      <c r="A891" s="54" t="s">
        <v>278</v>
      </c>
      <c r="B891" s="289" t="s">
        <v>1786</v>
      </c>
      <c r="C891" s="6" t="s">
        <v>1503</v>
      </c>
      <c r="D891" s="6" t="s">
        <v>1357</v>
      </c>
      <c r="E891" s="218">
        <v>15000</v>
      </c>
      <c r="F891" s="219">
        <v>15000</v>
      </c>
    </row>
    <row r="892" spans="1:6" ht="51">
      <c r="A892" s="54" t="s">
        <v>260</v>
      </c>
      <c r="B892" s="289" t="s">
        <v>1786</v>
      </c>
      <c r="C892" s="6" t="s">
        <v>1503</v>
      </c>
      <c r="D892" s="6" t="s">
        <v>418</v>
      </c>
      <c r="E892" s="218">
        <v>15000</v>
      </c>
      <c r="F892" s="219">
        <v>15000</v>
      </c>
    </row>
    <row r="893" spans="1:6" ht="38.25">
      <c r="A893" s="54" t="s">
        <v>586</v>
      </c>
      <c r="B893" s="289" t="s">
        <v>1142</v>
      </c>
      <c r="C893" s="6" t="s">
        <v>1468</v>
      </c>
      <c r="D893" s="6" t="s">
        <v>1468</v>
      </c>
      <c r="E893" s="218">
        <v>1884100</v>
      </c>
      <c r="F893" s="219">
        <v>1881400</v>
      </c>
    </row>
    <row r="894" spans="1:6" ht="25.5">
      <c r="A894" s="54" t="s">
        <v>587</v>
      </c>
      <c r="B894" s="289" t="s">
        <v>1143</v>
      </c>
      <c r="C894" s="6" t="s">
        <v>1468</v>
      </c>
      <c r="D894" s="6" t="s">
        <v>1468</v>
      </c>
      <c r="E894" s="218">
        <v>2900</v>
      </c>
      <c r="F894" s="219">
        <v>200</v>
      </c>
    </row>
    <row r="895" spans="1:6" ht="114.75">
      <c r="A895" s="54" t="s">
        <v>1738</v>
      </c>
      <c r="B895" s="289" t="s">
        <v>1739</v>
      </c>
      <c r="C895" s="6" t="s">
        <v>1468</v>
      </c>
      <c r="D895" s="6" t="s">
        <v>1468</v>
      </c>
      <c r="E895" s="218">
        <v>2900</v>
      </c>
      <c r="F895" s="219">
        <v>200</v>
      </c>
    </row>
    <row r="896" spans="1:6">
      <c r="A896" s="54" t="s">
        <v>1757</v>
      </c>
      <c r="B896" s="289" t="s">
        <v>1739</v>
      </c>
      <c r="C896" s="6" t="s">
        <v>1758</v>
      </c>
      <c r="D896" s="6" t="s">
        <v>1468</v>
      </c>
      <c r="E896" s="218">
        <v>2900</v>
      </c>
      <c r="F896" s="219">
        <v>200</v>
      </c>
    </row>
    <row r="897" spans="1:6" ht="63.75">
      <c r="A897" s="54" t="s">
        <v>1512</v>
      </c>
      <c r="B897" s="289" t="s">
        <v>1739</v>
      </c>
      <c r="C897" s="6" t="s">
        <v>442</v>
      </c>
      <c r="D897" s="6" t="s">
        <v>1468</v>
      </c>
      <c r="E897" s="218">
        <v>2900</v>
      </c>
      <c r="F897" s="219">
        <v>200</v>
      </c>
    </row>
    <row r="898" spans="1:6">
      <c r="A898" s="54" t="s">
        <v>218</v>
      </c>
      <c r="B898" s="289" t="s">
        <v>1739</v>
      </c>
      <c r="C898" s="6" t="s">
        <v>442</v>
      </c>
      <c r="D898" s="6" t="s">
        <v>1362</v>
      </c>
      <c r="E898" s="218">
        <v>2900</v>
      </c>
      <c r="F898" s="219">
        <v>200</v>
      </c>
    </row>
    <row r="899" spans="1:6">
      <c r="A899" s="54" t="s">
        <v>219</v>
      </c>
      <c r="B899" s="289" t="s">
        <v>1739</v>
      </c>
      <c r="C899" s="6" t="s">
        <v>442</v>
      </c>
      <c r="D899" s="6" t="s">
        <v>440</v>
      </c>
      <c r="E899" s="218">
        <v>2900</v>
      </c>
      <c r="F899" s="219">
        <v>200</v>
      </c>
    </row>
    <row r="900" spans="1:6" ht="25.5">
      <c r="A900" s="54" t="s">
        <v>588</v>
      </c>
      <c r="B900" s="289" t="s">
        <v>1144</v>
      </c>
      <c r="C900" s="6" t="s">
        <v>1468</v>
      </c>
      <c r="D900" s="6" t="s">
        <v>1468</v>
      </c>
      <c r="E900" s="218">
        <v>500700</v>
      </c>
      <c r="F900" s="219">
        <v>500700</v>
      </c>
    </row>
    <row r="901" spans="1:6" ht="127.5">
      <c r="A901" s="54" t="s">
        <v>450</v>
      </c>
      <c r="B901" s="289" t="s">
        <v>804</v>
      </c>
      <c r="C901" s="6" t="s">
        <v>1468</v>
      </c>
      <c r="D901" s="6" t="s">
        <v>1468</v>
      </c>
      <c r="E901" s="218">
        <v>500700</v>
      </c>
      <c r="F901" s="219">
        <v>500700</v>
      </c>
    </row>
    <row r="902" spans="1:6" ht="38.25">
      <c r="A902" s="54" t="s">
        <v>1755</v>
      </c>
      <c r="B902" s="289" t="s">
        <v>804</v>
      </c>
      <c r="C902" s="6" t="s">
        <v>1756</v>
      </c>
      <c r="D902" s="6" t="s">
        <v>1468</v>
      </c>
      <c r="E902" s="218">
        <v>500700</v>
      </c>
      <c r="F902" s="219">
        <v>500700</v>
      </c>
    </row>
    <row r="903" spans="1:6" ht="38.25">
      <c r="A903" s="54" t="s">
        <v>1502</v>
      </c>
      <c r="B903" s="289" t="s">
        <v>804</v>
      </c>
      <c r="C903" s="6" t="s">
        <v>1503</v>
      </c>
      <c r="D903" s="6" t="s">
        <v>1468</v>
      </c>
      <c r="E903" s="218">
        <v>500700</v>
      </c>
      <c r="F903" s="219">
        <v>500700</v>
      </c>
    </row>
    <row r="904" spans="1:6">
      <c r="A904" s="54" t="s">
        <v>218</v>
      </c>
      <c r="B904" s="289" t="s">
        <v>804</v>
      </c>
      <c r="C904" s="6" t="s">
        <v>1503</v>
      </c>
      <c r="D904" s="6" t="s">
        <v>1362</v>
      </c>
      <c r="E904" s="218">
        <v>500700</v>
      </c>
      <c r="F904" s="219">
        <v>500700</v>
      </c>
    </row>
    <row r="905" spans="1:6" ht="25.5">
      <c r="A905" s="54" t="s">
        <v>179</v>
      </c>
      <c r="B905" s="289" t="s">
        <v>804</v>
      </c>
      <c r="C905" s="6" t="s">
        <v>1503</v>
      </c>
      <c r="D905" s="6" t="s">
        <v>448</v>
      </c>
      <c r="E905" s="218">
        <v>500700</v>
      </c>
      <c r="F905" s="219">
        <v>500700</v>
      </c>
    </row>
    <row r="906" spans="1:6" ht="38.25">
      <c r="A906" s="54" t="s">
        <v>540</v>
      </c>
      <c r="B906" s="289" t="s">
        <v>1145</v>
      </c>
      <c r="C906" s="6" t="s">
        <v>1468</v>
      </c>
      <c r="D906" s="6" t="s">
        <v>1468</v>
      </c>
      <c r="E906" s="218">
        <v>1380500</v>
      </c>
      <c r="F906" s="219">
        <v>1380500</v>
      </c>
    </row>
    <row r="907" spans="1:6" ht="114.75">
      <c r="A907" s="54" t="s">
        <v>443</v>
      </c>
      <c r="B907" s="289" t="s">
        <v>797</v>
      </c>
      <c r="C907" s="6" t="s">
        <v>1468</v>
      </c>
      <c r="D907" s="6" t="s">
        <v>1468</v>
      </c>
      <c r="E907" s="218">
        <v>1380500</v>
      </c>
      <c r="F907" s="219">
        <v>1380500</v>
      </c>
    </row>
    <row r="908" spans="1:6" ht="76.5">
      <c r="A908" s="54" t="s">
        <v>1754</v>
      </c>
      <c r="B908" s="289" t="s">
        <v>797</v>
      </c>
      <c r="C908" s="6" t="s">
        <v>322</v>
      </c>
      <c r="D908" s="6" t="s">
        <v>1468</v>
      </c>
      <c r="E908" s="218">
        <v>1342700</v>
      </c>
      <c r="F908" s="219">
        <v>1342700</v>
      </c>
    </row>
    <row r="909" spans="1:6" ht="38.25">
      <c r="A909" s="54" t="s">
        <v>1509</v>
      </c>
      <c r="B909" s="289" t="s">
        <v>797</v>
      </c>
      <c r="C909" s="6" t="s">
        <v>37</v>
      </c>
      <c r="D909" s="6" t="s">
        <v>1468</v>
      </c>
      <c r="E909" s="218">
        <v>1342700</v>
      </c>
      <c r="F909" s="219">
        <v>1342700</v>
      </c>
    </row>
    <row r="910" spans="1:6">
      <c r="A910" s="54" t="s">
        <v>218</v>
      </c>
      <c r="B910" s="289" t="s">
        <v>797</v>
      </c>
      <c r="C910" s="6" t="s">
        <v>37</v>
      </c>
      <c r="D910" s="6" t="s">
        <v>1362</v>
      </c>
      <c r="E910" s="218">
        <v>1342700</v>
      </c>
      <c r="F910" s="219">
        <v>1342700</v>
      </c>
    </row>
    <row r="911" spans="1:6">
      <c r="A911" s="54" t="s">
        <v>219</v>
      </c>
      <c r="B911" s="289" t="s">
        <v>797</v>
      </c>
      <c r="C911" s="6" t="s">
        <v>37</v>
      </c>
      <c r="D911" s="6" t="s">
        <v>440</v>
      </c>
      <c r="E911" s="218">
        <v>1342700</v>
      </c>
      <c r="F911" s="219">
        <v>1342700</v>
      </c>
    </row>
    <row r="912" spans="1:6" ht="38.25">
      <c r="A912" s="54" t="s">
        <v>1755</v>
      </c>
      <c r="B912" s="289" t="s">
        <v>797</v>
      </c>
      <c r="C912" s="6" t="s">
        <v>1756</v>
      </c>
      <c r="D912" s="6" t="s">
        <v>1468</v>
      </c>
      <c r="E912" s="218">
        <v>37800</v>
      </c>
      <c r="F912" s="219">
        <v>37800</v>
      </c>
    </row>
    <row r="913" spans="1:6" ht="38.25">
      <c r="A913" s="54" t="s">
        <v>1502</v>
      </c>
      <c r="B913" s="289" t="s">
        <v>797</v>
      </c>
      <c r="C913" s="6" t="s">
        <v>1503</v>
      </c>
      <c r="D913" s="6" t="s">
        <v>1468</v>
      </c>
      <c r="E913" s="218">
        <v>37800</v>
      </c>
      <c r="F913" s="219">
        <v>37800</v>
      </c>
    </row>
    <row r="914" spans="1:6">
      <c r="A914" s="54" t="s">
        <v>218</v>
      </c>
      <c r="B914" s="289" t="s">
        <v>797</v>
      </c>
      <c r="C914" s="6" t="s">
        <v>1503</v>
      </c>
      <c r="D914" s="6" t="s">
        <v>1362</v>
      </c>
      <c r="E914" s="218">
        <v>37800</v>
      </c>
      <c r="F914" s="219">
        <v>37800</v>
      </c>
    </row>
    <row r="915" spans="1:6">
      <c r="A915" s="54" t="s">
        <v>219</v>
      </c>
      <c r="B915" s="289" t="s">
        <v>797</v>
      </c>
      <c r="C915" s="6" t="s">
        <v>1503</v>
      </c>
      <c r="D915" s="6" t="s">
        <v>440</v>
      </c>
      <c r="E915" s="218">
        <v>37800</v>
      </c>
      <c r="F915" s="219">
        <v>37800</v>
      </c>
    </row>
    <row r="916" spans="1:6" ht="38.25">
      <c r="A916" s="54" t="s">
        <v>708</v>
      </c>
      <c r="B916" s="289" t="s">
        <v>1146</v>
      </c>
      <c r="C916" s="6" t="s">
        <v>1468</v>
      </c>
      <c r="D916" s="6" t="s">
        <v>1468</v>
      </c>
      <c r="E916" s="218">
        <v>34161421</v>
      </c>
      <c r="F916" s="219">
        <v>25778233</v>
      </c>
    </row>
    <row r="917" spans="1:6" ht="63.75">
      <c r="A917" s="54" t="s">
        <v>410</v>
      </c>
      <c r="B917" s="289" t="s">
        <v>1147</v>
      </c>
      <c r="C917" s="6" t="s">
        <v>1468</v>
      </c>
      <c r="D917" s="6" t="s">
        <v>1468</v>
      </c>
      <c r="E917" s="218">
        <v>1605429</v>
      </c>
      <c r="F917" s="219">
        <v>1605429</v>
      </c>
    </row>
    <row r="918" spans="1:6" ht="63.75">
      <c r="A918" s="54" t="s">
        <v>410</v>
      </c>
      <c r="B918" s="289" t="s">
        <v>772</v>
      </c>
      <c r="C918" s="6" t="s">
        <v>1468</v>
      </c>
      <c r="D918" s="6" t="s">
        <v>1468</v>
      </c>
      <c r="E918" s="218">
        <v>1605429</v>
      </c>
      <c r="F918" s="219">
        <v>1605429</v>
      </c>
    </row>
    <row r="919" spans="1:6" ht="76.5">
      <c r="A919" s="54" t="s">
        <v>1754</v>
      </c>
      <c r="B919" s="289" t="s">
        <v>772</v>
      </c>
      <c r="C919" s="6" t="s">
        <v>322</v>
      </c>
      <c r="D919" s="6" t="s">
        <v>1468</v>
      </c>
      <c r="E919" s="218">
        <v>1605429</v>
      </c>
      <c r="F919" s="219">
        <v>1605429</v>
      </c>
    </row>
    <row r="920" spans="1:6" ht="38.25">
      <c r="A920" s="54" t="s">
        <v>1509</v>
      </c>
      <c r="B920" s="289" t="s">
        <v>772</v>
      </c>
      <c r="C920" s="6" t="s">
        <v>37</v>
      </c>
      <c r="D920" s="6" t="s">
        <v>1468</v>
      </c>
      <c r="E920" s="218">
        <v>1605429</v>
      </c>
      <c r="F920" s="219">
        <v>1605429</v>
      </c>
    </row>
    <row r="921" spans="1:6">
      <c r="A921" s="54" t="s">
        <v>278</v>
      </c>
      <c r="B921" s="289" t="s">
        <v>772</v>
      </c>
      <c r="C921" s="6" t="s">
        <v>37</v>
      </c>
      <c r="D921" s="6" t="s">
        <v>1357</v>
      </c>
      <c r="E921" s="218">
        <v>1605429</v>
      </c>
      <c r="F921" s="219">
        <v>1605429</v>
      </c>
    </row>
    <row r="922" spans="1:6" ht="51">
      <c r="A922" s="54" t="s">
        <v>1737</v>
      </c>
      <c r="B922" s="289" t="s">
        <v>772</v>
      </c>
      <c r="C922" s="6" t="s">
        <v>37</v>
      </c>
      <c r="D922" s="6" t="s">
        <v>409</v>
      </c>
      <c r="E922" s="218">
        <v>1605429</v>
      </c>
      <c r="F922" s="219">
        <v>1605429</v>
      </c>
    </row>
    <row r="923" spans="1:6" ht="51">
      <c r="A923" s="54" t="s">
        <v>709</v>
      </c>
      <c r="B923" s="289" t="s">
        <v>1148</v>
      </c>
      <c r="C923" s="6" t="s">
        <v>1468</v>
      </c>
      <c r="D923" s="6" t="s">
        <v>1468</v>
      </c>
      <c r="E923" s="218">
        <v>28923056</v>
      </c>
      <c r="F923" s="219">
        <v>20539868</v>
      </c>
    </row>
    <row r="924" spans="1:6" ht="51">
      <c r="A924" s="54" t="s">
        <v>415</v>
      </c>
      <c r="B924" s="289" t="s">
        <v>766</v>
      </c>
      <c r="C924" s="6" t="s">
        <v>1468</v>
      </c>
      <c r="D924" s="6" t="s">
        <v>1468</v>
      </c>
      <c r="E924" s="218">
        <v>16565025</v>
      </c>
      <c r="F924" s="219">
        <v>11781937</v>
      </c>
    </row>
    <row r="925" spans="1:6" ht="76.5">
      <c r="A925" s="54" t="s">
        <v>1754</v>
      </c>
      <c r="B925" s="289" t="s">
        <v>766</v>
      </c>
      <c r="C925" s="6" t="s">
        <v>322</v>
      </c>
      <c r="D925" s="6" t="s">
        <v>1468</v>
      </c>
      <c r="E925" s="218">
        <v>8278305</v>
      </c>
      <c r="F925" s="219">
        <v>11495217</v>
      </c>
    </row>
    <row r="926" spans="1:6" ht="38.25">
      <c r="A926" s="54" t="s">
        <v>1509</v>
      </c>
      <c r="B926" s="289" t="s">
        <v>766</v>
      </c>
      <c r="C926" s="6" t="s">
        <v>37</v>
      </c>
      <c r="D926" s="6" t="s">
        <v>1468</v>
      </c>
      <c r="E926" s="218">
        <v>8278305</v>
      </c>
      <c r="F926" s="219">
        <v>11495217</v>
      </c>
    </row>
    <row r="927" spans="1:6">
      <c r="A927" s="54" t="s">
        <v>278</v>
      </c>
      <c r="B927" s="289" t="s">
        <v>766</v>
      </c>
      <c r="C927" s="6" t="s">
        <v>37</v>
      </c>
      <c r="D927" s="6" t="s">
        <v>1357</v>
      </c>
      <c r="E927" s="218">
        <v>8278305</v>
      </c>
      <c r="F927" s="219">
        <v>11495217</v>
      </c>
    </row>
    <row r="928" spans="1:6" ht="63.75">
      <c r="A928" s="54" t="s">
        <v>93</v>
      </c>
      <c r="B928" s="289" t="s">
        <v>766</v>
      </c>
      <c r="C928" s="6" t="s">
        <v>37</v>
      </c>
      <c r="D928" s="6" t="s">
        <v>414</v>
      </c>
      <c r="E928" s="218">
        <v>1948820</v>
      </c>
      <c r="F928" s="219">
        <v>1948820</v>
      </c>
    </row>
    <row r="929" spans="1:6" ht="76.5">
      <c r="A929" s="54" t="s">
        <v>280</v>
      </c>
      <c r="B929" s="289" t="s">
        <v>766</v>
      </c>
      <c r="C929" s="6" t="s">
        <v>37</v>
      </c>
      <c r="D929" s="6" t="s">
        <v>420</v>
      </c>
      <c r="E929" s="218">
        <v>5679878</v>
      </c>
      <c r="F929" s="219">
        <v>8896790</v>
      </c>
    </row>
    <row r="930" spans="1:6" ht="51">
      <c r="A930" s="54" t="s">
        <v>260</v>
      </c>
      <c r="B930" s="289" t="s">
        <v>766</v>
      </c>
      <c r="C930" s="6" t="s">
        <v>37</v>
      </c>
      <c r="D930" s="6" t="s">
        <v>418</v>
      </c>
      <c r="E930" s="218">
        <v>649607</v>
      </c>
      <c r="F930" s="219">
        <v>649607</v>
      </c>
    </row>
    <row r="931" spans="1:6" ht="38.25">
      <c r="A931" s="54" t="s">
        <v>1755</v>
      </c>
      <c r="B931" s="289" t="s">
        <v>766</v>
      </c>
      <c r="C931" s="6" t="s">
        <v>1756</v>
      </c>
      <c r="D931" s="6" t="s">
        <v>1468</v>
      </c>
      <c r="E931" s="218">
        <v>8270720</v>
      </c>
      <c r="F931" s="219">
        <v>270720</v>
      </c>
    </row>
    <row r="932" spans="1:6" ht="38.25">
      <c r="A932" s="54" t="s">
        <v>1502</v>
      </c>
      <c r="B932" s="289" t="s">
        <v>766</v>
      </c>
      <c r="C932" s="6" t="s">
        <v>1503</v>
      </c>
      <c r="D932" s="6" t="s">
        <v>1468</v>
      </c>
      <c r="E932" s="218">
        <v>8270720</v>
      </c>
      <c r="F932" s="219">
        <v>270720</v>
      </c>
    </row>
    <row r="933" spans="1:6">
      <c r="A933" s="54" t="s">
        <v>278</v>
      </c>
      <c r="B933" s="289" t="s">
        <v>766</v>
      </c>
      <c r="C933" s="6" t="s">
        <v>1503</v>
      </c>
      <c r="D933" s="6" t="s">
        <v>1357</v>
      </c>
      <c r="E933" s="218">
        <v>8270720</v>
      </c>
      <c r="F933" s="219">
        <v>270720</v>
      </c>
    </row>
    <row r="934" spans="1:6" ht="76.5">
      <c r="A934" s="54" t="s">
        <v>280</v>
      </c>
      <c r="B934" s="289" t="s">
        <v>766</v>
      </c>
      <c r="C934" s="6" t="s">
        <v>1503</v>
      </c>
      <c r="D934" s="6" t="s">
        <v>420</v>
      </c>
      <c r="E934" s="218">
        <v>8270720</v>
      </c>
      <c r="F934" s="219">
        <v>270720</v>
      </c>
    </row>
    <row r="935" spans="1:6">
      <c r="A935" s="54" t="s">
        <v>1757</v>
      </c>
      <c r="B935" s="289" t="s">
        <v>766</v>
      </c>
      <c r="C935" s="6" t="s">
        <v>1758</v>
      </c>
      <c r="D935" s="6" t="s">
        <v>1468</v>
      </c>
      <c r="E935" s="218">
        <v>16000</v>
      </c>
      <c r="F935" s="219">
        <v>16000</v>
      </c>
    </row>
    <row r="936" spans="1:6">
      <c r="A936" s="54" t="s">
        <v>1507</v>
      </c>
      <c r="B936" s="289" t="s">
        <v>766</v>
      </c>
      <c r="C936" s="6" t="s">
        <v>1508</v>
      </c>
      <c r="D936" s="6" t="s">
        <v>1468</v>
      </c>
      <c r="E936" s="218">
        <v>16000</v>
      </c>
      <c r="F936" s="219">
        <v>16000</v>
      </c>
    </row>
    <row r="937" spans="1:6">
      <c r="A937" s="54" t="s">
        <v>278</v>
      </c>
      <c r="B937" s="289" t="s">
        <v>766</v>
      </c>
      <c r="C937" s="6" t="s">
        <v>1508</v>
      </c>
      <c r="D937" s="6" t="s">
        <v>1357</v>
      </c>
      <c r="E937" s="218">
        <v>16000</v>
      </c>
      <c r="F937" s="219">
        <v>16000</v>
      </c>
    </row>
    <row r="938" spans="1:6" ht="76.5">
      <c r="A938" s="54" t="s">
        <v>280</v>
      </c>
      <c r="B938" s="289" t="s">
        <v>766</v>
      </c>
      <c r="C938" s="6" t="s">
        <v>1508</v>
      </c>
      <c r="D938" s="6" t="s">
        <v>420</v>
      </c>
      <c r="E938" s="218">
        <v>16000</v>
      </c>
      <c r="F938" s="219">
        <v>16000</v>
      </c>
    </row>
    <row r="939" spans="1:6" ht="102">
      <c r="A939" s="54" t="s">
        <v>669</v>
      </c>
      <c r="B939" s="289" t="s">
        <v>776</v>
      </c>
      <c r="C939" s="6" t="s">
        <v>1468</v>
      </c>
      <c r="D939" s="6" t="s">
        <v>1468</v>
      </c>
      <c r="E939" s="218">
        <v>595090</v>
      </c>
      <c r="F939" s="219">
        <v>595090</v>
      </c>
    </row>
    <row r="940" spans="1:6" ht="76.5">
      <c r="A940" s="54" t="s">
        <v>1754</v>
      </c>
      <c r="B940" s="289" t="s">
        <v>776</v>
      </c>
      <c r="C940" s="6" t="s">
        <v>322</v>
      </c>
      <c r="D940" s="6" t="s">
        <v>1468</v>
      </c>
      <c r="E940" s="218">
        <v>595090</v>
      </c>
      <c r="F940" s="219">
        <v>595090</v>
      </c>
    </row>
    <row r="941" spans="1:6" ht="38.25">
      <c r="A941" s="54" t="s">
        <v>1509</v>
      </c>
      <c r="B941" s="289" t="s">
        <v>776</v>
      </c>
      <c r="C941" s="6" t="s">
        <v>37</v>
      </c>
      <c r="D941" s="6" t="s">
        <v>1468</v>
      </c>
      <c r="E941" s="218">
        <v>595090</v>
      </c>
      <c r="F941" s="219">
        <v>595090</v>
      </c>
    </row>
    <row r="942" spans="1:6">
      <c r="A942" s="54" t="s">
        <v>278</v>
      </c>
      <c r="B942" s="289" t="s">
        <v>776</v>
      </c>
      <c r="C942" s="6" t="s">
        <v>37</v>
      </c>
      <c r="D942" s="6" t="s">
        <v>1357</v>
      </c>
      <c r="E942" s="218">
        <v>595090</v>
      </c>
      <c r="F942" s="219">
        <v>595090</v>
      </c>
    </row>
    <row r="943" spans="1:6" ht="76.5">
      <c r="A943" s="54" t="s">
        <v>280</v>
      </c>
      <c r="B943" s="289" t="s">
        <v>776</v>
      </c>
      <c r="C943" s="6" t="s">
        <v>37</v>
      </c>
      <c r="D943" s="6" t="s">
        <v>420</v>
      </c>
      <c r="E943" s="218">
        <v>595090</v>
      </c>
      <c r="F943" s="219">
        <v>595090</v>
      </c>
    </row>
    <row r="944" spans="1:6" ht="76.5">
      <c r="A944" s="54" t="s">
        <v>667</v>
      </c>
      <c r="B944" s="289" t="s">
        <v>767</v>
      </c>
      <c r="C944" s="6" t="s">
        <v>1468</v>
      </c>
      <c r="D944" s="6" t="s">
        <v>1468</v>
      </c>
      <c r="E944" s="218">
        <v>400000</v>
      </c>
      <c r="F944" s="219">
        <v>400000</v>
      </c>
    </row>
    <row r="945" spans="1:6" ht="76.5">
      <c r="A945" s="54" t="s">
        <v>1754</v>
      </c>
      <c r="B945" s="289" t="s">
        <v>767</v>
      </c>
      <c r="C945" s="6" t="s">
        <v>322</v>
      </c>
      <c r="D945" s="6" t="s">
        <v>1468</v>
      </c>
      <c r="E945" s="218">
        <v>400000</v>
      </c>
      <c r="F945" s="219">
        <v>400000</v>
      </c>
    </row>
    <row r="946" spans="1:6" ht="38.25">
      <c r="A946" s="54" t="s">
        <v>1509</v>
      </c>
      <c r="B946" s="289" t="s">
        <v>767</v>
      </c>
      <c r="C946" s="6" t="s">
        <v>37</v>
      </c>
      <c r="D946" s="6" t="s">
        <v>1468</v>
      </c>
      <c r="E946" s="218">
        <v>400000</v>
      </c>
      <c r="F946" s="219">
        <v>400000</v>
      </c>
    </row>
    <row r="947" spans="1:6">
      <c r="A947" s="54" t="s">
        <v>278</v>
      </c>
      <c r="B947" s="289" t="s">
        <v>767</v>
      </c>
      <c r="C947" s="6" t="s">
        <v>37</v>
      </c>
      <c r="D947" s="6" t="s">
        <v>1357</v>
      </c>
      <c r="E947" s="218">
        <v>400000</v>
      </c>
      <c r="F947" s="219">
        <v>400000</v>
      </c>
    </row>
    <row r="948" spans="1:6" ht="76.5">
      <c r="A948" s="54" t="s">
        <v>280</v>
      </c>
      <c r="B948" s="289" t="s">
        <v>767</v>
      </c>
      <c r="C948" s="6" t="s">
        <v>37</v>
      </c>
      <c r="D948" s="6" t="s">
        <v>420</v>
      </c>
      <c r="E948" s="218">
        <v>400000</v>
      </c>
      <c r="F948" s="219">
        <v>400000</v>
      </c>
    </row>
    <row r="949" spans="1:6" ht="76.5">
      <c r="A949" s="54" t="s">
        <v>670</v>
      </c>
      <c r="B949" s="289" t="s">
        <v>777</v>
      </c>
      <c r="C949" s="6" t="s">
        <v>1468</v>
      </c>
      <c r="D949" s="6" t="s">
        <v>1468</v>
      </c>
      <c r="E949" s="218">
        <v>5136978</v>
      </c>
      <c r="F949" s="219">
        <v>4136878</v>
      </c>
    </row>
    <row r="950" spans="1:6" ht="76.5">
      <c r="A950" s="54" t="s">
        <v>1754</v>
      </c>
      <c r="B950" s="289" t="s">
        <v>777</v>
      </c>
      <c r="C950" s="6" t="s">
        <v>322</v>
      </c>
      <c r="D950" s="6" t="s">
        <v>1468</v>
      </c>
      <c r="E950" s="218">
        <v>5136978</v>
      </c>
      <c r="F950" s="219">
        <v>4136878</v>
      </c>
    </row>
    <row r="951" spans="1:6" ht="38.25">
      <c r="A951" s="54" t="s">
        <v>1509</v>
      </c>
      <c r="B951" s="289" t="s">
        <v>777</v>
      </c>
      <c r="C951" s="6" t="s">
        <v>37</v>
      </c>
      <c r="D951" s="6" t="s">
        <v>1468</v>
      </c>
      <c r="E951" s="218">
        <v>5136978</v>
      </c>
      <c r="F951" s="219">
        <v>4136878</v>
      </c>
    </row>
    <row r="952" spans="1:6">
      <c r="A952" s="54" t="s">
        <v>278</v>
      </c>
      <c r="B952" s="289" t="s">
        <v>777</v>
      </c>
      <c r="C952" s="6" t="s">
        <v>37</v>
      </c>
      <c r="D952" s="6" t="s">
        <v>1357</v>
      </c>
      <c r="E952" s="218">
        <v>5136978</v>
      </c>
      <c r="F952" s="219">
        <v>4136878</v>
      </c>
    </row>
    <row r="953" spans="1:6" ht="76.5">
      <c r="A953" s="54" t="s">
        <v>280</v>
      </c>
      <c r="B953" s="289" t="s">
        <v>777</v>
      </c>
      <c r="C953" s="6" t="s">
        <v>37</v>
      </c>
      <c r="D953" s="6" t="s">
        <v>420</v>
      </c>
      <c r="E953" s="218">
        <v>5136978</v>
      </c>
      <c r="F953" s="219">
        <v>4136878</v>
      </c>
    </row>
    <row r="954" spans="1:6" ht="51">
      <c r="A954" s="54" t="s">
        <v>1083</v>
      </c>
      <c r="B954" s="289" t="s">
        <v>1084</v>
      </c>
      <c r="C954" s="6" t="s">
        <v>1468</v>
      </c>
      <c r="D954" s="6" t="s">
        <v>1468</v>
      </c>
      <c r="E954" s="218">
        <v>2617000</v>
      </c>
      <c r="F954" s="219">
        <v>17000</v>
      </c>
    </row>
    <row r="955" spans="1:6" ht="38.25">
      <c r="A955" s="54" t="s">
        <v>1755</v>
      </c>
      <c r="B955" s="289" t="s">
        <v>1084</v>
      </c>
      <c r="C955" s="6" t="s">
        <v>1756</v>
      </c>
      <c r="D955" s="6" t="s">
        <v>1468</v>
      </c>
      <c r="E955" s="218">
        <v>2617000</v>
      </c>
      <c r="F955" s="219">
        <v>17000</v>
      </c>
    </row>
    <row r="956" spans="1:6" ht="38.25">
      <c r="A956" s="54" t="s">
        <v>1502</v>
      </c>
      <c r="B956" s="289" t="s">
        <v>1084</v>
      </c>
      <c r="C956" s="6" t="s">
        <v>1503</v>
      </c>
      <c r="D956" s="6" t="s">
        <v>1468</v>
      </c>
      <c r="E956" s="218">
        <v>2617000</v>
      </c>
      <c r="F956" s="219">
        <v>17000</v>
      </c>
    </row>
    <row r="957" spans="1:6">
      <c r="A957" s="54" t="s">
        <v>278</v>
      </c>
      <c r="B957" s="289" t="s">
        <v>1084</v>
      </c>
      <c r="C957" s="6" t="s">
        <v>1503</v>
      </c>
      <c r="D957" s="6" t="s">
        <v>1357</v>
      </c>
      <c r="E957" s="218">
        <v>2617000</v>
      </c>
      <c r="F957" s="219">
        <v>17000</v>
      </c>
    </row>
    <row r="958" spans="1:6" ht="76.5">
      <c r="A958" s="54" t="s">
        <v>280</v>
      </c>
      <c r="B958" s="289" t="s">
        <v>1084</v>
      </c>
      <c r="C958" s="6" t="s">
        <v>1503</v>
      </c>
      <c r="D958" s="6" t="s">
        <v>420</v>
      </c>
      <c r="E958" s="218">
        <v>2617000</v>
      </c>
      <c r="F958" s="219">
        <v>17000</v>
      </c>
    </row>
    <row r="959" spans="1:6" ht="38.25">
      <c r="A959" s="54" t="s">
        <v>1236</v>
      </c>
      <c r="B959" s="289" t="s">
        <v>1237</v>
      </c>
      <c r="C959" s="6" t="s">
        <v>1468</v>
      </c>
      <c r="D959" s="6" t="s">
        <v>1468</v>
      </c>
      <c r="E959" s="218">
        <v>951751</v>
      </c>
      <c r="F959" s="219">
        <v>951751</v>
      </c>
    </row>
    <row r="960" spans="1:6" ht="38.25">
      <c r="A960" s="54" t="s">
        <v>1755</v>
      </c>
      <c r="B960" s="289" t="s">
        <v>1237</v>
      </c>
      <c r="C960" s="6" t="s">
        <v>1756</v>
      </c>
      <c r="D960" s="6" t="s">
        <v>1468</v>
      </c>
      <c r="E960" s="218">
        <v>951751</v>
      </c>
      <c r="F960" s="219">
        <v>951751</v>
      </c>
    </row>
    <row r="961" spans="1:6" ht="38.25">
      <c r="A961" s="54" t="s">
        <v>1502</v>
      </c>
      <c r="B961" s="289" t="s">
        <v>1237</v>
      </c>
      <c r="C961" s="6" t="s">
        <v>1503</v>
      </c>
      <c r="D961" s="6" t="s">
        <v>1468</v>
      </c>
      <c r="E961" s="218">
        <v>951751</v>
      </c>
      <c r="F961" s="219">
        <v>951751</v>
      </c>
    </row>
    <row r="962" spans="1:6">
      <c r="A962" s="54" t="s">
        <v>278</v>
      </c>
      <c r="B962" s="289" t="s">
        <v>1237</v>
      </c>
      <c r="C962" s="6" t="s">
        <v>1503</v>
      </c>
      <c r="D962" s="6" t="s">
        <v>1357</v>
      </c>
      <c r="E962" s="218">
        <v>951751</v>
      </c>
      <c r="F962" s="219">
        <v>951751</v>
      </c>
    </row>
    <row r="963" spans="1:6" ht="76.5">
      <c r="A963" s="54" t="s">
        <v>280</v>
      </c>
      <c r="B963" s="289" t="s">
        <v>1237</v>
      </c>
      <c r="C963" s="6" t="s">
        <v>1503</v>
      </c>
      <c r="D963" s="6" t="s">
        <v>420</v>
      </c>
      <c r="E963" s="218">
        <v>951751</v>
      </c>
      <c r="F963" s="219">
        <v>951751</v>
      </c>
    </row>
    <row r="964" spans="1:6" ht="102">
      <c r="A964" s="54" t="s">
        <v>636</v>
      </c>
      <c r="B964" s="289" t="s">
        <v>781</v>
      </c>
      <c r="C964" s="6" t="s">
        <v>1468</v>
      </c>
      <c r="D964" s="6" t="s">
        <v>1468</v>
      </c>
      <c r="E964" s="218">
        <v>63200</v>
      </c>
      <c r="F964" s="219">
        <v>63200</v>
      </c>
    </row>
    <row r="965" spans="1:6" ht="76.5">
      <c r="A965" s="54" t="s">
        <v>1754</v>
      </c>
      <c r="B965" s="289" t="s">
        <v>781</v>
      </c>
      <c r="C965" s="6" t="s">
        <v>322</v>
      </c>
      <c r="D965" s="6" t="s">
        <v>1468</v>
      </c>
      <c r="E965" s="218">
        <v>60280</v>
      </c>
      <c r="F965" s="219">
        <v>60280</v>
      </c>
    </row>
    <row r="966" spans="1:6" ht="38.25">
      <c r="A966" s="54" t="s">
        <v>1509</v>
      </c>
      <c r="B966" s="289" t="s">
        <v>781</v>
      </c>
      <c r="C966" s="6" t="s">
        <v>37</v>
      </c>
      <c r="D966" s="6" t="s">
        <v>1468</v>
      </c>
      <c r="E966" s="218">
        <v>60280</v>
      </c>
      <c r="F966" s="219">
        <v>60280</v>
      </c>
    </row>
    <row r="967" spans="1:6">
      <c r="A967" s="54" t="s">
        <v>278</v>
      </c>
      <c r="B967" s="289" t="s">
        <v>781</v>
      </c>
      <c r="C967" s="6" t="s">
        <v>37</v>
      </c>
      <c r="D967" s="6" t="s">
        <v>1357</v>
      </c>
      <c r="E967" s="218">
        <v>60280</v>
      </c>
      <c r="F967" s="219">
        <v>60280</v>
      </c>
    </row>
    <row r="968" spans="1:6">
      <c r="A968" s="54" t="s">
        <v>261</v>
      </c>
      <c r="B968" s="289" t="s">
        <v>781</v>
      </c>
      <c r="C968" s="6" t="s">
        <v>37</v>
      </c>
      <c r="D968" s="6" t="s">
        <v>424</v>
      </c>
      <c r="E968" s="218">
        <v>60280</v>
      </c>
      <c r="F968" s="219">
        <v>60280</v>
      </c>
    </row>
    <row r="969" spans="1:6" ht="38.25">
      <c r="A969" s="54" t="s">
        <v>1755</v>
      </c>
      <c r="B969" s="289" t="s">
        <v>781</v>
      </c>
      <c r="C969" s="6" t="s">
        <v>1756</v>
      </c>
      <c r="D969" s="6" t="s">
        <v>1468</v>
      </c>
      <c r="E969" s="218">
        <v>2920</v>
      </c>
      <c r="F969" s="219">
        <v>2920</v>
      </c>
    </row>
    <row r="970" spans="1:6" ht="38.25">
      <c r="A970" s="54" t="s">
        <v>1502</v>
      </c>
      <c r="B970" s="289" t="s">
        <v>781</v>
      </c>
      <c r="C970" s="6" t="s">
        <v>1503</v>
      </c>
      <c r="D970" s="6" t="s">
        <v>1468</v>
      </c>
      <c r="E970" s="218">
        <v>2920</v>
      </c>
      <c r="F970" s="219">
        <v>2920</v>
      </c>
    </row>
    <row r="971" spans="1:6">
      <c r="A971" s="54" t="s">
        <v>278</v>
      </c>
      <c r="B971" s="289" t="s">
        <v>781</v>
      </c>
      <c r="C971" s="6" t="s">
        <v>1503</v>
      </c>
      <c r="D971" s="6" t="s">
        <v>1357</v>
      </c>
      <c r="E971" s="218">
        <v>2920</v>
      </c>
      <c r="F971" s="219">
        <v>2920</v>
      </c>
    </row>
    <row r="972" spans="1:6">
      <c r="A972" s="54" t="s">
        <v>261</v>
      </c>
      <c r="B972" s="289" t="s">
        <v>781</v>
      </c>
      <c r="C972" s="6" t="s">
        <v>1503</v>
      </c>
      <c r="D972" s="6" t="s">
        <v>424</v>
      </c>
      <c r="E972" s="218">
        <v>2920</v>
      </c>
      <c r="F972" s="219">
        <v>2920</v>
      </c>
    </row>
    <row r="973" spans="1:6" ht="102">
      <c r="A973" s="54" t="s">
        <v>422</v>
      </c>
      <c r="B973" s="289" t="s">
        <v>774</v>
      </c>
      <c r="C973" s="6" t="s">
        <v>1468</v>
      </c>
      <c r="D973" s="6" t="s">
        <v>1468</v>
      </c>
      <c r="E973" s="218">
        <v>648300</v>
      </c>
      <c r="F973" s="219">
        <v>648300</v>
      </c>
    </row>
    <row r="974" spans="1:6" ht="76.5">
      <c r="A974" s="54" t="s">
        <v>1754</v>
      </c>
      <c r="B974" s="289" t="s">
        <v>774</v>
      </c>
      <c r="C974" s="6" t="s">
        <v>322</v>
      </c>
      <c r="D974" s="6" t="s">
        <v>1468</v>
      </c>
      <c r="E974" s="218">
        <v>616100</v>
      </c>
      <c r="F974" s="219">
        <v>616100</v>
      </c>
    </row>
    <row r="975" spans="1:6" ht="38.25">
      <c r="A975" s="54" t="s">
        <v>1509</v>
      </c>
      <c r="B975" s="289" t="s">
        <v>774</v>
      </c>
      <c r="C975" s="6" t="s">
        <v>37</v>
      </c>
      <c r="D975" s="6" t="s">
        <v>1468</v>
      </c>
      <c r="E975" s="218">
        <v>616100</v>
      </c>
      <c r="F975" s="219">
        <v>616100</v>
      </c>
    </row>
    <row r="976" spans="1:6">
      <c r="A976" s="54" t="s">
        <v>278</v>
      </c>
      <c r="B976" s="289" t="s">
        <v>774</v>
      </c>
      <c r="C976" s="6" t="s">
        <v>37</v>
      </c>
      <c r="D976" s="6" t="s">
        <v>1357</v>
      </c>
      <c r="E976" s="218">
        <v>616100</v>
      </c>
      <c r="F976" s="219">
        <v>616100</v>
      </c>
    </row>
    <row r="977" spans="1:6" ht="76.5">
      <c r="A977" s="54" t="s">
        <v>280</v>
      </c>
      <c r="B977" s="289" t="s">
        <v>774</v>
      </c>
      <c r="C977" s="6" t="s">
        <v>37</v>
      </c>
      <c r="D977" s="6" t="s">
        <v>420</v>
      </c>
      <c r="E977" s="218">
        <v>616100</v>
      </c>
      <c r="F977" s="219">
        <v>616100</v>
      </c>
    </row>
    <row r="978" spans="1:6" ht="38.25">
      <c r="A978" s="54" t="s">
        <v>1755</v>
      </c>
      <c r="B978" s="289" t="s">
        <v>774</v>
      </c>
      <c r="C978" s="6" t="s">
        <v>1756</v>
      </c>
      <c r="D978" s="6" t="s">
        <v>1468</v>
      </c>
      <c r="E978" s="218">
        <v>32200</v>
      </c>
      <c r="F978" s="219">
        <v>32200</v>
      </c>
    </row>
    <row r="979" spans="1:6" ht="38.25">
      <c r="A979" s="54" t="s">
        <v>1502</v>
      </c>
      <c r="B979" s="289" t="s">
        <v>774</v>
      </c>
      <c r="C979" s="6" t="s">
        <v>1503</v>
      </c>
      <c r="D979" s="6" t="s">
        <v>1468</v>
      </c>
      <c r="E979" s="218">
        <v>32200</v>
      </c>
      <c r="F979" s="219">
        <v>32200</v>
      </c>
    </row>
    <row r="980" spans="1:6">
      <c r="A980" s="54" t="s">
        <v>278</v>
      </c>
      <c r="B980" s="289" t="s">
        <v>774</v>
      </c>
      <c r="C980" s="6" t="s">
        <v>1503</v>
      </c>
      <c r="D980" s="6" t="s">
        <v>1357</v>
      </c>
      <c r="E980" s="218">
        <v>32200</v>
      </c>
      <c r="F980" s="219">
        <v>32200</v>
      </c>
    </row>
    <row r="981" spans="1:6" ht="76.5">
      <c r="A981" s="54" t="s">
        <v>280</v>
      </c>
      <c r="B981" s="289" t="s">
        <v>774</v>
      </c>
      <c r="C981" s="6" t="s">
        <v>1503</v>
      </c>
      <c r="D981" s="6" t="s">
        <v>420</v>
      </c>
      <c r="E981" s="218">
        <v>32200</v>
      </c>
      <c r="F981" s="219">
        <v>32200</v>
      </c>
    </row>
    <row r="982" spans="1:6" ht="51">
      <c r="A982" s="54" t="s">
        <v>425</v>
      </c>
      <c r="B982" s="289" t="s">
        <v>782</v>
      </c>
      <c r="C982" s="6" t="s">
        <v>1468</v>
      </c>
      <c r="D982" s="6" t="s">
        <v>1468</v>
      </c>
      <c r="E982" s="218">
        <v>74700</v>
      </c>
      <c r="F982" s="219">
        <v>74700</v>
      </c>
    </row>
    <row r="983" spans="1:6" ht="76.5">
      <c r="A983" s="54" t="s">
        <v>1754</v>
      </c>
      <c r="B983" s="289" t="s">
        <v>782</v>
      </c>
      <c r="C983" s="6" t="s">
        <v>322</v>
      </c>
      <c r="D983" s="6" t="s">
        <v>1468</v>
      </c>
      <c r="E983" s="218">
        <v>61468</v>
      </c>
      <c r="F983" s="219">
        <v>61468</v>
      </c>
    </row>
    <row r="984" spans="1:6" ht="38.25">
      <c r="A984" s="54" t="s">
        <v>1509</v>
      </c>
      <c r="B984" s="289" t="s">
        <v>782</v>
      </c>
      <c r="C984" s="6" t="s">
        <v>37</v>
      </c>
      <c r="D984" s="6" t="s">
        <v>1468</v>
      </c>
      <c r="E984" s="218">
        <v>61468</v>
      </c>
      <c r="F984" s="219">
        <v>61468</v>
      </c>
    </row>
    <row r="985" spans="1:6">
      <c r="A985" s="54" t="s">
        <v>278</v>
      </c>
      <c r="B985" s="289" t="s">
        <v>782</v>
      </c>
      <c r="C985" s="6" t="s">
        <v>37</v>
      </c>
      <c r="D985" s="6" t="s">
        <v>1357</v>
      </c>
      <c r="E985" s="218">
        <v>61468</v>
      </c>
      <c r="F985" s="219">
        <v>61468</v>
      </c>
    </row>
    <row r="986" spans="1:6">
      <c r="A986" s="54" t="s">
        <v>261</v>
      </c>
      <c r="B986" s="289" t="s">
        <v>782</v>
      </c>
      <c r="C986" s="6" t="s">
        <v>37</v>
      </c>
      <c r="D986" s="6" t="s">
        <v>424</v>
      </c>
      <c r="E986" s="218">
        <v>61468</v>
      </c>
      <c r="F986" s="219">
        <v>61468</v>
      </c>
    </row>
    <row r="987" spans="1:6" ht="38.25">
      <c r="A987" s="54" t="s">
        <v>1755</v>
      </c>
      <c r="B987" s="289" t="s">
        <v>782</v>
      </c>
      <c r="C987" s="6" t="s">
        <v>1756</v>
      </c>
      <c r="D987" s="6" t="s">
        <v>1468</v>
      </c>
      <c r="E987" s="218">
        <v>13232</v>
      </c>
      <c r="F987" s="219">
        <v>13232</v>
      </c>
    </row>
    <row r="988" spans="1:6" ht="38.25">
      <c r="A988" s="54" t="s">
        <v>1502</v>
      </c>
      <c r="B988" s="289" t="s">
        <v>782</v>
      </c>
      <c r="C988" s="6" t="s">
        <v>1503</v>
      </c>
      <c r="D988" s="6" t="s">
        <v>1468</v>
      </c>
      <c r="E988" s="218">
        <v>13232</v>
      </c>
      <c r="F988" s="219">
        <v>13232</v>
      </c>
    </row>
    <row r="989" spans="1:6">
      <c r="A989" s="54" t="s">
        <v>278</v>
      </c>
      <c r="B989" s="289" t="s">
        <v>782</v>
      </c>
      <c r="C989" s="6" t="s">
        <v>1503</v>
      </c>
      <c r="D989" s="6" t="s">
        <v>1357</v>
      </c>
      <c r="E989" s="218">
        <v>13232</v>
      </c>
      <c r="F989" s="219">
        <v>13232</v>
      </c>
    </row>
    <row r="990" spans="1:6">
      <c r="A990" s="54" t="s">
        <v>261</v>
      </c>
      <c r="B990" s="289" t="s">
        <v>782</v>
      </c>
      <c r="C990" s="6" t="s">
        <v>1503</v>
      </c>
      <c r="D990" s="6" t="s">
        <v>424</v>
      </c>
      <c r="E990" s="218">
        <v>13232</v>
      </c>
      <c r="F990" s="219">
        <v>13232</v>
      </c>
    </row>
    <row r="991" spans="1:6" ht="76.5">
      <c r="A991" s="54" t="s">
        <v>423</v>
      </c>
      <c r="B991" s="289" t="s">
        <v>775</v>
      </c>
      <c r="C991" s="6" t="s">
        <v>1468</v>
      </c>
      <c r="D991" s="6" t="s">
        <v>1468</v>
      </c>
      <c r="E991" s="218">
        <v>1268200</v>
      </c>
      <c r="F991" s="219">
        <v>1268200</v>
      </c>
    </row>
    <row r="992" spans="1:6" ht="76.5">
      <c r="A992" s="54" t="s">
        <v>1754</v>
      </c>
      <c r="B992" s="289" t="s">
        <v>775</v>
      </c>
      <c r="C992" s="6" t="s">
        <v>322</v>
      </c>
      <c r="D992" s="6" t="s">
        <v>1468</v>
      </c>
      <c r="E992" s="218">
        <v>1214220</v>
      </c>
      <c r="F992" s="219">
        <v>1214220</v>
      </c>
    </row>
    <row r="993" spans="1:6" ht="38.25">
      <c r="A993" s="54" t="s">
        <v>1509</v>
      </c>
      <c r="B993" s="289" t="s">
        <v>775</v>
      </c>
      <c r="C993" s="6" t="s">
        <v>37</v>
      </c>
      <c r="D993" s="6" t="s">
        <v>1468</v>
      </c>
      <c r="E993" s="218">
        <v>1214220</v>
      </c>
      <c r="F993" s="219">
        <v>1214220</v>
      </c>
    </row>
    <row r="994" spans="1:6">
      <c r="A994" s="54" t="s">
        <v>278</v>
      </c>
      <c r="B994" s="289" t="s">
        <v>775</v>
      </c>
      <c r="C994" s="6" t="s">
        <v>37</v>
      </c>
      <c r="D994" s="6" t="s">
        <v>1357</v>
      </c>
      <c r="E994" s="218">
        <v>1214220</v>
      </c>
      <c r="F994" s="219">
        <v>1214220</v>
      </c>
    </row>
    <row r="995" spans="1:6" ht="76.5">
      <c r="A995" s="54" t="s">
        <v>280</v>
      </c>
      <c r="B995" s="289" t="s">
        <v>775</v>
      </c>
      <c r="C995" s="6" t="s">
        <v>37</v>
      </c>
      <c r="D995" s="6" t="s">
        <v>420</v>
      </c>
      <c r="E995" s="218">
        <v>1214220</v>
      </c>
      <c r="F995" s="219">
        <v>1214220</v>
      </c>
    </row>
    <row r="996" spans="1:6" ht="38.25">
      <c r="A996" s="54" t="s">
        <v>1755</v>
      </c>
      <c r="B996" s="289" t="s">
        <v>775</v>
      </c>
      <c r="C996" s="6" t="s">
        <v>1756</v>
      </c>
      <c r="D996" s="6" t="s">
        <v>1468</v>
      </c>
      <c r="E996" s="218">
        <v>53980</v>
      </c>
      <c r="F996" s="219">
        <v>53980</v>
      </c>
    </row>
    <row r="997" spans="1:6" ht="38.25">
      <c r="A997" s="54" t="s">
        <v>1502</v>
      </c>
      <c r="B997" s="289" t="s">
        <v>775</v>
      </c>
      <c r="C997" s="6" t="s">
        <v>1503</v>
      </c>
      <c r="D997" s="6" t="s">
        <v>1468</v>
      </c>
      <c r="E997" s="218">
        <v>53980</v>
      </c>
      <c r="F997" s="219">
        <v>53980</v>
      </c>
    </row>
    <row r="998" spans="1:6">
      <c r="A998" s="54" t="s">
        <v>278</v>
      </c>
      <c r="B998" s="289" t="s">
        <v>775</v>
      </c>
      <c r="C998" s="6" t="s">
        <v>1503</v>
      </c>
      <c r="D998" s="6" t="s">
        <v>1357</v>
      </c>
      <c r="E998" s="218">
        <v>53980</v>
      </c>
      <c r="F998" s="219">
        <v>53980</v>
      </c>
    </row>
    <row r="999" spans="1:6" ht="76.5">
      <c r="A999" s="54" t="s">
        <v>280</v>
      </c>
      <c r="B999" s="289" t="s">
        <v>775</v>
      </c>
      <c r="C999" s="6" t="s">
        <v>1503</v>
      </c>
      <c r="D999" s="6" t="s">
        <v>420</v>
      </c>
      <c r="E999" s="218">
        <v>53980</v>
      </c>
      <c r="F999" s="219">
        <v>53980</v>
      </c>
    </row>
    <row r="1000" spans="1:6" ht="267.75">
      <c r="A1000" s="54" t="s">
        <v>592</v>
      </c>
      <c r="B1000" s="289" t="s">
        <v>778</v>
      </c>
      <c r="C1000" s="6" t="s">
        <v>1468</v>
      </c>
      <c r="D1000" s="6" t="s">
        <v>1468</v>
      </c>
      <c r="E1000" s="218">
        <v>602812</v>
      </c>
      <c r="F1000" s="219">
        <v>602812</v>
      </c>
    </row>
    <row r="1001" spans="1:6" ht="76.5">
      <c r="A1001" s="54" t="s">
        <v>1754</v>
      </c>
      <c r="B1001" s="289" t="s">
        <v>778</v>
      </c>
      <c r="C1001" s="6" t="s">
        <v>322</v>
      </c>
      <c r="D1001" s="6" t="s">
        <v>1468</v>
      </c>
      <c r="E1001" s="218">
        <v>602812</v>
      </c>
      <c r="F1001" s="219">
        <v>602812</v>
      </c>
    </row>
    <row r="1002" spans="1:6" ht="38.25">
      <c r="A1002" s="54" t="s">
        <v>1509</v>
      </c>
      <c r="B1002" s="289" t="s">
        <v>778</v>
      </c>
      <c r="C1002" s="6" t="s">
        <v>37</v>
      </c>
      <c r="D1002" s="6" t="s">
        <v>1468</v>
      </c>
      <c r="E1002" s="218">
        <v>602812</v>
      </c>
      <c r="F1002" s="219">
        <v>602812</v>
      </c>
    </row>
    <row r="1003" spans="1:6">
      <c r="A1003" s="54" t="s">
        <v>278</v>
      </c>
      <c r="B1003" s="289" t="s">
        <v>778</v>
      </c>
      <c r="C1003" s="6" t="s">
        <v>37</v>
      </c>
      <c r="D1003" s="6" t="s">
        <v>1357</v>
      </c>
      <c r="E1003" s="218">
        <v>602812</v>
      </c>
      <c r="F1003" s="219">
        <v>602812</v>
      </c>
    </row>
    <row r="1004" spans="1:6" ht="76.5">
      <c r="A1004" s="54" t="s">
        <v>280</v>
      </c>
      <c r="B1004" s="289" t="s">
        <v>778</v>
      </c>
      <c r="C1004" s="6" t="s">
        <v>37</v>
      </c>
      <c r="D1004" s="6" t="s">
        <v>420</v>
      </c>
      <c r="E1004" s="218">
        <v>602812</v>
      </c>
      <c r="F1004" s="219">
        <v>602812</v>
      </c>
    </row>
    <row r="1005" spans="1:6" ht="63.75">
      <c r="A1005" s="54" t="s">
        <v>417</v>
      </c>
      <c r="B1005" s="289" t="s">
        <v>1149</v>
      </c>
      <c r="C1005" s="6" t="s">
        <v>1468</v>
      </c>
      <c r="D1005" s="6" t="s">
        <v>1468</v>
      </c>
      <c r="E1005" s="218">
        <v>2703802</v>
      </c>
      <c r="F1005" s="219">
        <v>2703802</v>
      </c>
    </row>
    <row r="1006" spans="1:6" ht="63.75">
      <c r="A1006" s="54" t="s">
        <v>417</v>
      </c>
      <c r="B1006" s="289" t="s">
        <v>768</v>
      </c>
      <c r="C1006" s="6" t="s">
        <v>1468</v>
      </c>
      <c r="D1006" s="6" t="s">
        <v>1468</v>
      </c>
      <c r="E1006" s="218">
        <v>2703802</v>
      </c>
      <c r="F1006" s="219">
        <v>2703802</v>
      </c>
    </row>
    <row r="1007" spans="1:6" ht="76.5">
      <c r="A1007" s="54" t="s">
        <v>1754</v>
      </c>
      <c r="B1007" s="289" t="s">
        <v>768</v>
      </c>
      <c r="C1007" s="6" t="s">
        <v>322</v>
      </c>
      <c r="D1007" s="6" t="s">
        <v>1468</v>
      </c>
      <c r="E1007" s="218">
        <v>2703802</v>
      </c>
      <c r="F1007" s="219">
        <v>2703802</v>
      </c>
    </row>
    <row r="1008" spans="1:6" ht="38.25">
      <c r="A1008" s="54" t="s">
        <v>1509</v>
      </c>
      <c r="B1008" s="289" t="s">
        <v>768</v>
      </c>
      <c r="C1008" s="6" t="s">
        <v>37</v>
      </c>
      <c r="D1008" s="6" t="s">
        <v>1468</v>
      </c>
      <c r="E1008" s="218">
        <v>2703802</v>
      </c>
      <c r="F1008" s="219">
        <v>2703802</v>
      </c>
    </row>
    <row r="1009" spans="1:6">
      <c r="A1009" s="54" t="s">
        <v>278</v>
      </c>
      <c r="B1009" s="289" t="s">
        <v>768</v>
      </c>
      <c r="C1009" s="6" t="s">
        <v>37</v>
      </c>
      <c r="D1009" s="6" t="s">
        <v>1357</v>
      </c>
      <c r="E1009" s="218">
        <v>2703802</v>
      </c>
      <c r="F1009" s="219">
        <v>2703802</v>
      </c>
    </row>
    <row r="1010" spans="1:6" ht="63.75">
      <c r="A1010" s="54" t="s">
        <v>93</v>
      </c>
      <c r="B1010" s="289" t="s">
        <v>768</v>
      </c>
      <c r="C1010" s="6" t="s">
        <v>37</v>
      </c>
      <c r="D1010" s="6" t="s">
        <v>414</v>
      </c>
      <c r="E1010" s="218">
        <v>2703802</v>
      </c>
      <c r="F1010" s="219">
        <v>2703802</v>
      </c>
    </row>
    <row r="1011" spans="1:6" ht="76.5">
      <c r="A1011" s="54" t="s">
        <v>419</v>
      </c>
      <c r="B1011" s="289" t="s">
        <v>1150</v>
      </c>
      <c r="C1011" s="6" t="s">
        <v>1468</v>
      </c>
      <c r="D1011" s="6" t="s">
        <v>1468</v>
      </c>
      <c r="E1011" s="218">
        <v>929134</v>
      </c>
      <c r="F1011" s="219">
        <v>929134</v>
      </c>
    </row>
    <row r="1012" spans="1:6" ht="76.5">
      <c r="A1012" s="54" t="s">
        <v>419</v>
      </c>
      <c r="B1012" s="289" t="s">
        <v>770</v>
      </c>
      <c r="C1012" s="6" t="s">
        <v>1468</v>
      </c>
      <c r="D1012" s="6" t="s">
        <v>1468</v>
      </c>
      <c r="E1012" s="218">
        <v>929134</v>
      </c>
      <c r="F1012" s="219">
        <v>929134</v>
      </c>
    </row>
    <row r="1013" spans="1:6" ht="76.5">
      <c r="A1013" s="54" t="s">
        <v>1754</v>
      </c>
      <c r="B1013" s="289" t="s">
        <v>770</v>
      </c>
      <c r="C1013" s="6" t="s">
        <v>322</v>
      </c>
      <c r="D1013" s="6" t="s">
        <v>1468</v>
      </c>
      <c r="E1013" s="218">
        <v>929134</v>
      </c>
      <c r="F1013" s="219">
        <v>929134</v>
      </c>
    </row>
    <row r="1014" spans="1:6" ht="38.25">
      <c r="A1014" s="54" t="s">
        <v>1509</v>
      </c>
      <c r="B1014" s="289" t="s">
        <v>770</v>
      </c>
      <c r="C1014" s="6" t="s">
        <v>37</v>
      </c>
      <c r="D1014" s="6" t="s">
        <v>1468</v>
      </c>
      <c r="E1014" s="218">
        <v>929134</v>
      </c>
      <c r="F1014" s="219">
        <v>929134</v>
      </c>
    </row>
    <row r="1015" spans="1:6">
      <c r="A1015" s="54" t="s">
        <v>278</v>
      </c>
      <c r="B1015" s="289" t="s">
        <v>770</v>
      </c>
      <c r="C1015" s="6" t="s">
        <v>37</v>
      </c>
      <c r="D1015" s="6" t="s">
        <v>1357</v>
      </c>
      <c r="E1015" s="218">
        <v>929134</v>
      </c>
      <c r="F1015" s="219">
        <v>929134</v>
      </c>
    </row>
    <row r="1016" spans="1:6" ht="51">
      <c r="A1016" s="54" t="s">
        <v>260</v>
      </c>
      <c r="B1016" s="289" t="s">
        <v>770</v>
      </c>
      <c r="C1016" s="6" t="s">
        <v>37</v>
      </c>
      <c r="D1016" s="6" t="s">
        <v>418</v>
      </c>
      <c r="E1016" s="218">
        <v>929134</v>
      </c>
      <c r="F1016" s="219">
        <v>929134</v>
      </c>
    </row>
    <row r="1017" spans="1:6" ht="25.5">
      <c r="A1017" s="54" t="s">
        <v>710</v>
      </c>
      <c r="B1017" s="289" t="s">
        <v>1151</v>
      </c>
      <c r="C1017" s="6" t="s">
        <v>1468</v>
      </c>
      <c r="D1017" s="6" t="s">
        <v>1468</v>
      </c>
      <c r="E1017" s="218">
        <v>11968339</v>
      </c>
      <c r="F1017" s="219">
        <v>6127439</v>
      </c>
    </row>
    <row r="1018" spans="1:6" ht="51">
      <c r="A1018" s="54" t="s">
        <v>516</v>
      </c>
      <c r="B1018" s="289" t="s">
        <v>1152</v>
      </c>
      <c r="C1018" s="6" t="s">
        <v>1468</v>
      </c>
      <c r="D1018" s="6" t="s">
        <v>1468</v>
      </c>
      <c r="E1018" s="218">
        <v>2000000</v>
      </c>
      <c r="F1018" s="219">
        <v>2000000</v>
      </c>
    </row>
    <row r="1019" spans="1:6" ht="51">
      <c r="A1019" s="54" t="s">
        <v>516</v>
      </c>
      <c r="B1019" s="289" t="s">
        <v>921</v>
      </c>
      <c r="C1019" s="6" t="s">
        <v>1468</v>
      </c>
      <c r="D1019" s="6" t="s">
        <v>1468</v>
      </c>
      <c r="E1019" s="218">
        <v>2000000</v>
      </c>
      <c r="F1019" s="219">
        <v>2000000</v>
      </c>
    </row>
    <row r="1020" spans="1:6">
      <c r="A1020" s="54" t="s">
        <v>1757</v>
      </c>
      <c r="B1020" s="289" t="s">
        <v>921</v>
      </c>
      <c r="C1020" s="6" t="s">
        <v>1758</v>
      </c>
      <c r="D1020" s="6" t="s">
        <v>1468</v>
      </c>
      <c r="E1020" s="218">
        <v>2000000</v>
      </c>
      <c r="F1020" s="219">
        <v>2000000</v>
      </c>
    </row>
    <row r="1021" spans="1:6">
      <c r="A1021" s="54" t="s">
        <v>517</v>
      </c>
      <c r="B1021" s="289" t="s">
        <v>921</v>
      </c>
      <c r="C1021" s="6" t="s">
        <v>518</v>
      </c>
      <c r="D1021" s="6" t="s">
        <v>1468</v>
      </c>
      <c r="E1021" s="218">
        <v>2000000</v>
      </c>
      <c r="F1021" s="219">
        <v>2000000</v>
      </c>
    </row>
    <row r="1022" spans="1:6">
      <c r="A1022" s="54" t="s">
        <v>278</v>
      </c>
      <c r="B1022" s="289" t="s">
        <v>921</v>
      </c>
      <c r="C1022" s="6" t="s">
        <v>518</v>
      </c>
      <c r="D1022" s="6" t="s">
        <v>1357</v>
      </c>
      <c r="E1022" s="218">
        <v>2000000</v>
      </c>
      <c r="F1022" s="219">
        <v>2000000</v>
      </c>
    </row>
    <row r="1023" spans="1:6">
      <c r="A1023" s="54" t="s">
        <v>70</v>
      </c>
      <c r="B1023" s="289" t="s">
        <v>921</v>
      </c>
      <c r="C1023" s="6" t="s">
        <v>518</v>
      </c>
      <c r="D1023" s="6" t="s">
        <v>515</v>
      </c>
      <c r="E1023" s="218">
        <v>2000000</v>
      </c>
      <c r="F1023" s="219">
        <v>2000000</v>
      </c>
    </row>
    <row r="1024" spans="1:6" ht="89.25">
      <c r="A1024" s="54" t="s">
        <v>533</v>
      </c>
      <c r="B1024" s="289" t="s">
        <v>1491</v>
      </c>
      <c r="C1024" s="6" t="s">
        <v>1468</v>
      </c>
      <c r="D1024" s="6" t="s">
        <v>1468</v>
      </c>
      <c r="E1024" s="218">
        <v>2900</v>
      </c>
      <c r="F1024" s="219">
        <v>0</v>
      </c>
    </row>
    <row r="1025" spans="1:6" ht="89.25">
      <c r="A1025" s="54" t="s">
        <v>533</v>
      </c>
      <c r="B1025" s="289" t="s">
        <v>779</v>
      </c>
      <c r="C1025" s="6" t="s">
        <v>1468</v>
      </c>
      <c r="D1025" s="6" t="s">
        <v>1468</v>
      </c>
      <c r="E1025" s="218">
        <v>2900</v>
      </c>
      <c r="F1025" s="219">
        <v>0</v>
      </c>
    </row>
    <row r="1026" spans="1:6" ht="38.25">
      <c r="A1026" s="54" t="s">
        <v>1755</v>
      </c>
      <c r="B1026" s="289" t="s">
        <v>779</v>
      </c>
      <c r="C1026" s="6" t="s">
        <v>1756</v>
      </c>
      <c r="D1026" s="6" t="s">
        <v>1468</v>
      </c>
      <c r="E1026" s="218">
        <v>2900</v>
      </c>
      <c r="F1026" s="219">
        <v>0</v>
      </c>
    </row>
    <row r="1027" spans="1:6" ht="38.25">
      <c r="A1027" s="54" t="s">
        <v>1502</v>
      </c>
      <c r="B1027" s="289" t="s">
        <v>779</v>
      </c>
      <c r="C1027" s="6" t="s">
        <v>1503</v>
      </c>
      <c r="D1027" s="6" t="s">
        <v>1468</v>
      </c>
      <c r="E1027" s="218">
        <v>2900</v>
      </c>
      <c r="F1027" s="219">
        <v>0</v>
      </c>
    </row>
    <row r="1028" spans="1:6">
      <c r="A1028" s="54" t="s">
        <v>278</v>
      </c>
      <c r="B1028" s="289" t="s">
        <v>779</v>
      </c>
      <c r="C1028" s="6" t="s">
        <v>1503</v>
      </c>
      <c r="D1028" s="6" t="s">
        <v>1357</v>
      </c>
      <c r="E1028" s="218">
        <v>2900</v>
      </c>
      <c r="F1028" s="219">
        <v>0</v>
      </c>
    </row>
    <row r="1029" spans="1:6">
      <c r="A1029" s="54" t="s">
        <v>1489</v>
      </c>
      <c r="B1029" s="289" t="s">
        <v>779</v>
      </c>
      <c r="C1029" s="6" t="s">
        <v>1503</v>
      </c>
      <c r="D1029" s="6" t="s">
        <v>1490</v>
      </c>
      <c r="E1029" s="218">
        <v>2900</v>
      </c>
      <c r="F1029" s="219">
        <v>0</v>
      </c>
    </row>
    <row r="1030" spans="1:6" ht="51">
      <c r="A1030" s="54" t="s">
        <v>478</v>
      </c>
      <c r="B1030" s="289" t="s">
        <v>1153</v>
      </c>
      <c r="C1030" s="6" t="s">
        <v>1468</v>
      </c>
      <c r="D1030" s="6" t="s">
        <v>1468</v>
      </c>
      <c r="E1030" s="218">
        <v>3380699</v>
      </c>
      <c r="F1030" s="219">
        <v>3380699</v>
      </c>
    </row>
    <row r="1031" spans="1:6" ht="51">
      <c r="A1031" s="54" t="s">
        <v>478</v>
      </c>
      <c r="B1031" s="289" t="s">
        <v>822</v>
      </c>
      <c r="C1031" s="6" t="s">
        <v>1468</v>
      </c>
      <c r="D1031" s="6" t="s">
        <v>1468</v>
      </c>
      <c r="E1031" s="218">
        <v>3380699</v>
      </c>
      <c r="F1031" s="219">
        <v>3380699</v>
      </c>
    </row>
    <row r="1032" spans="1:6" ht="76.5">
      <c r="A1032" s="54" t="s">
        <v>1754</v>
      </c>
      <c r="B1032" s="289" t="s">
        <v>822</v>
      </c>
      <c r="C1032" s="6" t="s">
        <v>322</v>
      </c>
      <c r="D1032" s="6" t="s">
        <v>1468</v>
      </c>
      <c r="E1032" s="218">
        <v>3380699</v>
      </c>
      <c r="F1032" s="219">
        <v>3380699</v>
      </c>
    </row>
    <row r="1033" spans="1:6" ht="25.5">
      <c r="A1033" s="54" t="s">
        <v>1487</v>
      </c>
      <c r="B1033" s="289" t="s">
        <v>822</v>
      </c>
      <c r="C1033" s="6" t="s">
        <v>165</v>
      </c>
      <c r="D1033" s="6" t="s">
        <v>1468</v>
      </c>
      <c r="E1033" s="218">
        <v>3380699</v>
      </c>
      <c r="F1033" s="219">
        <v>3380699</v>
      </c>
    </row>
    <row r="1034" spans="1:6" ht="25.5">
      <c r="A1034" s="54" t="s">
        <v>283</v>
      </c>
      <c r="B1034" s="289" t="s">
        <v>822</v>
      </c>
      <c r="C1034" s="6" t="s">
        <v>165</v>
      </c>
      <c r="D1034" s="6" t="s">
        <v>1363</v>
      </c>
      <c r="E1034" s="218">
        <v>3380699</v>
      </c>
      <c r="F1034" s="219">
        <v>3380699</v>
      </c>
    </row>
    <row r="1035" spans="1:6" ht="25.5">
      <c r="A1035" s="54" t="s">
        <v>185</v>
      </c>
      <c r="B1035" s="289" t="s">
        <v>822</v>
      </c>
      <c r="C1035" s="6" t="s">
        <v>165</v>
      </c>
      <c r="D1035" s="6" t="s">
        <v>477</v>
      </c>
      <c r="E1035" s="218">
        <v>3380699</v>
      </c>
      <c r="F1035" s="219">
        <v>3380699</v>
      </c>
    </row>
    <row r="1036" spans="1:6" ht="63.75">
      <c r="A1036" s="54" t="s">
        <v>594</v>
      </c>
      <c r="B1036" s="289" t="s">
        <v>1154</v>
      </c>
      <c r="C1036" s="6" t="s">
        <v>1468</v>
      </c>
      <c r="D1036" s="6" t="s">
        <v>1468</v>
      </c>
      <c r="E1036" s="218">
        <v>60000</v>
      </c>
      <c r="F1036" s="219">
        <v>60000</v>
      </c>
    </row>
    <row r="1037" spans="1:6" ht="63.75">
      <c r="A1037" s="54" t="s">
        <v>594</v>
      </c>
      <c r="B1037" s="289" t="s">
        <v>783</v>
      </c>
      <c r="C1037" s="6" t="s">
        <v>1468</v>
      </c>
      <c r="D1037" s="6" t="s">
        <v>1468</v>
      </c>
      <c r="E1037" s="218">
        <v>60000</v>
      </c>
      <c r="F1037" s="219">
        <v>60000</v>
      </c>
    </row>
    <row r="1038" spans="1:6" ht="25.5">
      <c r="A1038" s="54" t="s">
        <v>1759</v>
      </c>
      <c r="B1038" s="289" t="s">
        <v>783</v>
      </c>
      <c r="C1038" s="6" t="s">
        <v>1760</v>
      </c>
      <c r="D1038" s="6" t="s">
        <v>1468</v>
      </c>
      <c r="E1038" s="218">
        <v>60000</v>
      </c>
      <c r="F1038" s="219">
        <v>60000</v>
      </c>
    </row>
    <row r="1039" spans="1:6" ht="25.5">
      <c r="A1039" s="54" t="s">
        <v>426</v>
      </c>
      <c r="B1039" s="289" t="s">
        <v>783</v>
      </c>
      <c r="C1039" s="6" t="s">
        <v>427</v>
      </c>
      <c r="D1039" s="6" t="s">
        <v>1468</v>
      </c>
      <c r="E1039" s="218">
        <v>60000</v>
      </c>
      <c r="F1039" s="219">
        <v>60000</v>
      </c>
    </row>
    <row r="1040" spans="1:6">
      <c r="A1040" s="54" t="s">
        <v>278</v>
      </c>
      <c r="B1040" s="289" t="s">
        <v>783</v>
      </c>
      <c r="C1040" s="6" t="s">
        <v>427</v>
      </c>
      <c r="D1040" s="6" t="s">
        <v>1357</v>
      </c>
      <c r="E1040" s="218">
        <v>60000</v>
      </c>
      <c r="F1040" s="219">
        <v>60000</v>
      </c>
    </row>
    <row r="1041" spans="1:6">
      <c r="A1041" s="54" t="s">
        <v>261</v>
      </c>
      <c r="B1041" s="289" t="s">
        <v>783</v>
      </c>
      <c r="C1041" s="6" t="s">
        <v>427</v>
      </c>
      <c r="D1041" s="6" t="s">
        <v>424</v>
      </c>
      <c r="E1041" s="218">
        <v>60000</v>
      </c>
      <c r="F1041" s="219">
        <v>60000</v>
      </c>
    </row>
    <row r="1042" spans="1:6" ht="38.25">
      <c r="A1042" s="54" t="s">
        <v>1216</v>
      </c>
      <c r="B1042" s="289" t="s">
        <v>1217</v>
      </c>
      <c r="C1042" s="6" t="s">
        <v>1468</v>
      </c>
      <c r="D1042" s="6" t="s">
        <v>1468</v>
      </c>
      <c r="E1042" s="218">
        <v>6285500</v>
      </c>
      <c r="F1042" s="219">
        <v>485500</v>
      </c>
    </row>
    <row r="1043" spans="1:6" ht="38.25">
      <c r="A1043" s="54" t="s">
        <v>1216</v>
      </c>
      <c r="B1043" s="289" t="s">
        <v>1239</v>
      </c>
      <c r="C1043" s="6" t="s">
        <v>1468</v>
      </c>
      <c r="D1043" s="6" t="s">
        <v>1468</v>
      </c>
      <c r="E1043" s="218">
        <v>6121374</v>
      </c>
      <c r="F1043" s="219">
        <v>321374</v>
      </c>
    </row>
    <row r="1044" spans="1:6" ht="76.5">
      <c r="A1044" s="54" t="s">
        <v>1754</v>
      </c>
      <c r="B1044" s="289" t="s">
        <v>1239</v>
      </c>
      <c r="C1044" s="6" t="s">
        <v>322</v>
      </c>
      <c r="D1044" s="6" t="s">
        <v>1468</v>
      </c>
      <c r="E1044" s="218">
        <v>5879579</v>
      </c>
      <c r="F1044" s="219">
        <v>79579</v>
      </c>
    </row>
    <row r="1045" spans="1:6" ht="38.25">
      <c r="A1045" s="54" t="s">
        <v>1509</v>
      </c>
      <c r="B1045" s="289" t="s">
        <v>1239</v>
      </c>
      <c r="C1045" s="6" t="s">
        <v>37</v>
      </c>
      <c r="D1045" s="6" t="s">
        <v>1468</v>
      </c>
      <c r="E1045" s="218">
        <v>5879579</v>
      </c>
      <c r="F1045" s="219">
        <v>79579</v>
      </c>
    </row>
    <row r="1046" spans="1:6">
      <c r="A1046" s="54" t="s">
        <v>278</v>
      </c>
      <c r="B1046" s="289" t="s">
        <v>1239</v>
      </c>
      <c r="C1046" s="6" t="s">
        <v>37</v>
      </c>
      <c r="D1046" s="6" t="s">
        <v>1357</v>
      </c>
      <c r="E1046" s="218">
        <v>5879579</v>
      </c>
      <c r="F1046" s="219">
        <v>79579</v>
      </c>
    </row>
    <row r="1047" spans="1:6">
      <c r="A1047" s="54" t="s">
        <v>261</v>
      </c>
      <c r="B1047" s="289" t="s">
        <v>1239</v>
      </c>
      <c r="C1047" s="6" t="s">
        <v>37</v>
      </c>
      <c r="D1047" s="6" t="s">
        <v>424</v>
      </c>
      <c r="E1047" s="218">
        <v>5879579</v>
      </c>
      <c r="F1047" s="219">
        <v>79579</v>
      </c>
    </row>
    <row r="1048" spans="1:6" ht="38.25">
      <c r="A1048" s="54" t="s">
        <v>1755</v>
      </c>
      <c r="B1048" s="289" t="s">
        <v>1239</v>
      </c>
      <c r="C1048" s="6" t="s">
        <v>1756</v>
      </c>
      <c r="D1048" s="6" t="s">
        <v>1468</v>
      </c>
      <c r="E1048" s="218">
        <v>241795</v>
      </c>
      <c r="F1048" s="219">
        <v>241795</v>
      </c>
    </row>
    <row r="1049" spans="1:6" ht="38.25">
      <c r="A1049" s="54" t="s">
        <v>1502</v>
      </c>
      <c r="B1049" s="289" t="s">
        <v>1239</v>
      </c>
      <c r="C1049" s="6" t="s">
        <v>1503</v>
      </c>
      <c r="D1049" s="6" t="s">
        <v>1468</v>
      </c>
      <c r="E1049" s="218">
        <v>241795</v>
      </c>
      <c r="F1049" s="219">
        <v>241795</v>
      </c>
    </row>
    <row r="1050" spans="1:6">
      <c r="A1050" s="54" t="s">
        <v>278</v>
      </c>
      <c r="B1050" s="289" t="s">
        <v>1239</v>
      </c>
      <c r="C1050" s="6" t="s">
        <v>1503</v>
      </c>
      <c r="D1050" s="6" t="s">
        <v>1357</v>
      </c>
      <c r="E1050" s="218">
        <v>241795</v>
      </c>
      <c r="F1050" s="219">
        <v>241795</v>
      </c>
    </row>
    <row r="1051" spans="1:6">
      <c r="A1051" s="54" t="s">
        <v>261</v>
      </c>
      <c r="B1051" s="289" t="s">
        <v>1239</v>
      </c>
      <c r="C1051" s="6" t="s">
        <v>1503</v>
      </c>
      <c r="D1051" s="6" t="s">
        <v>424</v>
      </c>
      <c r="E1051" s="218">
        <v>241795</v>
      </c>
      <c r="F1051" s="219">
        <v>241795</v>
      </c>
    </row>
    <row r="1052" spans="1:6" ht="63.75">
      <c r="A1052" s="54" t="s">
        <v>1367</v>
      </c>
      <c r="B1052" s="289" t="s">
        <v>1368</v>
      </c>
      <c r="C1052" s="6" t="s">
        <v>1468</v>
      </c>
      <c r="D1052" s="6" t="s">
        <v>1468</v>
      </c>
      <c r="E1052" s="218">
        <v>164126</v>
      </c>
      <c r="F1052" s="219">
        <v>164126</v>
      </c>
    </row>
    <row r="1053" spans="1:6" ht="76.5">
      <c r="A1053" s="54" t="s">
        <v>1754</v>
      </c>
      <c r="B1053" s="289" t="s">
        <v>1368</v>
      </c>
      <c r="C1053" s="6" t="s">
        <v>322</v>
      </c>
      <c r="D1053" s="6" t="s">
        <v>1468</v>
      </c>
      <c r="E1053" s="218">
        <v>164126</v>
      </c>
      <c r="F1053" s="219">
        <v>164126</v>
      </c>
    </row>
    <row r="1054" spans="1:6" ht="38.25">
      <c r="A1054" s="54" t="s">
        <v>1509</v>
      </c>
      <c r="B1054" s="289" t="s">
        <v>1368</v>
      </c>
      <c r="C1054" s="6" t="s">
        <v>37</v>
      </c>
      <c r="D1054" s="6" t="s">
        <v>1468</v>
      </c>
      <c r="E1054" s="218">
        <v>164126</v>
      </c>
      <c r="F1054" s="219">
        <v>164126</v>
      </c>
    </row>
    <row r="1055" spans="1:6">
      <c r="A1055" s="54" t="s">
        <v>278</v>
      </c>
      <c r="B1055" s="289" t="s">
        <v>1368</v>
      </c>
      <c r="C1055" s="6" t="s">
        <v>37</v>
      </c>
      <c r="D1055" s="6" t="s">
        <v>1357</v>
      </c>
      <c r="E1055" s="218">
        <v>164126</v>
      </c>
      <c r="F1055" s="219">
        <v>164126</v>
      </c>
    </row>
    <row r="1056" spans="1:6">
      <c r="A1056" s="54" t="s">
        <v>261</v>
      </c>
      <c r="B1056" s="289" t="s">
        <v>1368</v>
      </c>
      <c r="C1056" s="6" t="s">
        <v>37</v>
      </c>
      <c r="D1056" s="6" t="s">
        <v>424</v>
      </c>
      <c r="E1056" s="218">
        <v>164126</v>
      </c>
      <c r="F1056" s="219">
        <v>164126</v>
      </c>
    </row>
    <row r="1057" spans="1:6" ht="38.25">
      <c r="A1057" s="54" t="s">
        <v>520</v>
      </c>
      <c r="B1057" s="289" t="s">
        <v>1155</v>
      </c>
      <c r="C1057" s="6" t="s">
        <v>1468</v>
      </c>
      <c r="D1057" s="6" t="s">
        <v>1468</v>
      </c>
      <c r="E1057" s="218">
        <v>239240</v>
      </c>
      <c r="F1057" s="219">
        <v>201240</v>
      </c>
    </row>
    <row r="1058" spans="1:6" ht="63.75">
      <c r="A1058" s="54" t="s">
        <v>462</v>
      </c>
      <c r="B1058" s="289" t="s">
        <v>928</v>
      </c>
      <c r="C1058" s="6" t="s">
        <v>1468</v>
      </c>
      <c r="D1058" s="6" t="s">
        <v>1468</v>
      </c>
      <c r="E1058" s="218">
        <v>60600</v>
      </c>
      <c r="F1058" s="219">
        <v>60600</v>
      </c>
    </row>
    <row r="1059" spans="1:6">
      <c r="A1059" s="54" t="s">
        <v>1765</v>
      </c>
      <c r="B1059" s="289" t="s">
        <v>928</v>
      </c>
      <c r="C1059" s="6" t="s">
        <v>1766</v>
      </c>
      <c r="D1059" s="6" t="s">
        <v>1468</v>
      </c>
      <c r="E1059" s="218">
        <v>60600</v>
      </c>
      <c r="F1059" s="219">
        <v>60600</v>
      </c>
    </row>
    <row r="1060" spans="1:6">
      <c r="A1060" s="54" t="s">
        <v>94</v>
      </c>
      <c r="B1060" s="289" t="s">
        <v>928</v>
      </c>
      <c r="C1060" s="6" t="s">
        <v>519</v>
      </c>
      <c r="D1060" s="6" t="s">
        <v>1468</v>
      </c>
      <c r="E1060" s="218">
        <v>60600</v>
      </c>
      <c r="F1060" s="219">
        <v>60600</v>
      </c>
    </row>
    <row r="1061" spans="1:6">
      <c r="A1061" s="54" t="s">
        <v>291</v>
      </c>
      <c r="B1061" s="289" t="s">
        <v>928</v>
      </c>
      <c r="C1061" s="6" t="s">
        <v>519</v>
      </c>
      <c r="D1061" s="6" t="s">
        <v>1378</v>
      </c>
      <c r="E1061" s="218">
        <v>60600</v>
      </c>
      <c r="F1061" s="219">
        <v>60600</v>
      </c>
    </row>
    <row r="1062" spans="1:6" ht="25.5">
      <c r="A1062" s="54" t="s">
        <v>1379</v>
      </c>
      <c r="B1062" s="289" t="s">
        <v>928</v>
      </c>
      <c r="C1062" s="6" t="s">
        <v>519</v>
      </c>
      <c r="D1062" s="6" t="s">
        <v>461</v>
      </c>
      <c r="E1062" s="218">
        <v>60600</v>
      </c>
      <c r="F1062" s="219">
        <v>60600</v>
      </c>
    </row>
    <row r="1063" spans="1:6" ht="38.25">
      <c r="A1063" s="54" t="s">
        <v>520</v>
      </c>
      <c r="B1063" s="289" t="s">
        <v>923</v>
      </c>
      <c r="C1063" s="6" t="s">
        <v>1468</v>
      </c>
      <c r="D1063" s="6" t="s">
        <v>1468</v>
      </c>
      <c r="E1063" s="218">
        <v>140740</v>
      </c>
      <c r="F1063" s="219">
        <v>102740</v>
      </c>
    </row>
    <row r="1064" spans="1:6" ht="25.5">
      <c r="A1064" s="54" t="s">
        <v>1767</v>
      </c>
      <c r="B1064" s="289" t="s">
        <v>923</v>
      </c>
      <c r="C1064" s="6" t="s">
        <v>1768</v>
      </c>
      <c r="D1064" s="6" t="s">
        <v>1468</v>
      </c>
      <c r="E1064" s="218">
        <v>40740</v>
      </c>
      <c r="F1064" s="219">
        <v>2740</v>
      </c>
    </row>
    <row r="1065" spans="1:6">
      <c r="A1065" s="54" t="s">
        <v>527</v>
      </c>
      <c r="B1065" s="289" t="s">
        <v>923</v>
      </c>
      <c r="C1065" s="6" t="s">
        <v>528</v>
      </c>
      <c r="D1065" s="6" t="s">
        <v>1468</v>
      </c>
      <c r="E1065" s="218">
        <v>40740</v>
      </c>
      <c r="F1065" s="219">
        <v>2740</v>
      </c>
    </row>
    <row r="1066" spans="1:6" ht="25.5">
      <c r="A1066" s="54" t="s">
        <v>294</v>
      </c>
      <c r="B1066" s="289" t="s">
        <v>923</v>
      </c>
      <c r="C1066" s="6" t="s">
        <v>528</v>
      </c>
      <c r="D1066" s="6" t="s">
        <v>1380</v>
      </c>
      <c r="E1066" s="218">
        <v>40740</v>
      </c>
      <c r="F1066" s="219">
        <v>2740</v>
      </c>
    </row>
    <row r="1067" spans="1:6" ht="25.5">
      <c r="A1067" s="54" t="s">
        <v>295</v>
      </c>
      <c r="B1067" s="289" t="s">
        <v>923</v>
      </c>
      <c r="C1067" s="6" t="s">
        <v>528</v>
      </c>
      <c r="D1067" s="6" t="s">
        <v>526</v>
      </c>
      <c r="E1067" s="218">
        <v>40740</v>
      </c>
      <c r="F1067" s="219">
        <v>2740</v>
      </c>
    </row>
    <row r="1068" spans="1:6">
      <c r="A1068" s="54" t="s">
        <v>1757</v>
      </c>
      <c r="B1068" s="289" t="s">
        <v>923</v>
      </c>
      <c r="C1068" s="6" t="s">
        <v>1758</v>
      </c>
      <c r="D1068" s="6" t="s">
        <v>1468</v>
      </c>
      <c r="E1068" s="218">
        <v>100000</v>
      </c>
      <c r="F1068" s="219">
        <v>100000</v>
      </c>
    </row>
    <row r="1069" spans="1:6">
      <c r="A1069" s="54" t="s">
        <v>1516</v>
      </c>
      <c r="B1069" s="289" t="s">
        <v>923</v>
      </c>
      <c r="C1069" s="6" t="s">
        <v>242</v>
      </c>
      <c r="D1069" s="6" t="s">
        <v>1468</v>
      </c>
      <c r="E1069" s="218">
        <v>100000</v>
      </c>
      <c r="F1069" s="219">
        <v>100000</v>
      </c>
    </row>
    <row r="1070" spans="1:6">
      <c r="A1070" s="54" t="s">
        <v>278</v>
      </c>
      <c r="B1070" s="289" t="s">
        <v>923</v>
      </c>
      <c r="C1070" s="6" t="s">
        <v>242</v>
      </c>
      <c r="D1070" s="6" t="s">
        <v>1357</v>
      </c>
      <c r="E1070" s="218">
        <v>100000</v>
      </c>
      <c r="F1070" s="219">
        <v>100000</v>
      </c>
    </row>
    <row r="1071" spans="1:6">
      <c r="A1071" s="54" t="s">
        <v>261</v>
      </c>
      <c r="B1071" s="289" t="s">
        <v>923</v>
      </c>
      <c r="C1071" s="6" t="s">
        <v>242</v>
      </c>
      <c r="D1071" s="6" t="s">
        <v>424</v>
      </c>
      <c r="E1071" s="218">
        <v>100000</v>
      </c>
      <c r="F1071" s="219">
        <v>100000</v>
      </c>
    </row>
    <row r="1072" spans="1:6">
      <c r="A1072" s="6" t="s">
        <v>808</v>
      </c>
      <c r="B1072" s="289" t="s">
        <v>809</v>
      </c>
      <c r="C1072" s="6" t="s">
        <v>1468</v>
      </c>
      <c r="D1072" s="6" t="s">
        <v>1468</v>
      </c>
      <c r="E1072" s="218">
        <v>37900</v>
      </c>
      <c r="F1072" s="219">
        <v>37900</v>
      </c>
    </row>
    <row r="1073" spans="1:10" ht="38.25">
      <c r="A1073" s="54" t="s">
        <v>1755</v>
      </c>
      <c r="B1073" s="289" t="s">
        <v>809</v>
      </c>
      <c r="C1073" s="6" t="s">
        <v>1756</v>
      </c>
      <c r="D1073" s="6" t="s">
        <v>1468</v>
      </c>
      <c r="E1073" s="6">
        <v>37900</v>
      </c>
      <c r="F1073" s="327">
        <v>37900</v>
      </c>
      <c r="J1073" s="5"/>
    </row>
    <row r="1074" spans="1:10" ht="38.25">
      <c r="A1074" s="54" t="s">
        <v>1502</v>
      </c>
      <c r="B1074" s="289" t="s">
        <v>809</v>
      </c>
      <c r="C1074" s="6" t="s">
        <v>1503</v>
      </c>
      <c r="D1074" s="6" t="s">
        <v>1468</v>
      </c>
      <c r="E1074" s="6">
        <v>37900</v>
      </c>
      <c r="F1074" s="327">
        <v>37900</v>
      </c>
    </row>
    <row r="1075" spans="1:10" ht="25.5">
      <c r="A1075" s="54" t="s">
        <v>283</v>
      </c>
      <c r="B1075" s="289" t="s">
        <v>809</v>
      </c>
      <c r="C1075" s="6" t="s">
        <v>1503</v>
      </c>
      <c r="D1075" s="6" t="s">
        <v>1363</v>
      </c>
      <c r="E1075" s="6">
        <v>37900</v>
      </c>
      <c r="F1075" s="327">
        <v>37900</v>
      </c>
    </row>
    <row r="1076" spans="1:10">
      <c r="A1076" s="54" t="s">
        <v>180</v>
      </c>
      <c r="B1076" s="289" t="s">
        <v>809</v>
      </c>
      <c r="C1076" s="6" t="s">
        <v>1503</v>
      </c>
      <c r="D1076" s="6" t="s">
        <v>452</v>
      </c>
      <c r="E1076" s="6">
        <v>37900</v>
      </c>
      <c r="F1076" s="327">
        <v>37900</v>
      </c>
    </row>
    <row r="1077" spans="1:10">
      <c r="A1077" s="6" t="s">
        <v>1753</v>
      </c>
      <c r="B1077" s="6"/>
      <c r="C1077" s="6"/>
      <c r="D1077" s="350"/>
      <c r="E1077" s="346">
        <v>22470000</v>
      </c>
      <c r="F1077" s="327">
        <v>45430000</v>
      </c>
    </row>
  </sheetData>
  <autoFilter ref="A6:F649">
    <filterColumn colId="2"/>
  </autoFilter>
  <mergeCells count="7">
    <mergeCell ref="A1:F1"/>
    <mergeCell ref="A2:F2"/>
    <mergeCell ref="A3:F3"/>
    <mergeCell ref="A5:A6"/>
    <mergeCell ref="B5:D5"/>
    <mergeCell ref="E5:E6"/>
    <mergeCell ref="F5:F6"/>
  </mergeCells>
  <pageMargins left="0.70866141732283472" right="0.31496062992125984" top="0.55118110236220474" bottom="0.55118110236220474"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sheetPr codeName="Лист19">
    <tabColor rgb="FF00B0F0"/>
  </sheetPr>
  <dimension ref="A1:Q12"/>
  <sheetViews>
    <sheetView topLeftCell="A2" workbookViewId="0">
      <selection activeCell="U8" sqref="U8"/>
    </sheetView>
  </sheetViews>
  <sheetFormatPr defaultRowHeight="14.25"/>
  <cols>
    <col min="1" max="1" width="4.140625" style="28" customWidth="1"/>
    <col min="2" max="2" width="47.42578125" style="32" customWidth="1"/>
    <col min="3" max="3" width="16.28515625" style="32" hidden="1" customWidth="1"/>
    <col min="4" max="6" width="13.42578125" style="33" customWidth="1"/>
    <col min="7" max="7" width="13.42578125" style="33" hidden="1" customWidth="1"/>
    <col min="8" max="8" width="16" style="33" hidden="1" customWidth="1"/>
    <col min="9" max="9" width="14.5703125" style="28" hidden="1" customWidth="1"/>
    <col min="10" max="10" width="13" style="28" hidden="1" customWidth="1"/>
    <col min="11" max="11" width="14" style="28" hidden="1" customWidth="1"/>
    <col min="12" max="12" width="12.42578125" style="28" hidden="1" customWidth="1"/>
    <col min="13" max="13" width="12.5703125" style="28" hidden="1" customWidth="1"/>
    <col min="14" max="14" width="0" style="28" hidden="1" customWidth="1"/>
    <col min="15" max="16384" width="9.140625" style="28"/>
  </cols>
  <sheetData>
    <row r="1" spans="1:17" ht="44.25" hidden="1" customHeight="1">
      <c r="A1" s="442" t="str">
        <f>"Приложение №"&amp;Н2публ&amp;"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2"/>
      <c r="C1" s="442"/>
      <c r="D1" s="442"/>
      <c r="E1" s="442"/>
      <c r="F1" s="442"/>
    </row>
    <row r="2" spans="1:17" s="100" customFormat="1" ht="47.25" customHeight="1">
      <c r="A2" s="442" t="str">
        <f>"Приложение "&amp;Н1Публ&amp;" к решению
Богучанского районного Совета депутатов
от "&amp;Р1дата&amp;" года №"&amp;Р1номер</f>
        <v>Приложение 6 к решению
Богучанского районного Совета депутатов
от 2020  года №</v>
      </c>
      <c r="B2" s="442"/>
      <c r="C2" s="442"/>
      <c r="D2" s="442"/>
      <c r="E2" s="442"/>
      <c r="F2" s="442"/>
      <c r="G2" s="107"/>
      <c r="H2" s="107"/>
    </row>
    <row r="3" spans="1:17" s="23" customFormat="1" ht="67.5" customHeight="1">
      <c r="A3" s="441" t="str">
        <f>"Перечень публичных нормативных обязательств районного бюджета за "&amp;год&amp;" год "</f>
        <v xml:space="preserve">Перечень публичных нормативных обязательств районного бюджета за 2019 год </v>
      </c>
      <c r="B3" s="441"/>
      <c r="C3" s="441"/>
      <c r="D3" s="441"/>
      <c r="E3" s="441"/>
      <c r="F3" s="441"/>
      <c r="G3" s="106"/>
      <c r="H3" s="106"/>
    </row>
    <row r="4" spans="1:17" s="23" customFormat="1" ht="13.5" customHeight="1">
      <c r="B4" s="22"/>
      <c r="C4" s="22"/>
      <c r="E4" s="10"/>
      <c r="F4" s="10" t="s">
        <v>95</v>
      </c>
      <c r="G4" s="10"/>
      <c r="H4" s="10"/>
    </row>
    <row r="5" spans="1:17" s="25" customFormat="1" ht="36" customHeight="1">
      <c r="A5" s="24"/>
      <c r="B5" s="24" t="s">
        <v>29</v>
      </c>
      <c r="C5" s="24" t="s">
        <v>23</v>
      </c>
      <c r="D5" s="24" t="s">
        <v>2086</v>
      </c>
      <c r="E5" s="24" t="s">
        <v>2107</v>
      </c>
      <c r="F5" s="24" t="s">
        <v>2085</v>
      </c>
      <c r="G5" s="110"/>
      <c r="H5" s="113" t="s">
        <v>306</v>
      </c>
      <c r="I5" s="111" t="s">
        <v>665</v>
      </c>
      <c r="J5" s="111" t="s">
        <v>465</v>
      </c>
      <c r="K5" s="111" t="s">
        <v>711</v>
      </c>
      <c r="L5" s="111" t="s">
        <v>666</v>
      </c>
      <c r="M5" s="111" t="s">
        <v>427</v>
      </c>
    </row>
    <row r="6" spans="1:17" s="25" customFormat="1" ht="57">
      <c r="A6" s="47">
        <v>1</v>
      </c>
      <c r="B6" s="48" t="s">
        <v>1242</v>
      </c>
      <c r="C6" s="49"/>
      <c r="D6" s="50">
        <f>D7</f>
        <v>60000</v>
      </c>
      <c r="E6" s="50">
        <f>E7</f>
        <v>60000</v>
      </c>
      <c r="F6" s="50">
        <f>E6/D6*100</f>
        <v>100</v>
      </c>
      <c r="G6" s="112">
        <v>2016</v>
      </c>
      <c r="H6" s="114">
        <f>I6+J6+L6+K6+M6-D12</f>
        <v>9438026.4600000009</v>
      </c>
      <c r="I6" s="11">
        <f>SUMIF(квр13,I$5,СумВед)</f>
        <v>0</v>
      </c>
      <c r="J6" s="11">
        <f>SUMIF(квр13,J$5,СумВед)</f>
        <v>1510430.09</v>
      </c>
      <c r="K6" s="11">
        <f>SUMIF(квр13,K$5,СумВед)</f>
        <v>2834092.8</v>
      </c>
      <c r="L6" s="11">
        <f>SUMIF(квр13,L$5,СумВед)</f>
        <v>6033933.6600000001</v>
      </c>
      <c r="M6" s="11">
        <f>SUMIF(квр13,M$5,СумВед)</f>
        <v>817200</v>
      </c>
    </row>
    <row r="7" spans="1:17" s="25" customFormat="1" ht="42.75">
      <c r="A7" s="193" t="s">
        <v>733</v>
      </c>
      <c r="B7" s="48" t="s">
        <v>17</v>
      </c>
      <c r="C7" s="49" t="s">
        <v>201</v>
      </c>
      <c r="D7" s="50">
        <v>60000</v>
      </c>
      <c r="E7" s="50">
        <v>60000</v>
      </c>
      <c r="F7" s="50">
        <f t="shared" ref="F7:F12" si="0">E7/D7*100</f>
        <v>100</v>
      </c>
      <c r="G7" s="112">
        <v>2017</v>
      </c>
      <c r="H7" s="114">
        <f>I7+J7+L7+K7+M7-E12</f>
        <v>-142312.09000000008</v>
      </c>
      <c r="I7" s="11">
        <f>SUMIF(кврПлПер,I$5,СумВед14)</f>
        <v>0</v>
      </c>
      <c r="J7" s="11">
        <f>SUMIF(кврПлПер,J$5,СумВед14)</f>
        <v>1555318</v>
      </c>
      <c r="K7" s="11">
        <f>SUMIF(кврПлПер,K$5,СумВед14)</f>
        <v>0</v>
      </c>
      <c r="L7" s="11">
        <f>SUMIF(кврПлПер,L$5,СумВед14)</f>
        <v>0</v>
      </c>
      <c r="M7" s="11">
        <f>SUMIF(кврПлПер,M$5,СумВед14)</f>
        <v>60000</v>
      </c>
    </row>
    <row r="8" spans="1:17" s="25" customFormat="1" ht="171">
      <c r="A8" s="47" t="s">
        <v>18</v>
      </c>
      <c r="B8" s="144" t="s">
        <v>1552</v>
      </c>
      <c r="C8" s="51"/>
      <c r="D8" s="50">
        <f>D9</f>
        <v>1510430.09</v>
      </c>
      <c r="E8" s="50">
        <f>E9</f>
        <v>1510430.09</v>
      </c>
      <c r="F8" s="50">
        <f t="shared" si="0"/>
        <v>100</v>
      </c>
      <c r="G8" s="112">
        <v>2018</v>
      </c>
      <c r="H8" s="114">
        <f>I8+J8+L8+K8+M8-F12</f>
        <v>1615218</v>
      </c>
      <c r="I8" s="11">
        <f>SUMIF(кврПлПер,I$5,СумВед15)</f>
        <v>0</v>
      </c>
      <c r="J8" s="11">
        <f>SUMIF(кврПлПер,J$5,СумВед15)</f>
        <v>1555318</v>
      </c>
      <c r="K8" s="11">
        <f>SUMIF(кврПлПер,K$5,СумВед15)</f>
        <v>0</v>
      </c>
      <c r="L8" s="11">
        <f>SUMIF(кврПлПер,L$5,СумВед15)</f>
        <v>0</v>
      </c>
      <c r="M8" s="11">
        <f>SUMIF(кврПлПер,M$5,СумВед15)</f>
        <v>60000</v>
      </c>
      <c r="Q8" s="25" t="s">
        <v>1776</v>
      </c>
    </row>
    <row r="9" spans="1:17" s="25" customFormat="1" ht="57">
      <c r="A9" s="47" t="s">
        <v>19</v>
      </c>
      <c r="B9" s="48" t="s">
        <v>20</v>
      </c>
      <c r="C9" s="49" t="s">
        <v>24</v>
      </c>
      <c r="D9" s="50">
        <f>1555318-44887.91</f>
        <v>1510430.09</v>
      </c>
      <c r="E9" s="50">
        <f>1555318-44887.91</f>
        <v>1510430.09</v>
      </c>
      <c r="F9" s="50">
        <f t="shared" si="0"/>
        <v>100</v>
      </c>
      <c r="G9" s="108"/>
      <c r="H9" s="108"/>
    </row>
    <row r="10" spans="1:17" s="25" customFormat="1" ht="57">
      <c r="A10" s="47">
        <v>3</v>
      </c>
      <c r="B10" s="48" t="s">
        <v>1736</v>
      </c>
      <c r="C10" s="51"/>
      <c r="D10" s="50">
        <f>D11</f>
        <v>187200</v>
      </c>
      <c r="E10" s="50">
        <f>E11</f>
        <v>187200</v>
      </c>
      <c r="F10" s="50">
        <f t="shared" si="0"/>
        <v>100</v>
      </c>
      <c r="G10" s="108"/>
      <c r="H10" s="108"/>
    </row>
    <row r="11" spans="1:17" s="25" customFormat="1" ht="28.5">
      <c r="A11" s="47" t="s">
        <v>21</v>
      </c>
      <c r="B11" s="48" t="s">
        <v>22</v>
      </c>
      <c r="C11" s="49" t="s">
        <v>25</v>
      </c>
      <c r="D11" s="50">
        <v>187200</v>
      </c>
      <c r="E11" s="50">
        <v>187200</v>
      </c>
      <c r="F11" s="50">
        <f t="shared" si="0"/>
        <v>100</v>
      </c>
      <c r="G11" s="108"/>
      <c r="H11" s="108"/>
    </row>
    <row r="12" spans="1:17" s="31" customFormat="1" ht="15">
      <c r="A12" s="52"/>
      <c r="B12" s="29" t="s">
        <v>202</v>
      </c>
      <c r="C12" s="29"/>
      <c r="D12" s="30">
        <f>SUM(D6,D8,D10)</f>
        <v>1757630.09</v>
      </c>
      <c r="E12" s="30">
        <f t="shared" ref="E12" si="1">SUM(E6,E8,E10)</f>
        <v>1757630.09</v>
      </c>
      <c r="F12" s="420">
        <f t="shared" si="0"/>
        <v>100</v>
      </c>
      <c r="G12" s="109"/>
      <c r="H12" s="109"/>
    </row>
  </sheetData>
  <mergeCells count="3">
    <mergeCell ref="A3:F3"/>
    <mergeCell ref="A2:F2"/>
    <mergeCell ref="A1:F1"/>
  </mergeCells>
  <phoneticPr fontId="3" type="noConversion"/>
  <pageMargins left="0.78740157480314965" right="0.19685039370078741" top="0.39370078740157483" bottom="0.39370078740157483" header="0" footer="0"/>
  <pageSetup paperSize="9" fitToHeight="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sheetPr codeName="Лист14">
    <tabColor rgb="FF00B0F0"/>
    <pageSetUpPr fitToPage="1"/>
  </sheetPr>
  <dimension ref="A1:M63"/>
  <sheetViews>
    <sheetView workbookViewId="0">
      <pane xSplit="1" ySplit="6" topLeftCell="B7" activePane="bottomRight" state="frozen"/>
      <selection activeCell="A2" sqref="A1:XFD2"/>
      <selection pane="topRight" activeCell="A2" sqref="A1:XFD2"/>
      <selection pane="bottomLeft" activeCell="A2" sqref="A1:XFD2"/>
      <selection pane="bottomRight" activeCell="C15" sqref="C15"/>
    </sheetView>
  </sheetViews>
  <sheetFormatPr defaultColWidth="57.28515625" defaultRowHeight="15"/>
  <cols>
    <col min="1" max="1" width="48.140625" style="20" customWidth="1"/>
    <col min="2" max="2" width="17.28515625" style="20" customWidth="1"/>
    <col min="3" max="3" width="54.140625" style="20" customWidth="1"/>
    <col min="4" max="4" width="15.28515625" style="20" customWidth="1"/>
    <col min="5" max="5" width="16.42578125" style="20" customWidth="1"/>
    <col min="6" max="6" width="36.7109375" style="20" customWidth="1"/>
    <col min="7" max="7" width="17.28515625" style="5" hidden="1" customWidth="1"/>
    <col min="8" max="10" width="17.28515625" style="20" hidden="1" customWidth="1"/>
    <col min="11" max="11" width="16.140625" style="20" hidden="1" customWidth="1"/>
    <col min="12" max="12" width="25.28515625" style="20" hidden="1" customWidth="1"/>
    <col min="13" max="13" width="11" style="20" hidden="1" customWidth="1"/>
    <col min="14" max="16384" width="57.28515625" style="20"/>
  </cols>
  <sheetData>
    <row r="1" spans="1:13" ht="49.5" hidden="1" customHeight="1">
      <c r="A1" s="442" t="str">
        <f>"Приложение №"&amp;Н2пол&amp;"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2"/>
      <c r="C1" s="442"/>
      <c r="D1" s="442"/>
      <c r="E1" s="442"/>
      <c r="F1" s="442"/>
    </row>
    <row r="2" spans="1:13" ht="43.5" customHeight="1">
      <c r="A2" s="442" t="str">
        <f>"Приложение "&amp;Н1пол&amp;" к решению
Богучанского районного Совета депутатов
от "&amp;Р1дата&amp;" года №"&amp;Р1номер</f>
        <v>Приложение 7 к решению
Богучанского районного Совета депутатов
от 2020  года №</v>
      </c>
      <c r="B2" s="442"/>
      <c r="C2" s="442"/>
      <c r="D2" s="442"/>
      <c r="E2" s="442"/>
      <c r="F2" s="442"/>
      <c r="G2" s="220"/>
      <c r="H2" s="55"/>
      <c r="I2" s="55"/>
      <c r="J2" s="55"/>
    </row>
    <row r="3" spans="1:13" s="102" customFormat="1" ht="38.25" customHeight="1">
      <c r="A3" s="492" t="str">
        <f>"Межбюджетные трансферты, перечисляемые в районный бюджет из бюджетов  поселений за "&amp;год&amp;" год"</f>
        <v>Межбюджетные трансферты, перечисляемые в районный бюджет из бюджетов  поселений за 2019 год</v>
      </c>
      <c r="B3" s="492"/>
      <c r="C3" s="492"/>
      <c r="D3" s="492"/>
      <c r="E3" s="492"/>
      <c r="F3" s="492"/>
      <c r="G3" s="220"/>
      <c r="H3" s="101"/>
      <c r="I3" s="101"/>
      <c r="J3" s="101"/>
    </row>
    <row r="4" spans="1:13">
      <c r="F4" s="10" t="s">
        <v>95</v>
      </c>
    </row>
    <row r="5" spans="1:13" s="103" customFormat="1" ht="12.75" customHeight="1">
      <c r="A5" s="490" t="s">
        <v>105</v>
      </c>
      <c r="B5" s="491" t="s">
        <v>106</v>
      </c>
      <c r="C5" s="493"/>
      <c r="D5" s="493"/>
      <c r="E5" s="493"/>
      <c r="F5" s="493"/>
      <c r="G5" s="5"/>
    </row>
    <row r="6" spans="1:13" s="103" customFormat="1" ht="154.5" customHeight="1">
      <c r="A6" s="490"/>
      <c r="B6" s="491"/>
      <c r="C6" s="143" t="s">
        <v>104</v>
      </c>
      <c r="D6" s="143" t="s">
        <v>1234</v>
      </c>
      <c r="E6" s="143" t="s">
        <v>1787</v>
      </c>
      <c r="F6" s="142" t="s">
        <v>1492</v>
      </c>
      <c r="G6" s="5"/>
    </row>
    <row r="7" spans="1:13" s="103" customFormat="1" ht="15" customHeight="1">
      <c r="A7" s="105" t="s">
        <v>2108</v>
      </c>
      <c r="B7" s="279">
        <f t="shared" ref="B7:F7" si="0">SUM(B8:B25)</f>
        <v>1797240</v>
      </c>
      <c r="C7" s="279">
        <f t="shared" si="0"/>
        <v>609300</v>
      </c>
      <c r="D7" s="279">
        <f t="shared" si="0"/>
        <v>484940</v>
      </c>
      <c r="E7" s="279">
        <f t="shared" si="0"/>
        <v>15000</v>
      </c>
      <c r="F7" s="280">
        <f t="shared" si="0"/>
        <v>688000</v>
      </c>
      <c r="G7" s="221">
        <f>B7-'[1]Дох '!I193</f>
        <v>-31771316</v>
      </c>
    </row>
    <row r="8" spans="1:13">
      <c r="A8" s="43" t="s">
        <v>66</v>
      </c>
      <c r="B8" s="281">
        <f t="shared" ref="B8:B26" si="1">SUM(C8+E8+F8+D8)</f>
        <v>12901</v>
      </c>
      <c r="C8" s="282">
        <f>12017+129</f>
        <v>12146</v>
      </c>
      <c r="D8" s="282"/>
      <c r="E8" s="282">
        <v>755</v>
      </c>
      <c r="F8" s="283"/>
      <c r="L8" s="362" t="s">
        <v>1974</v>
      </c>
      <c r="M8" s="20">
        <v>129</v>
      </c>
    </row>
    <row r="9" spans="1:13">
      <c r="A9" s="43" t="s">
        <v>107</v>
      </c>
      <c r="B9" s="281">
        <f t="shared" si="1"/>
        <v>8463</v>
      </c>
      <c r="C9" s="282">
        <f>7560+82</f>
        <v>7642</v>
      </c>
      <c r="D9" s="282"/>
      <c r="E9" s="282">
        <v>821</v>
      </c>
      <c r="F9" s="283"/>
      <c r="L9" s="362" t="s">
        <v>1975</v>
      </c>
      <c r="M9" s="20">
        <v>82</v>
      </c>
    </row>
    <row r="10" spans="1:13">
      <c r="A10" s="43" t="s">
        <v>199</v>
      </c>
      <c r="B10" s="281">
        <f t="shared" si="1"/>
        <v>489239</v>
      </c>
      <c r="C10" s="282">
        <f>3522+37</f>
        <v>3559</v>
      </c>
      <c r="D10" s="282">
        <f>479791+5149</f>
        <v>484940</v>
      </c>
      <c r="E10" s="282">
        <v>740</v>
      </c>
      <c r="F10" s="283"/>
      <c r="L10" s="362" t="s">
        <v>1976</v>
      </c>
      <c r="M10" s="20">
        <v>37</v>
      </c>
    </row>
    <row r="11" spans="1:13">
      <c r="A11" s="44" t="s">
        <v>67</v>
      </c>
      <c r="B11" s="281">
        <f t="shared" si="1"/>
        <v>856613</v>
      </c>
      <c r="C11" s="282">
        <f>166817+1796</f>
        <v>168613</v>
      </c>
      <c r="D11" s="282"/>
      <c r="E11" s="282"/>
      <c r="F11" s="283">
        <v>688000</v>
      </c>
      <c r="L11" s="362" t="s">
        <v>1977</v>
      </c>
      <c r="M11" s="20">
        <v>1796</v>
      </c>
    </row>
    <row r="12" spans="1:13">
      <c r="A12" s="43" t="s">
        <v>68</v>
      </c>
      <c r="B12" s="281">
        <f t="shared" si="1"/>
        <v>2991</v>
      </c>
      <c r="C12" s="282">
        <f>2220+24</f>
        <v>2244</v>
      </c>
      <c r="D12" s="282"/>
      <c r="E12" s="282">
        <v>747</v>
      </c>
      <c r="F12" s="283"/>
      <c r="L12" s="362" t="s">
        <v>1978</v>
      </c>
      <c r="M12" s="20">
        <v>24</v>
      </c>
    </row>
    <row r="13" spans="1:13" ht="17.25" customHeight="1">
      <c r="A13" s="45" t="s">
        <v>275</v>
      </c>
      <c r="B13" s="281">
        <f t="shared" si="1"/>
        <v>55755</v>
      </c>
      <c r="C13" s="282">
        <f>53725+579</f>
        <v>54304</v>
      </c>
      <c r="D13" s="282"/>
      <c r="E13" s="282">
        <v>1451</v>
      </c>
      <c r="F13" s="283"/>
      <c r="L13" s="362" t="s">
        <v>1979</v>
      </c>
      <c r="M13" s="20">
        <v>579</v>
      </c>
    </row>
    <row r="14" spans="1:13">
      <c r="A14" s="43" t="s">
        <v>108</v>
      </c>
      <c r="B14" s="281">
        <f t="shared" si="1"/>
        <v>32723</v>
      </c>
      <c r="C14" s="282">
        <f>31411+338</f>
        <v>31749</v>
      </c>
      <c r="D14" s="282"/>
      <c r="E14" s="282">
        <v>974</v>
      </c>
      <c r="F14" s="283"/>
      <c r="L14" s="362" t="s">
        <v>1980</v>
      </c>
      <c r="M14" s="20">
        <v>338</v>
      </c>
    </row>
    <row r="15" spans="1:13">
      <c r="A15" s="43" t="s">
        <v>168</v>
      </c>
      <c r="B15" s="281">
        <f t="shared" si="1"/>
        <v>23977</v>
      </c>
      <c r="C15" s="282">
        <f>22665+244</f>
        <v>22909</v>
      </c>
      <c r="D15" s="282"/>
      <c r="E15" s="282">
        <v>1068</v>
      </c>
      <c r="F15" s="283"/>
      <c r="L15" s="362" t="s">
        <v>1981</v>
      </c>
      <c r="M15" s="20">
        <v>244</v>
      </c>
    </row>
    <row r="16" spans="1:13">
      <c r="A16" s="43" t="s">
        <v>169</v>
      </c>
      <c r="B16" s="281">
        <f t="shared" si="1"/>
        <v>12477</v>
      </c>
      <c r="C16" s="282">
        <f>11833+128</f>
        <v>11961</v>
      </c>
      <c r="D16" s="282"/>
      <c r="E16" s="282">
        <v>516</v>
      </c>
      <c r="F16" s="283"/>
      <c r="L16" s="362" t="s">
        <v>1982</v>
      </c>
      <c r="M16" s="20">
        <v>128</v>
      </c>
    </row>
    <row r="17" spans="1:13">
      <c r="A17" s="43" t="s">
        <v>109</v>
      </c>
      <c r="B17" s="281">
        <f t="shared" si="1"/>
        <v>4656</v>
      </c>
      <c r="C17" s="282">
        <f>3822+41</f>
        <v>3863</v>
      </c>
      <c r="D17" s="282"/>
      <c r="E17" s="282">
        <v>793</v>
      </c>
      <c r="F17" s="283"/>
      <c r="L17" s="362" t="s">
        <v>1983</v>
      </c>
      <c r="M17" s="20">
        <v>41</v>
      </c>
    </row>
    <row r="18" spans="1:13">
      <c r="A18" s="44" t="s">
        <v>111</v>
      </c>
      <c r="B18" s="281">
        <f t="shared" si="1"/>
        <v>18718</v>
      </c>
      <c r="C18" s="282">
        <f>17141+184</f>
        <v>17325</v>
      </c>
      <c r="D18" s="282"/>
      <c r="E18" s="282">
        <v>1393</v>
      </c>
      <c r="F18" s="283"/>
      <c r="L18" s="362" t="s">
        <v>1984</v>
      </c>
      <c r="M18" s="20">
        <v>184</v>
      </c>
    </row>
    <row r="19" spans="1:13">
      <c r="A19" s="43" t="s">
        <v>200</v>
      </c>
      <c r="B19" s="281">
        <f t="shared" si="1"/>
        <v>22576</v>
      </c>
      <c r="C19" s="282">
        <f>21497+231</f>
        <v>21728</v>
      </c>
      <c r="D19" s="282"/>
      <c r="E19" s="282">
        <v>848</v>
      </c>
      <c r="F19" s="283"/>
      <c r="L19" s="362" t="s">
        <v>1985</v>
      </c>
      <c r="M19" s="20">
        <v>231</v>
      </c>
    </row>
    <row r="20" spans="1:13">
      <c r="A20" s="43" t="s">
        <v>110</v>
      </c>
      <c r="B20" s="281">
        <f t="shared" si="1"/>
        <v>41795</v>
      </c>
      <c r="C20" s="282">
        <f>40290+433</f>
        <v>40723</v>
      </c>
      <c r="D20" s="282"/>
      <c r="E20" s="282">
        <v>1072</v>
      </c>
      <c r="F20" s="283"/>
      <c r="L20" s="362" t="s">
        <v>1986</v>
      </c>
      <c r="M20" s="20">
        <v>433</v>
      </c>
    </row>
    <row r="21" spans="1:13">
      <c r="A21" s="43" t="s">
        <v>112</v>
      </c>
      <c r="B21" s="281">
        <f t="shared" si="1"/>
        <v>115875</v>
      </c>
      <c r="C21" s="282">
        <f>113042+1216</f>
        <v>114258</v>
      </c>
      <c r="D21" s="282"/>
      <c r="E21" s="282">
        <v>1617</v>
      </c>
      <c r="F21" s="283"/>
      <c r="G21" s="5">
        <v>11432824</v>
      </c>
      <c r="H21" s="20">
        <v>1991756</v>
      </c>
      <c r="I21" s="240">
        <f>E21-H21</f>
        <v>-1990139</v>
      </c>
      <c r="J21" s="20">
        <v>1448000</v>
      </c>
      <c r="K21" s="240">
        <f>E21+F21-J21</f>
        <v>-1446383</v>
      </c>
      <c r="L21" s="362" t="s">
        <v>1987</v>
      </c>
      <c r="M21" s="20">
        <v>1216</v>
      </c>
    </row>
    <row r="22" spans="1:13">
      <c r="A22" s="43" t="s">
        <v>113</v>
      </c>
      <c r="B22" s="281">
        <f t="shared" si="1"/>
        <v>10974</v>
      </c>
      <c r="C22" s="282">
        <f>10281+111</f>
        <v>10392</v>
      </c>
      <c r="D22" s="282"/>
      <c r="E22" s="282">
        <v>582</v>
      </c>
      <c r="F22" s="283"/>
      <c r="I22" s="240">
        <f>F21-G21</f>
        <v>-11432824</v>
      </c>
      <c r="J22" s="20">
        <v>14872580</v>
      </c>
      <c r="L22" s="362" t="s">
        <v>1988</v>
      </c>
      <c r="M22" s="20">
        <v>111</v>
      </c>
    </row>
    <row r="23" spans="1:13">
      <c r="A23" s="43" t="s">
        <v>171</v>
      </c>
      <c r="B23" s="281">
        <f t="shared" si="1"/>
        <v>19682</v>
      </c>
      <c r="C23" s="282">
        <f>18626+201</f>
        <v>18827</v>
      </c>
      <c r="D23" s="282"/>
      <c r="E23" s="282">
        <v>855</v>
      </c>
      <c r="F23" s="283"/>
      <c r="J23" s="20">
        <f>J22-J21</f>
        <v>13424580</v>
      </c>
      <c r="L23" s="362" t="s">
        <v>1989</v>
      </c>
      <c r="M23" s="20">
        <v>201</v>
      </c>
    </row>
    <row r="24" spans="1:13">
      <c r="A24" s="43" t="s">
        <v>172</v>
      </c>
      <c r="B24" s="281">
        <f t="shared" si="1"/>
        <v>41255</v>
      </c>
      <c r="C24" s="282">
        <f>40056+431</f>
        <v>40487</v>
      </c>
      <c r="D24" s="282"/>
      <c r="E24" s="282">
        <v>768</v>
      </c>
      <c r="F24" s="283"/>
      <c r="L24" s="362" t="s">
        <v>1990</v>
      </c>
      <c r="M24" s="20">
        <v>431</v>
      </c>
    </row>
    <row r="25" spans="1:13">
      <c r="A25" s="43" t="s">
        <v>114</v>
      </c>
      <c r="B25" s="281">
        <f t="shared" si="1"/>
        <v>26570</v>
      </c>
      <c r="C25" s="282">
        <f>26287+283</f>
        <v>26570</v>
      </c>
      <c r="D25" s="282"/>
      <c r="E25" s="282"/>
      <c r="F25" s="283"/>
      <c r="L25" s="362" t="s">
        <v>1991</v>
      </c>
      <c r="M25" s="20">
        <v>283</v>
      </c>
    </row>
    <row r="26" spans="1:13" s="104" customFormat="1" ht="15.75">
      <c r="A26" s="105" t="s">
        <v>2109</v>
      </c>
      <c r="B26" s="284">
        <f t="shared" si="1"/>
        <v>1797240</v>
      </c>
      <c r="C26" s="279">
        <f>SUM(C27:C44)</f>
        <v>609300</v>
      </c>
      <c r="D26" s="279">
        <f t="shared" ref="D26:F26" si="2">SUM(D27:D44)</f>
        <v>484940</v>
      </c>
      <c r="E26" s="279">
        <f t="shared" si="2"/>
        <v>15000</v>
      </c>
      <c r="F26" s="280">
        <f t="shared" si="2"/>
        <v>688000</v>
      </c>
      <c r="G26" s="221">
        <f>B26-'[1]Дох '!J193</f>
        <v>-24938987</v>
      </c>
    </row>
    <row r="27" spans="1:13">
      <c r="A27" s="43" t="s">
        <v>66</v>
      </c>
      <c r="B27" s="281">
        <f t="shared" ref="B27:B44" si="3">SUM(C27+E27+F27+D27)</f>
        <v>12901</v>
      </c>
      <c r="C27" s="282">
        <f>12017+129</f>
        <v>12146</v>
      </c>
      <c r="D27" s="282"/>
      <c r="E27" s="282">
        <v>755</v>
      </c>
      <c r="F27" s="283"/>
    </row>
    <row r="28" spans="1:13">
      <c r="A28" s="43" t="s">
        <v>107</v>
      </c>
      <c r="B28" s="281">
        <f t="shared" si="3"/>
        <v>8463</v>
      </c>
      <c r="C28" s="282">
        <f>7560+82</f>
        <v>7642</v>
      </c>
      <c r="D28" s="282"/>
      <c r="E28" s="282">
        <v>821</v>
      </c>
      <c r="F28" s="283"/>
    </row>
    <row r="29" spans="1:13">
      <c r="A29" s="43" t="s">
        <v>199</v>
      </c>
      <c r="B29" s="281">
        <f t="shared" si="3"/>
        <v>489239</v>
      </c>
      <c r="C29" s="282">
        <f>3522+37</f>
        <v>3559</v>
      </c>
      <c r="D29" s="282">
        <f>479791+5149</f>
        <v>484940</v>
      </c>
      <c r="E29" s="282">
        <v>740</v>
      </c>
      <c r="F29" s="283"/>
    </row>
    <row r="30" spans="1:13">
      <c r="A30" s="44" t="s">
        <v>67</v>
      </c>
      <c r="B30" s="281">
        <f t="shared" si="3"/>
        <v>856613</v>
      </c>
      <c r="C30" s="282">
        <f>166817+1796</f>
        <v>168613</v>
      </c>
      <c r="D30" s="282"/>
      <c r="E30" s="282"/>
      <c r="F30" s="283">
        <v>688000</v>
      </c>
    </row>
    <row r="31" spans="1:13">
      <c r="A31" s="43" t="s">
        <v>68</v>
      </c>
      <c r="B31" s="281">
        <f t="shared" si="3"/>
        <v>2991</v>
      </c>
      <c r="C31" s="282">
        <f>2220+24</f>
        <v>2244</v>
      </c>
      <c r="D31" s="282"/>
      <c r="E31" s="282">
        <v>747</v>
      </c>
      <c r="F31" s="283"/>
    </row>
    <row r="32" spans="1:13" ht="15" customHeight="1">
      <c r="A32" s="45" t="s">
        <v>275</v>
      </c>
      <c r="B32" s="281">
        <f t="shared" si="3"/>
        <v>55755</v>
      </c>
      <c r="C32" s="282">
        <f>53725+579</f>
        <v>54304</v>
      </c>
      <c r="D32" s="282"/>
      <c r="E32" s="282">
        <v>1451</v>
      </c>
      <c r="F32" s="283"/>
    </row>
    <row r="33" spans="1:7">
      <c r="A33" s="43" t="s">
        <v>108</v>
      </c>
      <c r="B33" s="281">
        <f t="shared" si="3"/>
        <v>32723</v>
      </c>
      <c r="C33" s="282">
        <f>31411+338</f>
        <v>31749</v>
      </c>
      <c r="D33" s="282"/>
      <c r="E33" s="282">
        <v>974</v>
      </c>
      <c r="F33" s="283"/>
    </row>
    <row r="34" spans="1:7">
      <c r="A34" s="43" t="s">
        <v>168</v>
      </c>
      <c r="B34" s="281">
        <f t="shared" si="3"/>
        <v>23977</v>
      </c>
      <c r="C34" s="282">
        <f>22665+244</f>
        <v>22909</v>
      </c>
      <c r="D34" s="282"/>
      <c r="E34" s="282">
        <v>1068</v>
      </c>
      <c r="F34" s="283"/>
    </row>
    <row r="35" spans="1:7">
      <c r="A35" s="43" t="s">
        <v>169</v>
      </c>
      <c r="B35" s="281">
        <f t="shared" si="3"/>
        <v>12477</v>
      </c>
      <c r="C35" s="282">
        <f>11833+128</f>
        <v>11961</v>
      </c>
      <c r="D35" s="282"/>
      <c r="E35" s="282">
        <v>516</v>
      </c>
      <c r="F35" s="283"/>
    </row>
    <row r="36" spans="1:7">
      <c r="A36" s="43" t="s">
        <v>109</v>
      </c>
      <c r="B36" s="281">
        <f t="shared" si="3"/>
        <v>4656</v>
      </c>
      <c r="C36" s="282">
        <f>3822+41</f>
        <v>3863</v>
      </c>
      <c r="D36" s="282"/>
      <c r="E36" s="282">
        <v>793</v>
      </c>
      <c r="F36" s="283"/>
    </row>
    <row r="37" spans="1:7">
      <c r="A37" s="44" t="s">
        <v>111</v>
      </c>
      <c r="B37" s="281">
        <f t="shared" si="3"/>
        <v>18718</v>
      </c>
      <c r="C37" s="282">
        <f>17141+184</f>
        <v>17325</v>
      </c>
      <c r="D37" s="282"/>
      <c r="E37" s="282">
        <v>1393</v>
      </c>
      <c r="F37" s="283"/>
    </row>
    <row r="38" spans="1:7">
      <c r="A38" s="43" t="s">
        <v>200</v>
      </c>
      <c r="B38" s="281">
        <f t="shared" si="3"/>
        <v>22576</v>
      </c>
      <c r="C38" s="282">
        <f>21497+231</f>
        <v>21728</v>
      </c>
      <c r="D38" s="282"/>
      <c r="E38" s="282">
        <v>848</v>
      </c>
      <c r="F38" s="283"/>
    </row>
    <row r="39" spans="1:7">
      <c r="A39" s="43" t="s">
        <v>110</v>
      </c>
      <c r="B39" s="281">
        <f t="shared" si="3"/>
        <v>41795</v>
      </c>
      <c r="C39" s="282">
        <f>40290+433</f>
        <v>40723</v>
      </c>
      <c r="D39" s="282"/>
      <c r="E39" s="282">
        <v>1072</v>
      </c>
      <c r="F39" s="283"/>
    </row>
    <row r="40" spans="1:7">
      <c r="A40" s="43" t="s">
        <v>112</v>
      </c>
      <c r="B40" s="281">
        <f t="shared" si="3"/>
        <v>115875</v>
      </c>
      <c r="C40" s="282">
        <f>113042+1216</f>
        <v>114258</v>
      </c>
      <c r="D40" s="282"/>
      <c r="E40" s="282">
        <v>1617</v>
      </c>
      <c r="F40" s="283"/>
    </row>
    <row r="41" spans="1:7">
      <c r="A41" s="43" t="s">
        <v>113</v>
      </c>
      <c r="B41" s="281">
        <f t="shared" si="3"/>
        <v>10974</v>
      </c>
      <c r="C41" s="282">
        <f>10281+111</f>
        <v>10392</v>
      </c>
      <c r="D41" s="282"/>
      <c r="E41" s="282">
        <v>582</v>
      </c>
      <c r="F41" s="283"/>
    </row>
    <row r="42" spans="1:7">
      <c r="A42" s="43" t="s">
        <v>171</v>
      </c>
      <c r="B42" s="281">
        <f t="shared" si="3"/>
        <v>19682</v>
      </c>
      <c r="C42" s="282">
        <f>18626+201</f>
        <v>18827</v>
      </c>
      <c r="D42" s="282"/>
      <c r="E42" s="282">
        <v>855</v>
      </c>
      <c r="F42" s="283"/>
    </row>
    <row r="43" spans="1:7">
      <c r="A43" s="43" t="s">
        <v>172</v>
      </c>
      <c r="B43" s="281">
        <f t="shared" si="3"/>
        <v>41255</v>
      </c>
      <c r="C43" s="282">
        <f>40056+431</f>
        <v>40487</v>
      </c>
      <c r="D43" s="282"/>
      <c r="E43" s="282">
        <v>768</v>
      </c>
      <c r="F43" s="283"/>
    </row>
    <row r="44" spans="1:7">
      <c r="A44" s="43" t="s">
        <v>114</v>
      </c>
      <c r="B44" s="281">
        <f t="shared" si="3"/>
        <v>26570</v>
      </c>
      <c r="C44" s="282">
        <f>26287+283</f>
        <v>26570</v>
      </c>
      <c r="D44" s="282"/>
      <c r="E44" s="282"/>
      <c r="F44" s="283"/>
    </row>
    <row r="45" spans="1:7" ht="15.75">
      <c r="A45" s="105" t="s">
        <v>2110</v>
      </c>
      <c r="B45" s="284">
        <f>B26/B7*100</f>
        <v>100</v>
      </c>
      <c r="C45" s="284">
        <f t="shared" ref="C45:F45" si="4">C26/C7*100</f>
        <v>100</v>
      </c>
      <c r="D45" s="284">
        <f t="shared" si="4"/>
        <v>100</v>
      </c>
      <c r="E45" s="284">
        <f t="shared" si="4"/>
        <v>100</v>
      </c>
      <c r="F45" s="284">
        <f t="shared" si="4"/>
        <v>100</v>
      </c>
      <c r="G45" s="221">
        <f>B45-'[1]Дох '!K193</f>
        <v>-26736127</v>
      </c>
    </row>
    <row r="46" spans="1:7">
      <c r="A46" s="43" t="s">
        <v>66</v>
      </c>
      <c r="B46" s="281">
        <f>B27/B8*100</f>
        <v>100</v>
      </c>
      <c r="C46" s="281">
        <f t="shared" ref="C46:E46" si="5">C27/C8*100</f>
        <v>100</v>
      </c>
      <c r="D46" s="281"/>
      <c r="E46" s="281">
        <f t="shared" si="5"/>
        <v>100</v>
      </c>
      <c r="F46" s="281"/>
    </row>
    <row r="47" spans="1:7">
      <c r="A47" s="43" t="s">
        <v>107</v>
      </c>
      <c r="B47" s="281">
        <f t="shared" ref="B47:E63" si="6">B28/B9*100</f>
        <v>100</v>
      </c>
      <c r="C47" s="281">
        <f t="shared" si="6"/>
        <v>100</v>
      </c>
      <c r="D47" s="281"/>
      <c r="E47" s="281">
        <f t="shared" ref="E47" si="7">E28/E9*100</f>
        <v>100</v>
      </c>
      <c r="F47" s="281"/>
    </row>
    <row r="48" spans="1:7">
      <c r="A48" s="43" t="s">
        <v>199</v>
      </c>
      <c r="B48" s="281">
        <f t="shared" si="6"/>
        <v>100</v>
      </c>
      <c r="C48" s="281">
        <f t="shared" si="6"/>
        <v>100</v>
      </c>
      <c r="D48" s="281">
        <f t="shared" si="6"/>
        <v>100</v>
      </c>
      <c r="E48" s="281">
        <f t="shared" si="6"/>
        <v>100</v>
      </c>
      <c r="F48" s="281"/>
    </row>
    <row r="49" spans="1:6">
      <c r="A49" s="44" t="s">
        <v>67</v>
      </c>
      <c r="B49" s="281">
        <f t="shared" si="6"/>
        <v>100</v>
      </c>
      <c r="C49" s="281">
        <f t="shared" si="6"/>
        <v>100</v>
      </c>
      <c r="D49" s="282"/>
      <c r="E49" s="281"/>
      <c r="F49" s="281">
        <f t="shared" ref="F49" si="8">F30/F11*100</f>
        <v>100</v>
      </c>
    </row>
    <row r="50" spans="1:6">
      <c r="A50" s="43" t="s">
        <v>68</v>
      </c>
      <c r="B50" s="281">
        <f t="shared" si="6"/>
        <v>100</v>
      </c>
      <c r="C50" s="281">
        <f t="shared" si="6"/>
        <v>100</v>
      </c>
      <c r="D50" s="282"/>
      <c r="E50" s="281">
        <f t="shared" ref="E50" si="9">E31/E12*100</f>
        <v>100</v>
      </c>
      <c r="F50" s="283"/>
    </row>
    <row r="51" spans="1:6" ht="15" customHeight="1">
      <c r="A51" s="45" t="s">
        <v>275</v>
      </c>
      <c r="B51" s="281">
        <f t="shared" si="6"/>
        <v>100</v>
      </c>
      <c r="C51" s="281">
        <f t="shared" si="6"/>
        <v>100</v>
      </c>
      <c r="D51" s="282"/>
      <c r="E51" s="281">
        <f t="shared" ref="E51" si="10">E32/E13*100</f>
        <v>100</v>
      </c>
      <c r="F51" s="283"/>
    </row>
    <row r="52" spans="1:6">
      <c r="A52" s="43" t="s">
        <v>108</v>
      </c>
      <c r="B52" s="281">
        <f t="shared" si="6"/>
        <v>100</v>
      </c>
      <c r="C52" s="281">
        <f t="shared" si="6"/>
        <v>100</v>
      </c>
      <c r="D52" s="282"/>
      <c r="E52" s="281">
        <f t="shared" ref="E52" si="11">E33/E14*100</f>
        <v>100</v>
      </c>
      <c r="F52" s="283"/>
    </row>
    <row r="53" spans="1:6">
      <c r="A53" s="43" t="s">
        <v>168</v>
      </c>
      <c r="B53" s="281">
        <f t="shared" si="6"/>
        <v>100</v>
      </c>
      <c r="C53" s="281">
        <f t="shared" si="6"/>
        <v>100</v>
      </c>
      <c r="D53" s="282"/>
      <c r="E53" s="281">
        <f t="shared" ref="E53" si="12">E34/E15*100</f>
        <v>100</v>
      </c>
      <c r="F53" s="283"/>
    </row>
    <row r="54" spans="1:6">
      <c r="A54" s="43" t="s">
        <v>169</v>
      </c>
      <c r="B54" s="281">
        <f t="shared" si="6"/>
        <v>100</v>
      </c>
      <c r="C54" s="281">
        <f t="shared" si="6"/>
        <v>100</v>
      </c>
      <c r="D54" s="282"/>
      <c r="E54" s="281">
        <f t="shared" ref="E54" si="13">E35/E16*100</f>
        <v>100</v>
      </c>
      <c r="F54" s="283"/>
    </row>
    <row r="55" spans="1:6">
      <c r="A55" s="43" t="s">
        <v>109</v>
      </c>
      <c r="B55" s="281">
        <f t="shared" si="6"/>
        <v>100</v>
      </c>
      <c r="C55" s="281">
        <f t="shared" si="6"/>
        <v>100</v>
      </c>
      <c r="D55" s="282"/>
      <c r="E55" s="281">
        <f t="shared" ref="E55" si="14">E36/E17*100</f>
        <v>100</v>
      </c>
      <c r="F55" s="283"/>
    </row>
    <row r="56" spans="1:6">
      <c r="A56" s="44" t="s">
        <v>111</v>
      </c>
      <c r="B56" s="281">
        <f t="shared" si="6"/>
        <v>100</v>
      </c>
      <c r="C56" s="281">
        <f t="shared" si="6"/>
        <v>100</v>
      </c>
      <c r="D56" s="282"/>
      <c r="E56" s="281">
        <f t="shared" ref="E56" si="15">E37/E18*100</f>
        <v>100</v>
      </c>
      <c r="F56" s="283"/>
    </row>
    <row r="57" spans="1:6">
      <c r="A57" s="43" t="s">
        <v>200</v>
      </c>
      <c r="B57" s="281">
        <f t="shared" si="6"/>
        <v>100</v>
      </c>
      <c r="C57" s="281">
        <f t="shared" si="6"/>
        <v>100</v>
      </c>
      <c r="D57" s="282"/>
      <c r="E57" s="281">
        <f t="shared" ref="E57" si="16">E38/E19*100</f>
        <v>100</v>
      </c>
      <c r="F57" s="283"/>
    </row>
    <row r="58" spans="1:6">
      <c r="A58" s="43" t="s">
        <v>110</v>
      </c>
      <c r="B58" s="281">
        <f t="shared" si="6"/>
        <v>100</v>
      </c>
      <c r="C58" s="281">
        <f t="shared" si="6"/>
        <v>100</v>
      </c>
      <c r="D58" s="282"/>
      <c r="E58" s="281">
        <f t="shared" ref="E58" si="17">E39/E20*100</f>
        <v>100</v>
      </c>
      <c r="F58" s="283"/>
    </row>
    <row r="59" spans="1:6">
      <c r="A59" s="43" t="s">
        <v>112</v>
      </c>
      <c r="B59" s="281">
        <f t="shared" si="6"/>
        <v>100</v>
      </c>
      <c r="C59" s="281">
        <f t="shared" si="6"/>
        <v>100</v>
      </c>
      <c r="D59" s="282"/>
      <c r="E59" s="281">
        <f t="shared" ref="E59" si="18">E40/E21*100</f>
        <v>100</v>
      </c>
      <c r="F59" s="283"/>
    </row>
    <row r="60" spans="1:6">
      <c r="A60" s="43" t="s">
        <v>113</v>
      </c>
      <c r="B60" s="281">
        <f t="shared" si="6"/>
        <v>100</v>
      </c>
      <c r="C60" s="281">
        <f t="shared" si="6"/>
        <v>100</v>
      </c>
      <c r="D60" s="282"/>
      <c r="E60" s="281">
        <f t="shared" ref="E60" si="19">E41/E22*100</f>
        <v>100</v>
      </c>
      <c r="F60" s="283"/>
    </row>
    <row r="61" spans="1:6">
      <c r="A61" s="43" t="s">
        <v>171</v>
      </c>
      <c r="B61" s="281">
        <f t="shared" si="6"/>
        <v>100</v>
      </c>
      <c r="C61" s="281">
        <f t="shared" si="6"/>
        <v>100</v>
      </c>
      <c r="D61" s="282"/>
      <c r="E61" s="281">
        <f t="shared" ref="E61" si="20">E42/E23*100</f>
        <v>100</v>
      </c>
      <c r="F61" s="283"/>
    </row>
    <row r="62" spans="1:6">
      <c r="A62" s="43" t="s">
        <v>172</v>
      </c>
      <c r="B62" s="281">
        <f t="shared" si="6"/>
        <v>100</v>
      </c>
      <c r="C62" s="281">
        <f t="shared" si="6"/>
        <v>100</v>
      </c>
      <c r="D62" s="282"/>
      <c r="E62" s="281">
        <f t="shared" ref="E62" si="21">E43/E24*100</f>
        <v>100</v>
      </c>
      <c r="F62" s="283"/>
    </row>
    <row r="63" spans="1:6">
      <c r="A63" s="43" t="s">
        <v>114</v>
      </c>
      <c r="B63" s="281">
        <f t="shared" si="6"/>
        <v>100</v>
      </c>
      <c r="C63" s="281">
        <f t="shared" si="6"/>
        <v>100</v>
      </c>
      <c r="D63" s="282"/>
      <c r="E63" s="281"/>
      <c r="F63" s="283"/>
    </row>
  </sheetData>
  <mergeCells count="6">
    <mergeCell ref="A1:F1"/>
    <mergeCell ref="A5:A6"/>
    <mergeCell ref="B5:B6"/>
    <mergeCell ref="A3:F3"/>
    <mergeCell ref="C5:F5"/>
    <mergeCell ref="A2:F2"/>
  </mergeCells>
  <phoneticPr fontId="3" type="noConversion"/>
  <pageMargins left="0.23622047244094491" right="0.23622047244094491" top="0.74803149606299213" bottom="0.74803149606299213" header="0.31496062992125984" footer="0.31496062992125984"/>
  <pageSetup paperSize="9" scale="77" fitToHeight="0" orientation="landscape" r:id="rId1"/>
  <headerFooter alignWithMargins="0"/>
</worksheet>
</file>

<file path=xl/worksheets/sheet14.xml><?xml version="1.0" encoding="utf-8"?>
<worksheet xmlns="http://schemas.openxmlformats.org/spreadsheetml/2006/main" xmlns:r="http://schemas.openxmlformats.org/officeDocument/2006/relationships">
  <sheetPr>
    <tabColor rgb="FF00B0F0"/>
  </sheetPr>
  <dimension ref="A1:G24"/>
  <sheetViews>
    <sheetView topLeftCell="A2" zoomScaleNormal="100" workbookViewId="0">
      <selection activeCell="F13" sqref="F13"/>
    </sheetView>
  </sheetViews>
  <sheetFormatPr defaultRowHeight="12.75"/>
  <cols>
    <col min="1" max="1" width="43.28515625" customWidth="1"/>
    <col min="2" max="2" width="15.7109375" customWidth="1"/>
    <col min="3" max="3" width="14.5703125" customWidth="1"/>
    <col min="4" max="4" width="15" customWidth="1"/>
    <col min="5" max="5" width="13.140625" customWidth="1"/>
  </cols>
  <sheetData>
    <row r="1" spans="1:6" ht="45.75" hidden="1" customHeight="1">
      <c r="A1" s="442" t="str">
        <f>"Приложение №"&amp;Н2сбал&amp;"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2"/>
      <c r="C1" s="442"/>
      <c r="D1" s="442"/>
      <c r="E1" s="21"/>
    </row>
    <row r="2" spans="1:6" ht="49.5" customHeight="1">
      <c r="A2" s="442" t="str">
        <f>"Приложение "&amp;Н1сбал&amp;" к решению
Богучанского районного Совета депутатов
от "&amp;Р1дата&amp;" года №"&amp;Р1номер</f>
        <v>Приложение 8 к решению
Богучанского районного Совета депутатов
от 2020  года №</v>
      </c>
      <c r="B2" s="442"/>
      <c r="C2" s="442"/>
      <c r="D2" s="442"/>
      <c r="E2" s="21"/>
      <c r="F2" s="4"/>
    </row>
    <row r="3" spans="1:6" ht="73.5" customHeight="1">
      <c r="A3" s="494" t="str">
        <f>"Распределение трансфертов на поддержку мер по обеспечению сбалансированности бюджетов поселений за  "&amp;год&amp;" год "</f>
        <v xml:space="preserve">Распределение трансфертов на поддержку мер по обеспечению сбалансированности бюджетов поселений за  2019 год </v>
      </c>
      <c r="B3" s="494"/>
      <c r="C3" s="494"/>
      <c r="D3" s="494"/>
      <c r="E3" s="21"/>
      <c r="F3" s="4"/>
    </row>
    <row r="4" spans="1:6">
      <c r="A4" s="198"/>
      <c r="B4" s="10"/>
      <c r="C4" s="10"/>
      <c r="D4" s="199" t="s">
        <v>95</v>
      </c>
      <c r="E4" s="21"/>
      <c r="F4" s="4"/>
    </row>
    <row r="5" spans="1:6" ht="28.5">
      <c r="A5" s="24" t="s">
        <v>29</v>
      </c>
      <c r="B5" s="24" t="s">
        <v>2086</v>
      </c>
      <c r="C5" s="24" t="s">
        <v>2087</v>
      </c>
      <c r="D5" s="24" t="s">
        <v>2111</v>
      </c>
      <c r="E5" s="35">
        <v>1110080120</v>
      </c>
      <c r="F5" s="4" t="s">
        <v>306</v>
      </c>
    </row>
    <row r="6" spans="1:6" ht="15">
      <c r="A6" s="436" t="s">
        <v>96</v>
      </c>
      <c r="B6" s="338">
        <f>SUM(B7:B24)</f>
        <v>23787597</v>
      </c>
      <c r="C6" s="338">
        <f t="shared" ref="C6" si="0">SUM(C7:C24)</f>
        <v>23787597</v>
      </c>
      <c r="D6" s="438">
        <f>C6/B6*100</f>
        <v>100</v>
      </c>
      <c r="E6" s="117">
        <f ca="1">SUMIF(РзПз,"????"&amp;E$5,СумВед)-B6</f>
        <v>0</v>
      </c>
      <c r="F6" s="4">
        <v>2016</v>
      </c>
    </row>
    <row r="7" spans="1:6" ht="14.25">
      <c r="A7" s="439" t="s">
        <v>734</v>
      </c>
      <c r="B7" s="288">
        <f>1799600+48000</f>
        <v>1847600</v>
      </c>
      <c r="C7" s="288">
        <f>1799600+48000</f>
        <v>1847600</v>
      </c>
      <c r="D7" s="336">
        <f>C7/B7*100</f>
        <v>100</v>
      </c>
      <c r="E7" s="117">
        <f ca="1">SUMIF(РзПзПлПер,"????"&amp;E$5,СумВед14)-C6</f>
        <v>-5094597</v>
      </c>
      <c r="F7" s="4">
        <v>2017</v>
      </c>
    </row>
    <row r="8" spans="1:6" ht="28.5">
      <c r="A8" s="439" t="s">
        <v>107</v>
      </c>
      <c r="B8" s="288">
        <f>2169500+97000</f>
        <v>2266500</v>
      </c>
      <c r="C8" s="288">
        <f>2169500+97000</f>
        <v>2266500</v>
      </c>
      <c r="D8" s="336">
        <f t="shared" ref="D8:D24" si="1">C8/B8*100</f>
        <v>100</v>
      </c>
      <c r="E8" s="117">
        <f ca="1">SUMIF(РзПзПлПер,"????"&amp;E$5,СумВед15)-D6</f>
        <v>18692900</v>
      </c>
      <c r="F8" s="4">
        <v>2018</v>
      </c>
    </row>
    <row r="9" spans="1:6" ht="14.25">
      <c r="A9" s="440" t="s">
        <v>199</v>
      </c>
      <c r="B9" s="288">
        <f>125000</f>
        <v>125000</v>
      </c>
      <c r="C9" s="288">
        <f>125000</f>
        <v>125000</v>
      </c>
      <c r="D9" s="336">
        <f t="shared" si="1"/>
        <v>100</v>
      </c>
      <c r="E9" s="21"/>
      <c r="F9" s="4"/>
    </row>
    <row r="10" spans="1:6" ht="14.25" hidden="1">
      <c r="A10" s="440" t="s">
        <v>67</v>
      </c>
      <c r="B10" s="288">
        <v>0</v>
      </c>
      <c r="C10" s="288">
        <v>0</v>
      </c>
      <c r="D10" s="336" t="e">
        <f t="shared" si="1"/>
        <v>#DIV/0!</v>
      </c>
      <c r="E10" s="21"/>
      <c r="F10" s="4"/>
    </row>
    <row r="11" spans="1:6" ht="28.5">
      <c r="A11" s="439" t="s">
        <v>68</v>
      </c>
      <c r="B11" s="288">
        <f>2397200+181000+65000+65000+1200000</f>
        <v>3908200</v>
      </c>
      <c r="C11" s="288">
        <f>2397200+181000+65000+65000+1200000</f>
        <v>3908200</v>
      </c>
      <c r="D11" s="336">
        <f t="shared" si="1"/>
        <v>100</v>
      </c>
      <c r="E11" s="21"/>
      <c r="F11" s="4"/>
    </row>
    <row r="12" spans="1:6" ht="16.5" customHeight="1">
      <c r="A12" s="45" t="s">
        <v>275</v>
      </c>
      <c r="B12" s="288">
        <f>31000</f>
        <v>31000</v>
      </c>
      <c r="C12" s="288">
        <f>31000</f>
        <v>31000</v>
      </c>
      <c r="D12" s="336">
        <f t="shared" si="1"/>
        <v>100</v>
      </c>
      <c r="E12" s="21"/>
      <c r="F12" s="4"/>
    </row>
    <row r="13" spans="1:6" ht="14.25">
      <c r="A13" s="439" t="s">
        <v>108</v>
      </c>
      <c r="B13" s="288">
        <f>2113100+22000</f>
        <v>2135100</v>
      </c>
      <c r="C13" s="288">
        <f>2113100+22000</f>
        <v>2135100</v>
      </c>
      <c r="D13" s="336">
        <f t="shared" si="1"/>
        <v>100</v>
      </c>
      <c r="E13" s="39"/>
      <c r="F13" s="4"/>
    </row>
    <row r="14" spans="1:6" ht="14.25">
      <c r="A14" s="439" t="s">
        <v>168</v>
      </c>
      <c r="B14" s="288">
        <f>2683300+108000</f>
        <v>2791300</v>
      </c>
      <c r="C14" s="288">
        <f>2683300+108000</f>
        <v>2791300</v>
      </c>
      <c r="D14" s="336">
        <f t="shared" si="1"/>
        <v>100</v>
      </c>
      <c r="E14" s="21"/>
      <c r="F14" s="4"/>
    </row>
    <row r="15" spans="1:6" ht="28.5" hidden="1">
      <c r="A15" s="439" t="s">
        <v>169</v>
      </c>
      <c r="B15" s="288">
        <v>0</v>
      </c>
      <c r="C15" s="288">
        <v>0</v>
      </c>
      <c r="D15" s="336" t="e">
        <f t="shared" si="1"/>
        <v>#DIV/0!</v>
      </c>
      <c r="E15" s="21"/>
      <c r="F15" s="4"/>
    </row>
    <row r="16" spans="1:6" ht="14.25">
      <c r="A16" s="439" t="s">
        <v>109</v>
      </c>
      <c r="B16" s="288">
        <v>2049100</v>
      </c>
      <c r="C16" s="288">
        <v>2049100</v>
      </c>
      <c r="D16" s="336">
        <f t="shared" si="1"/>
        <v>100</v>
      </c>
      <c r="E16" s="21"/>
      <c r="F16" s="4"/>
    </row>
    <row r="17" spans="1:7" ht="28.5">
      <c r="A17" s="439" t="s">
        <v>111</v>
      </c>
      <c r="B17" s="288">
        <v>129797</v>
      </c>
      <c r="C17" s="288">
        <v>129797</v>
      </c>
      <c r="D17" s="336">
        <f t="shared" si="1"/>
        <v>100</v>
      </c>
      <c r="E17" s="21"/>
      <c r="F17" s="4"/>
    </row>
    <row r="18" spans="1:7" ht="28.5">
      <c r="A18" s="439" t="s">
        <v>200</v>
      </c>
      <c r="B18" s="288">
        <f>82400+10000</f>
        <v>92400</v>
      </c>
      <c r="C18" s="288">
        <f>82400+10000</f>
        <v>92400</v>
      </c>
      <c r="D18" s="336">
        <f t="shared" si="1"/>
        <v>100</v>
      </c>
      <c r="E18" s="21"/>
      <c r="F18" s="4"/>
    </row>
    <row r="19" spans="1:7" ht="14.25">
      <c r="A19" s="439" t="s">
        <v>110</v>
      </c>
      <c r="B19" s="288">
        <f>2275300+290000+108700</f>
        <v>2674000</v>
      </c>
      <c r="C19" s="288">
        <f>2275300+290000+108700</f>
        <v>2674000</v>
      </c>
      <c r="D19" s="336">
        <f t="shared" si="1"/>
        <v>100</v>
      </c>
      <c r="E19" s="21"/>
      <c r="F19" s="4"/>
    </row>
    <row r="20" spans="1:7" ht="28.5">
      <c r="A20" s="439" t="s">
        <v>112</v>
      </c>
      <c r="B20" s="288">
        <v>55000</v>
      </c>
      <c r="C20" s="288">
        <v>55000</v>
      </c>
      <c r="D20" s="336">
        <f t="shared" si="1"/>
        <v>100</v>
      </c>
      <c r="E20" s="21"/>
      <c r="F20" s="4"/>
    </row>
    <row r="21" spans="1:7" ht="12.75" customHeight="1">
      <c r="A21" s="439" t="s">
        <v>113</v>
      </c>
      <c r="B21" s="288">
        <v>59000</v>
      </c>
      <c r="C21" s="288">
        <v>59000</v>
      </c>
      <c r="D21" s="336">
        <f t="shared" si="1"/>
        <v>100</v>
      </c>
      <c r="E21" s="21"/>
      <c r="F21" s="4"/>
    </row>
    <row r="22" spans="1:7" ht="14.25">
      <c r="A22" s="439" t="s">
        <v>171</v>
      </c>
      <c r="B22" s="288">
        <f>2202700+15000</f>
        <v>2217700</v>
      </c>
      <c r="C22" s="288">
        <f>2202700+15000</f>
        <v>2217700</v>
      </c>
      <c r="D22" s="336">
        <f t="shared" si="1"/>
        <v>100</v>
      </c>
      <c r="E22" s="21"/>
      <c r="F22" s="4"/>
    </row>
    <row r="23" spans="1:7" ht="14.25">
      <c r="A23" s="439" t="s">
        <v>172</v>
      </c>
      <c r="B23" s="288">
        <f>512700+58000</f>
        <v>570700</v>
      </c>
      <c r="C23" s="288">
        <f>512700+58000</f>
        <v>570700</v>
      </c>
      <c r="D23" s="336">
        <f t="shared" si="1"/>
        <v>100</v>
      </c>
      <c r="E23" s="21"/>
      <c r="F23" s="4"/>
    </row>
    <row r="24" spans="1:7" ht="14.25">
      <c r="A24" s="439" t="s">
        <v>114</v>
      </c>
      <c r="B24" s="288">
        <f>2689700+107800+37700</f>
        <v>2835200</v>
      </c>
      <c r="C24" s="288">
        <f>2689700+107800+37700</f>
        <v>2835200</v>
      </c>
      <c r="D24" s="336">
        <f t="shared" si="1"/>
        <v>100</v>
      </c>
      <c r="E24" s="21"/>
      <c r="F24" s="4"/>
      <c r="G24" t="s">
        <v>1776</v>
      </c>
    </row>
  </sheetData>
  <mergeCells count="3">
    <mergeCell ref="A2:D2"/>
    <mergeCell ref="A3:D3"/>
    <mergeCell ref="A1:D1"/>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sheetPr codeName="Лист9">
    <tabColor rgb="FF00B0F0"/>
  </sheetPr>
  <dimension ref="A1:H63"/>
  <sheetViews>
    <sheetView topLeftCell="A2" workbookViewId="0">
      <selection activeCell="D15" sqref="D15"/>
    </sheetView>
  </sheetViews>
  <sheetFormatPr defaultRowHeight="12.75"/>
  <cols>
    <col min="1" max="1" width="47.85546875" style="4" customWidth="1"/>
    <col min="2" max="2" width="15.5703125" style="4" customWidth="1"/>
    <col min="3" max="3" width="16.42578125" style="4" customWidth="1"/>
    <col min="4" max="4" width="14.85546875" style="4" customWidth="1"/>
    <col min="5" max="5" width="16.28515625" style="4" customWidth="1"/>
    <col min="6" max="6" width="16.5703125" style="4" customWidth="1"/>
    <col min="7" max="7" width="17.42578125" style="4" customWidth="1"/>
    <col min="8" max="16384" width="9.140625" style="4"/>
  </cols>
  <sheetData>
    <row r="1" spans="1:8" ht="45.75" hidden="1" customHeight="1">
      <c r="A1" s="442" t="str">
        <f>"Приложение №"&amp;Н2ффп&amp;"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2"/>
      <c r="C1" s="442"/>
      <c r="D1" s="442"/>
    </row>
    <row r="2" spans="1:8" ht="40.5" customHeight="1">
      <c r="A2" s="442" t="str">
        <f>"Приложение "&amp;Н1ффп&amp;" к решению
Богучанского районного Совета депутатов
от "&amp;Р1дата&amp;" года №"&amp;Р1номер</f>
        <v>Приложение 9 к решению
Богучанского районного Совета депутатов
от 2020  года №</v>
      </c>
      <c r="B2" s="442"/>
      <c r="C2" s="442"/>
      <c r="D2" s="442"/>
    </row>
    <row r="3" spans="1:8" ht="55.5" customHeight="1">
      <c r="A3" s="495" t="str">
        <f>"Распределение средств районного фонда финансовой поддержки за "&amp;год&amp;" год "</f>
        <v xml:space="preserve">Распределение средств районного фонда финансовой поддержки за 2019 год </v>
      </c>
      <c r="B3" s="495"/>
      <c r="C3" s="495"/>
      <c r="D3" s="495"/>
    </row>
    <row r="4" spans="1:8">
      <c r="D4" s="10" t="s">
        <v>95</v>
      </c>
    </row>
    <row r="5" spans="1:8">
      <c r="A5" s="496" t="s">
        <v>29</v>
      </c>
      <c r="B5" s="498" t="s">
        <v>96</v>
      </c>
      <c r="C5" s="484" t="s">
        <v>1243</v>
      </c>
      <c r="D5" s="485"/>
    </row>
    <row r="6" spans="1:8" ht="135" customHeight="1">
      <c r="A6" s="497"/>
      <c r="B6" s="499"/>
      <c r="C6" s="318" t="s">
        <v>1244</v>
      </c>
      <c r="D6" s="34" t="s">
        <v>1245</v>
      </c>
      <c r="F6" s="4">
        <v>1110076010</v>
      </c>
      <c r="G6" s="4">
        <v>1110080130</v>
      </c>
    </row>
    <row r="7" spans="1:8" ht="15">
      <c r="A7" s="115" t="s">
        <v>2112</v>
      </c>
      <c r="B7" s="285">
        <f>SUM(B8:B25)</f>
        <v>82239100</v>
      </c>
      <c r="C7" s="285">
        <f>SUM(C8:C25)</f>
        <v>41401000</v>
      </c>
      <c r="D7" s="285">
        <f>SUM(D8:D25)</f>
        <v>40838100</v>
      </c>
      <c r="E7" s="116" t="s">
        <v>306</v>
      </c>
      <c r="F7" s="117">
        <f ca="1">SUMIF(РзПз,"????"&amp;F$6,СумВед)-C7</f>
        <v>0</v>
      </c>
      <c r="G7" s="117">
        <f ca="1">SUMIF(РзПз,"????"&amp;G$6,СумВед)-D7</f>
        <v>0</v>
      </c>
      <c r="H7" s="4">
        <v>2016</v>
      </c>
    </row>
    <row r="8" spans="1:8" ht="14.25">
      <c r="A8" s="294" t="s">
        <v>734</v>
      </c>
      <c r="B8" s="295">
        <f t="shared" ref="B8:B25" si="0">C8+D8</f>
        <v>2722200</v>
      </c>
      <c r="C8" s="288">
        <v>1822300</v>
      </c>
      <c r="D8" s="288">
        <v>899900</v>
      </c>
      <c r="F8" s="117">
        <f ca="1">SUMIF(РзПзПлПер,"????"&amp;F$6,СумВед14)-C26</f>
        <v>-8280200</v>
      </c>
      <c r="G8" s="117">
        <f ca="1">SUMIF(РзПзПлПер,"????"&amp;G$6,СумВед14)-D26</f>
        <v>-8789100</v>
      </c>
      <c r="H8" s="4">
        <v>2017</v>
      </c>
    </row>
    <row r="9" spans="1:8" ht="14.25">
      <c r="A9" s="294" t="s">
        <v>107</v>
      </c>
      <c r="B9" s="295">
        <f t="shared" si="0"/>
        <v>3382000</v>
      </c>
      <c r="C9" s="288">
        <v>670200</v>
      </c>
      <c r="D9" s="288">
        <v>2711800</v>
      </c>
      <c r="F9" s="117">
        <f ca="1">SUMIF(РзПзПлПер,"????"&amp;F$6,СумВед15)-C45</f>
        <v>33120700</v>
      </c>
      <c r="G9" s="117">
        <f ca="1">SUMIF(РзПзПлПер,"????"&amp;G$6,СумВед15)-D45</f>
        <v>32048900</v>
      </c>
      <c r="H9" s="4">
        <v>2018</v>
      </c>
    </row>
    <row r="10" spans="1:8" ht="14.25">
      <c r="A10" s="296" t="s">
        <v>199</v>
      </c>
      <c r="B10" s="295">
        <f t="shared" si="0"/>
        <v>6163800</v>
      </c>
      <c r="C10" s="288">
        <v>40100</v>
      </c>
      <c r="D10" s="288">
        <v>6123700</v>
      </c>
    </row>
    <row r="11" spans="1:8" ht="14.25">
      <c r="A11" s="291" t="s">
        <v>67</v>
      </c>
      <c r="B11" s="292">
        <f t="shared" si="0"/>
        <v>5527300</v>
      </c>
      <c r="C11" s="293">
        <v>5527300</v>
      </c>
      <c r="D11" s="293">
        <v>0</v>
      </c>
      <c r="F11" s="39"/>
      <c r="G11" s="39"/>
    </row>
    <row r="12" spans="1:8" ht="14.25">
      <c r="A12" s="12" t="s">
        <v>68</v>
      </c>
      <c r="B12" s="286">
        <f t="shared" si="0"/>
        <v>2407300</v>
      </c>
      <c r="C12" s="287">
        <v>905800</v>
      </c>
      <c r="D12" s="287">
        <v>1501500</v>
      </c>
    </row>
    <row r="13" spans="1:8" ht="14.25" customHeight="1">
      <c r="A13" s="14" t="s">
        <v>275</v>
      </c>
      <c r="B13" s="286">
        <f t="shared" si="0"/>
        <v>7970500</v>
      </c>
      <c r="C13" s="287">
        <v>4643400</v>
      </c>
      <c r="D13" s="287">
        <v>3327100</v>
      </c>
    </row>
    <row r="14" spans="1:8" ht="14.25">
      <c r="A14" s="12" t="s">
        <v>108</v>
      </c>
      <c r="B14" s="286">
        <f t="shared" si="0"/>
        <v>3719900</v>
      </c>
      <c r="C14" s="287">
        <v>1672900</v>
      </c>
      <c r="D14" s="287">
        <v>2047000</v>
      </c>
    </row>
    <row r="15" spans="1:8" ht="14.25">
      <c r="A15" s="12" t="s">
        <v>168</v>
      </c>
      <c r="B15" s="286">
        <f t="shared" si="0"/>
        <v>4430900</v>
      </c>
      <c r="C15" s="287">
        <v>2437600</v>
      </c>
      <c r="D15" s="287">
        <v>1993300</v>
      </c>
    </row>
    <row r="16" spans="1:8" ht="14.25">
      <c r="A16" s="12" t="s">
        <v>169</v>
      </c>
      <c r="B16" s="286">
        <f t="shared" si="0"/>
        <v>5450400</v>
      </c>
      <c r="C16" s="287">
        <v>147000</v>
      </c>
      <c r="D16" s="287">
        <v>5303400</v>
      </c>
    </row>
    <row r="17" spans="1:4" ht="14.25">
      <c r="A17" s="12" t="s">
        <v>109</v>
      </c>
      <c r="B17" s="286">
        <f t="shared" si="0"/>
        <v>2770200</v>
      </c>
      <c r="C17" s="287">
        <v>1420400</v>
      </c>
      <c r="D17" s="287">
        <v>1349800</v>
      </c>
    </row>
    <row r="18" spans="1:4" ht="14.25">
      <c r="A18" s="12" t="s">
        <v>111</v>
      </c>
      <c r="B18" s="286">
        <f t="shared" si="0"/>
        <v>6570300</v>
      </c>
      <c r="C18" s="287">
        <v>5702700</v>
      </c>
      <c r="D18" s="287">
        <v>867600</v>
      </c>
    </row>
    <row r="19" spans="1:4" ht="13.5" customHeight="1">
      <c r="A19" s="12" t="s">
        <v>200</v>
      </c>
      <c r="B19" s="286">
        <f t="shared" si="0"/>
        <v>7237300</v>
      </c>
      <c r="C19" s="287">
        <v>1876500</v>
      </c>
      <c r="D19" s="287">
        <v>5360800</v>
      </c>
    </row>
    <row r="20" spans="1:4" ht="14.25">
      <c r="A20" s="12" t="s">
        <v>110</v>
      </c>
      <c r="B20" s="286">
        <f t="shared" si="0"/>
        <v>3781500</v>
      </c>
      <c r="C20" s="287">
        <v>3043500</v>
      </c>
      <c r="D20" s="287">
        <v>738000</v>
      </c>
    </row>
    <row r="21" spans="1:4" ht="14.25">
      <c r="A21" s="12" t="s">
        <v>112</v>
      </c>
      <c r="B21" s="286">
        <f t="shared" si="0"/>
        <v>3832300</v>
      </c>
      <c r="C21" s="287">
        <v>3832300</v>
      </c>
      <c r="D21" s="287">
        <v>0</v>
      </c>
    </row>
    <row r="22" spans="1:4" ht="14.25">
      <c r="A22" s="12" t="s">
        <v>113</v>
      </c>
      <c r="B22" s="286">
        <f t="shared" si="0"/>
        <v>5599500</v>
      </c>
      <c r="C22" s="287">
        <v>661400</v>
      </c>
      <c r="D22" s="287">
        <v>4938100</v>
      </c>
    </row>
    <row r="23" spans="1:4" ht="14.25">
      <c r="A23" s="12" t="s">
        <v>171</v>
      </c>
      <c r="B23" s="286">
        <f t="shared" si="0"/>
        <v>3071000</v>
      </c>
      <c r="C23" s="287">
        <v>1310900</v>
      </c>
      <c r="D23" s="287">
        <v>1760100</v>
      </c>
    </row>
    <row r="24" spans="1:4" ht="14.25">
      <c r="A24" s="12" t="s">
        <v>172</v>
      </c>
      <c r="B24" s="286">
        <f t="shared" si="0"/>
        <v>4868100</v>
      </c>
      <c r="C24" s="287">
        <v>4392700</v>
      </c>
      <c r="D24" s="287">
        <v>475400</v>
      </c>
    </row>
    <row r="25" spans="1:4" ht="14.25">
      <c r="A25" s="12" t="s">
        <v>114</v>
      </c>
      <c r="B25" s="286">
        <f t="shared" si="0"/>
        <v>2734600</v>
      </c>
      <c r="C25" s="287">
        <v>1294000</v>
      </c>
      <c r="D25" s="287">
        <v>1440600</v>
      </c>
    </row>
    <row r="26" spans="1:4" ht="15">
      <c r="A26" s="115" t="s">
        <v>2109</v>
      </c>
      <c r="B26" s="285">
        <f>SUM(B27:B44)</f>
        <v>82239100</v>
      </c>
      <c r="C26" s="285">
        <f>SUM(C27:C44)</f>
        <v>41401000</v>
      </c>
      <c r="D26" s="285">
        <f>SUM(D27:D44)</f>
        <v>40838100</v>
      </c>
    </row>
    <row r="27" spans="1:4" ht="14.25">
      <c r="A27" s="12" t="s">
        <v>66</v>
      </c>
      <c r="B27" s="286">
        <f t="shared" ref="B27:B44" si="1">C27+D27</f>
        <v>2722200</v>
      </c>
      <c r="C27" s="288">
        <v>1822300</v>
      </c>
      <c r="D27" s="288">
        <v>899900</v>
      </c>
    </row>
    <row r="28" spans="1:4" ht="14.25">
      <c r="A28" s="46" t="s">
        <v>107</v>
      </c>
      <c r="B28" s="286">
        <f t="shared" si="1"/>
        <v>3382000</v>
      </c>
      <c r="C28" s="288">
        <v>670200</v>
      </c>
      <c r="D28" s="288">
        <v>2711800</v>
      </c>
    </row>
    <row r="29" spans="1:4" ht="14.25">
      <c r="A29" s="12" t="s">
        <v>199</v>
      </c>
      <c r="B29" s="286">
        <f t="shared" si="1"/>
        <v>6163800</v>
      </c>
      <c r="C29" s="288">
        <v>40100</v>
      </c>
      <c r="D29" s="288">
        <v>6123700</v>
      </c>
    </row>
    <row r="30" spans="1:4" ht="14.25">
      <c r="A30" s="12" t="s">
        <v>67</v>
      </c>
      <c r="B30" s="286">
        <f t="shared" si="1"/>
        <v>5527300</v>
      </c>
      <c r="C30" s="293">
        <v>5527300</v>
      </c>
      <c r="D30" s="293">
        <v>0</v>
      </c>
    </row>
    <row r="31" spans="1:4" ht="14.25">
      <c r="A31" s="12" t="s">
        <v>68</v>
      </c>
      <c r="B31" s="286">
        <f t="shared" si="1"/>
        <v>2407300</v>
      </c>
      <c r="C31" s="287">
        <v>905800</v>
      </c>
      <c r="D31" s="287">
        <v>1501500</v>
      </c>
    </row>
    <row r="32" spans="1:4" ht="14.25" customHeight="1">
      <c r="A32" s="14" t="s">
        <v>275</v>
      </c>
      <c r="B32" s="286">
        <f t="shared" si="1"/>
        <v>7970500</v>
      </c>
      <c r="C32" s="287">
        <v>4643400</v>
      </c>
      <c r="D32" s="287">
        <v>3327100</v>
      </c>
    </row>
    <row r="33" spans="1:4" ht="14.25">
      <c r="A33" s="12" t="s">
        <v>108</v>
      </c>
      <c r="B33" s="286">
        <f t="shared" si="1"/>
        <v>3719900</v>
      </c>
      <c r="C33" s="287">
        <v>1672900</v>
      </c>
      <c r="D33" s="287">
        <v>2047000</v>
      </c>
    </row>
    <row r="34" spans="1:4" ht="14.25">
      <c r="A34" s="12" t="s">
        <v>168</v>
      </c>
      <c r="B34" s="286">
        <f t="shared" si="1"/>
        <v>4430900</v>
      </c>
      <c r="C34" s="287">
        <v>2437600</v>
      </c>
      <c r="D34" s="287">
        <v>1993300</v>
      </c>
    </row>
    <row r="35" spans="1:4" ht="14.25">
      <c r="A35" s="12" t="s">
        <v>169</v>
      </c>
      <c r="B35" s="286">
        <f t="shared" si="1"/>
        <v>5450400</v>
      </c>
      <c r="C35" s="287">
        <v>147000</v>
      </c>
      <c r="D35" s="287">
        <v>5303400</v>
      </c>
    </row>
    <row r="36" spans="1:4" ht="14.25">
      <c r="A36" s="12" t="s">
        <v>109</v>
      </c>
      <c r="B36" s="286">
        <f t="shared" si="1"/>
        <v>2770200</v>
      </c>
      <c r="C36" s="287">
        <v>1420400</v>
      </c>
      <c r="D36" s="287">
        <v>1349800</v>
      </c>
    </row>
    <row r="37" spans="1:4" ht="14.25">
      <c r="A37" s="12" t="s">
        <v>111</v>
      </c>
      <c r="B37" s="286">
        <f t="shared" si="1"/>
        <v>6570300</v>
      </c>
      <c r="C37" s="287">
        <v>5702700</v>
      </c>
      <c r="D37" s="287">
        <v>867600</v>
      </c>
    </row>
    <row r="38" spans="1:4" ht="13.5" customHeight="1">
      <c r="A38" s="12" t="s">
        <v>200</v>
      </c>
      <c r="B38" s="286">
        <f t="shared" si="1"/>
        <v>7237300</v>
      </c>
      <c r="C38" s="287">
        <v>1876500</v>
      </c>
      <c r="D38" s="287">
        <v>5360800</v>
      </c>
    </row>
    <row r="39" spans="1:4" ht="14.25">
      <c r="A39" s="12" t="s">
        <v>110</v>
      </c>
      <c r="B39" s="286">
        <f t="shared" si="1"/>
        <v>3781500</v>
      </c>
      <c r="C39" s="287">
        <v>3043500</v>
      </c>
      <c r="D39" s="287">
        <v>738000</v>
      </c>
    </row>
    <row r="40" spans="1:4" ht="14.25">
      <c r="A40" s="12" t="s">
        <v>112</v>
      </c>
      <c r="B40" s="286">
        <f t="shared" si="1"/>
        <v>3832300</v>
      </c>
      <c r="C40" s="287">
        <v>3832300</v>
      </c>
      <c r="D40" s="287">
        <v>0</v>
      </c>
    </row>
    <row r="41" spans="1:4" ht="14.25">
      <c r="A41" s="12" t="s">
        <v>113</v>
      </c>
      <c r="B41" s="286">
        <f t="shared" si="1"/>
        <v>5599500</v>
      </c>
      <c r="C41" s="287">
        <v>661400</v>
      </c>
      <c r="D41" s="287">
        <v>4938100</v>
      </c>
    </row>
    <row r="42" spans="1:4" ht="14.25">
      <c r="A42" s="12" t="s">
        <v>171</v>
      </c>
      <c r="B42" s="286">
        <f t="shared" si="1"/>
        <v>3071000</v>
      </c>
      <c r="C42" s="287">
        <v>1310900</v>
      </c>
      <c r="D42" s="287">
        <v>1760100</v>
      </c>
    </row>
    <row r="43" spans="1:4" ht="14.25">
      <c r="A43" s="12" t="s">
        <v>172</v>
      </c>
      <c r="B43" s="286">
        <f t="shared" si="1"/>
        <v>4868100</v>
      </c>
      <c r="C43" s="287">
        <v>4392700</v>
      </c>
      <c r="D43" s="287">
        <v>475400</v>
      </c>
    </row>
    <row r="44" spans="1:4" ht="14.25">
      <c r="A44" s="12" t="s">
        <v>114</v>
      </c>
      <c r="B44" s="286">
        <f t="shared" si="1"/>
        <v>2734600</v>
      </c>
      <c r="C44" s="287">
        <v>1294000</v>
      </c>
      <c r="D44" s="287">
        <v>1440600</v>
      </c>
    </row>
    <row r="45" spans="1:4" ht="15">
      <c r="A45" s="115" t="s">
        <v>2113</v>
      </c>
      <c r="B45" s="411">
        <f>B26/B7*100</f>
        <v>100</v>
      </c>
      <c r="C45" s="411">
        <f t="shared" ref="C45:D45" si="2">C26/C7*100</f>
        <v>100</v>
      </c>
      <c r="D45" s="411">
        <f t="shared" si="2"/>
        <v>100</v>
      </c>
    </row>
    <row r="46" spans="1:4" ht="14.25">
      <c r="A46" s="12" t="s">
        <v>66</v>
      </c>
      <c r="B46" s="286">
        <f>B27/B8*100</f>
        <v>100</v>
      </c>
      <c r="C46" s="286">
        <f t="shared" ref="C46:D46" si="3">C27/C8*100</f>
        <v>100</v>
      </c>
      <c r="D46" s="286">
        <f t="shared" si="3"/>
        <v>100</v>
      </c>
    </row>
    <row r="47" spans="1:4" ht="14.25">
      <c r="A47" s="46" t="s">
        <v>107</v>
      </c>
      <c r="B47" s="286">
        <f t="shared" ref="B47:D47" si="4">B28/B9*100</f>
        <v>100</v>
      </c>
      <c r="C47" s="286">
        <f t="shared" si="4"/>
        <v>100</v>
      </c>
      <c r="D47" s="286">
        <f t="shared" si="4"/>
        <v>100</v>
      </c>
    </row>
    <row r="48" spans="1:4" ht="14.25">
      <c r="A48" s="12" t="s">
        <v>199</v>
      </c>
      <c r="B48" s="286">
        <f t="shared" ref="B48:D48" si="5">B29/B10*100</f>
        <v>100</v>
      </c>
      <c r="C48" s="286">
        <f t="shared" si="5"/>
        <v>100</v>
      </c>
      <c r="D48" s="286">
        <f t="shared" si="5"/>
        <v>100</v>
      </c>
    </row>
    <row r="49" spans="1:4" ht="14.25">
      <c r="A49" s="12" t="s">
        <v>67</v>
      </c>
      <c r="B49" s="286">
        <f t="shared" ref="B49:C49" si="6">B30/B11*100</f>
        <v>100</v>
      </c>
      <c r="C49" s="286">
        <f t="shared" si="6"/>
        <v>100</v>
      </c>
      <c r="D49" s="286"/>
    </row>
    <row r="50" spans="1:4" ht="14.25">
      <c r="A50" s="12" t="s">
        <v>68</v>
      </c>
      <c r="B50" s="286">
        <f t="shared" ref="B50:D50" si="7">B31/B12*100</f>
        <v>100</v>
      </c>
      <c r="C50" s="286">
        <f t="shared" si="7"/>
        <v>100</v>
      </c>
      <c r="D50" s="286">
        <f t="shared" si="7"/>
        <v>100</v>
      </c>
    </row>
    <row r="51" spans="1:4" ht="13.5" customHeight="1">
      <c r="A51" s="14" t="s">
        <v>275</v>
      </c>
      <c r="B51" s="286">
        <f t="shared" ref="B51:D51" si="8">B32/B13*100</f>
        <v>100</v>
      </c>
      <c r="C51" s="286">
        <f t="shared" si="8"/>
        <v>100</v>
      </c>
      <c r="D51" s="286">
        <f t="shared" si="8"/>
        <v>100</v>
      </c>
    </row>
    <row r="52" spans="1:4" ht="14.25">
      <c r="A52" s="12" t="s">
        <v>108</v>
      </c>
      <c r="B52" s="286">
        <f t="shared" ref="B52:D52" si="9">B33/B14*100</f>
        <v>100</v>
      </c>
      <c r="C52" s="286">
        <f t="shared" si="9"/>
        <v>100</v>
      </c>
      <c r="D52" s="286">
        <f t="shared" si="9"/>
        <v>100</v>
      </c>
    </row>
    <row r="53" spans="1:4" ht="14.25">
      <c r="A53" s="12" t="s">
        <v>168</v>
      </c>
      <c r="B53" s="286">
        <f t="shared" ref="B53:D53" si="10">B34/B15*100</f>
        <v>100</v>
      </c>
      <c r="C53" s="286">
        <f t="shared" si="10"/>
        <v>100</v>
      </c>
      <c r="D53" s="286">
        <f t="shared" si="10"/>
        <v>100</v>
      </c>
    </row>
    <row r="54" spans="1:4" ht="14.25">
      <c r="A54" s="12" t="s">
        <v>169</v>
      </c>
      <c r="B54" s="286">
        <f t="shared" ref="B54:D54" si="11">B35/B16*100</f>
        <v>100</v>
      </c>
      <c r="C54" s="286">
        <f t="shared" si="11"/>
        <v>100</v>
      </c>
      <c r="D54" s="286">
        <f t="shared" si="11"/>
        <v>100</v>
      </c>
    </row>
    <row r="55" spans="1:4" ht="14.25">
      <c r="A55" s="12" t="s">
        <v>109</v>
      </c>
      <c r="B55" s="286">
        <f t="shared" ref="B55:D55" si="12">B36/B17*100</f>
        <v>100</v>
      </c>
      <c r="C55" s="286">
        <f t="shared" si="12"/>
        <v>100</v>
      </c>
      <c r="D55" s="286">
        <f t="shared" si="12"/>
        <v>100</v>
      </c>
    </row>
    <row r="56" spans="1:4" ht="14.25">
      <c r="A56" s="12" t="s">
        <v>111</v>
      </c>
      <c r="B56" s="286">
        <f t="shared" ref="B56:D56" si="13">B37/B18*100</f>
        <v>100</v>
      </c>
      <c r="C56" s="286">
        <f t="shared" si="13"/>
        <v>100</v>
      </c>
      <c r="D56" s="286">
        <f t="shared" si="13"/>
        <v>100</v>
      </c>
    </row>
    <row r="57" spans="1:4" ht="15" customHeight="1">
      <c r="A57" s="12" t="s">
        <v>200</v>
      </c>
      <c r="B57" s="286">
        <f t="shared" ref="B57:D57" si="14">B38/B19*100</f>
        <v>100</v>
      </c>
      <c r="C57" s="286">
        <f t="shared" si="14"/>
        <v>100</v>
      </c>
      <c r="D57" s="286">
        <f t="shared" si="14"/>
        <v>100</v>
      </c>
    </row>
    <row r="58" spans="1:4" ht="14.25">
      <c r="A58" s="12" t="s">
        <v>110</v>
      </c>
      <c r="B58" s="286">
        <f t="shared" ref="B58:D58" si="15">B39/B20*100</f>
        <v>100</v>
      </c>
      <c r="C58" s="286">
        <f t="shared" si="15"/>
        <v>100</v>
      </c>
      <c r="D58" s="286">
        <f t="shared" si="15"/>
        <v>100</v>
      </c>
    </row>
    <row r="59" spans="1:4" ht="14.25">
      <c r="A59" s="12" t="s">
        <v>112</v>
      </c>
      <c r="B59" s="286">
        <f t="shared" ref="B59:C59" si="16">B40/B21*100</f>
        <v>100</v>
      </c>
      <c r="C59" s="286">
        <f t="shared" si="16"/>
        <v>100</v>
      </c>
      <c r="D59" s="286"/>
    </row>
    <row r="60" spans="1:4" ht="14.25">
      <c r="A60" s="12" t="s">
        <v>113</v>
      </c>
      <c r="B60" s="286">
        <f t="shared" ref="B60:D60" si="17">B41/B22*100</f>
        <v>100</v>
      </c>
      <c r="C60" s="286">
        <f t="shared" si="17"/>
        <v>100</v>
      </c>
      <c r="D60" s="286">
        <f t="shared" si="17"/>
        <v>100</v>
      </c>
    </row>
    <row r="61" spans="1:4" ht="14.25">
      <c r="A61" s="12" t="s">
        <v>171</v>
      </c>
      <c r="B61" s="286">
        <f t="shared" ref="B61:D61" si="18">B42/B23*100</f>
        <v>100</v>
      </c>
      <c r="C61" s="286">
        <f t="shared" si="18"/>
        <v>100</v>
      </c>
      <c r="D61" s="286">
        <f t="shared" si="18"/>
        <v>100</v>
      </c>
    </row>
    <row r="62" spans="1:4" ht="14.25">
      <c r="A62" s="12" t="s">
        <v>172</v>
      </c>
      <c r="B62" s="286">
        <f t="shared" ref="B62:D62" si="19">B43/B24*100</f>
        <v>100</v>
      </c>
      <c r="C62" s="286">
        <f t="shared" si="19"/>
        <v>100</v>
      </c>
      <c r="D62" s="286">
        <f t="shared" si="19"/>
        <v>100</v>
      </c>
    </row>
    <row r="63" spans="1:4" ht="14.25">
      <c r="A63" s="12" t="s">
        <v>114</v>
      </c>
      <c r="B63" s="286">
        <f t="shared" ref="B63:D63" si="20">B44/B25*100</f>
        <v>100</v>
      </c>
      <c r="C63" s="286">
        <f t="shared" si="20"/>
        <v>100</v>
      </c>
      <c r="D63" s="286">
        <f t="shared" si="20"/>
        <v>100</v>
      </c>
    </row>
  </sheetData>
  <mergeCells count="6">
    <mergeCell ref="A3:D3"/>
    <mergeCell ref="A2:D2"/>
    <mergeCell ref="A1:D1"/>
    <mergeCell ref="A5:A6"/>
    <mergeCell ref="B5:B6"/>
    <mergeCell ref="C5:D5"/>
  </mergeCells>
  <phoneticPr fontId="3" type="noConversion"/>
  <pageMargins left="0.59055118110236227" right="0.23622047244094491" top="0.59055118110236227" bottom="0.59055118110236227" header="0.31496062992125984" footer="0.31496062992125984"/>
  <pageSetup paperSize="9" fitToHeight="0" orientation="portrait" r:id="rId1"/>
  <headerFooter alignWithMargins="0"/>
</worksheet>
</file>

<file path=xl/worksheets/sheet16.xml><?xml version="1.0" encoding="utf-8"?>
<worksheet xmlns="http://schemas.openxmlformats.org/spreadsheetml/2006/main" xmlns:r="http://schemas.openxmlformats.org/officeDocument/2006/relationships">
  <sheetPr codeName="Лист11">
    <tabColor rgb="FF00B0F0"/>
  </sheetPr>
  <dimension ref="A1:G24"/>
  <sheetViews>
    <sheetView topLeftCell="A2" workbookViewId="0">
      <selection activeCell="G17" sqref="G17"/>
    </sheetView>
  </sheetViews>
  <sheetFormatPr defaultRowHeight="12.75"/>
  <cols>
    <col min="1" max="1" width="48.5703125" style="4" customWidth="1"/>
    <col min="2" max="2" width="15" style="4" bestFit="1" customWidth="1"/>
    <col min="3" max="4" width="15" style="4" customWidth="1"/>
    <col min="5" max="5" width="9.140625" style="4"/>
    <col min="6" max="6" width="12.5703125" style="4" customWidth="1"/>
    <col min="7" max="16384" width="9.140625" style="4"/>
  </cols>
  <sheetData>
    <row r="1" spans="1:7" ht="45.75" hidden="1" customHeight="1">
      <c r="A1" s="442" t="str">
        <f>"Приложение №"&amp;Н2мол&amp;"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2"/>
      <c r="C1" s="442"/>
      <c r="D1" s="442"/>
    </row>
    <row r="2" spans="1:7" ht="45" customHeight="1">
      <c r="A2" s="442" t="str">
        <f>"Приложение "&amp;Н1мол&amp;" к решению
Богучанского районного Совета депутатов
от "&amp;Р1дата&amp;" года №"&amp;Р1номер</f>
        <v>Приложение 10 к решению
Богучанского районного Совета депутатов
от 2020  года №</v>
      </c>
      <c r="B2" s="442"/>
      <c r="C2" s="442"/>
      <c r="D2" s="442"/>
    </row>
    <row r="3" spans="1:7" ht="105" customHeight="1">
      <c r="A3" s="495" t="str">
        <f>"Межбюджетные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 за "&amp;год&amp;" год"</f>
        <v>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 за 2019 год</v>
      </c>
      <c r="B3" s="495"/>
      <c r="C3" s="495"/>
      <c r="D3" s="495"/>
    </row>
    <row r="4" spans="1:7">
      <c r="C4" s="10"/>
      <c r="D4" s="10" t="s">
        <v>95</v>
      </c>
    </row>
    <row r="5" spans="1:7" ht="25.5">
      <c r="A5" s="34" t="s">
        <v>29</v>
      </c>
      <c r="B5" s="34" t="s">
        <v>2106</v>
      </c>
      <c r="C5" s="34" t="s">
        <v>2087</v>
      </c>
      <c r="D5" s="34" t="s">
        <v>2085</v>
      </c>
      <c r="F5" s="41" t="s">
        <v>927</v>
      </c>
    </row>
    <row r="6" spans="1:7" ht="15">
      <c r="A6" s="36" t="s">
        <v>96</v>
      </c>
      <c r="B6" s="37">
        <f>SUM(B7:B24)</f>
        <v>2143763.85</v>
      </c>
      <c r="C6" s="37">
        <f>SUM(C7:C24)</f>
        <v>2143763.85</v>
      </c>
      <c r="D6" s="412">
        <f>C6/B6*100</f>
        <v>100</v>
      </c>
      <c r="E6" s="116" t="s">
        <v>306</v>
      </c>
      <c r="F6" s="119">
        <f ca="1">SUMIF(РзПз,"????"&amp;F$5,СумВед)-B6</f>
        <v>0</v>
      </c>
      <c r="G6" s="4">
        <v>2016</v>
      </c>
    </row>
    <row r="7" spans="1:7" ht="14.25">
      <c r="A7" s="12" t="s">
        <v>734</v>
      </c>
      <c r="B7" s="27">
        <v>149300</v>
      </c>
      <c r="C7" s="27">
        <v>149300</v>
      </c>
      <c r="D7" s="27">
        <f>C7/B7*100</f>
        <v>100</v>
      </c>
      <c r="F7" s="119">
        <f ca="1">SUMIF(РзПзПлПер,"????"&amp;F$5,СумВед14)-C6</f>
        <v>6236.1499999999069</v>
      </c>
      <c r="G7" s="4">
        <v>2017</v>
      </c>
    </row>
    <row r="8" spans="1:7" ht="14.25">
      <c r="A8" s="12" t="s">
        <v>107</v>
      </c>
      <c r="B8" s="27">
        <v>74650</v>
      </c>
      <c r="C8" s="27">
        <v>74650</v>
      </c>
      <c r="D8" s="27">
        <f t="shared" ref="D8:D24" si="0">C8/B8*100</f>
        <v>100</v>
      </c>
      <c r="F8" s="119">
        <f ca="1">SUMIF(РзПзПлПер,"????"&amp;F$5,СумВед15)-D6</f>
        <v>2149900</v>
      </c>
      <c r="G8" s="4">
        <v>2018</v>
      </c>
    </row>
    <row r="9" spans="1:7" ht="14.25">
      <c r="A9" s="12" t="s">
        <v>199</v>
      </c>
      <c r="B9" s="27">
        <v>74650</v>
      </c>
      <c r="C9" s="27">
        <v>74650</v>
      </c>
      <c r="D9" s="27">
        <f t="shared" si="0"/>
        <v>100</v>
      </c>
      <c r="F9" s="40"/>
    </row>
    <row r="10" spans="1:7" ht="14.25">
      <c r="A10" s="12" t="s">
        <v>67</v>
      </c>
      <c r="B10" s="27">
        <f>149380-74650</f>
        <v>74730</v>
      </c>
      <c r="C10" s="27">
        <f>149380-74650</f>
        <v>74730</v>
      </c>
      <c r="D10" s="27">
        <f t="shared" si="0"/>
        <v>100</v>
      </c>
    </row>
    <row r="11" spans="1:7" ht="14.25">
      <c r="A11" s="12" t="s">
        <v>68</v>
      </c>
      <c r="B11" s="27">
        <f>74650-6236.15</f>
        <v>68413.850000000006</v>
      </c>
      <c r="C11" s="27">
        <f>74650-6236.15</f>
        <v>68413.850000000006</v>
      </c>
      <c r="D11" s="27">
        <f t="shared" si="0"/>
        <v>100</v>
      </c>
    </row>
    <row r="12" spans="1:7" ht="15" customHeight="1">
      <c r="A12" s="14" t="s">
        <v>275</v>
      </c>
      <c r="B12" s="27">
        <v>238880</v>
      </c>
      <c r="C12" s="27">
        <v>238880</v>
      </c>
      <c r="D12" s="27">
        <f t="shared" si="0"/>
        <v>100</v>
      </c>
    </row>
    <row r="13" spans="1:7" ht="14.25">
      <c r="A13" s="12" t="s">
        <v>108</v>
      </c>
      <c r="B13" s="27">
        <f>74650+74650</f>
        <v>149300</v>
      </c>
      <c r="C13" s="27">
        <f>74650+74650</f>
        <v>149300</v>
      </c>
      <c r="D13" s="27">
        <f t="shared" si="0"/>
        <v>100</v>
      </c>
    </row>
    <row r="14" spans="1:7" ht="14.25">
      <c r="A14" s="12" t="s">
        <v>168</v>
      </c>
      <c r="B14" s="27">
        <v>149300</v>
      </c>
      <c r="C14" s="27">
        <v>149300</v>
      </c>
      <c r="D14" s="27">
        <f t="shared" si="0"/>
        <v>100</v>
      </c>
    </row>
    <row r="15" spans="1:7" ht="14.25">
      <c r="A15" s="12" t="s">
        <v>169</v>
      </c>
      <c r="B15" s="27">
        <v>74650</v>
      </c>
      <c r="C15" s="27">
        <v>74650</v>
      </c>
      <c r="D15" s="27">
        <f t="shared" si="0"/>
        <v>100</v>
      </c>
    </row>
    <row r="16" spans="1:7" ht="14.25">
      <c r="A16" s="12" t="s">
        <v>109</v>
      </c>
      <c r="B16" s="27">
        <v>149300</v>
      </c>
      <c r="C16" s="27">
        <v>149300</v>
      </c>
      <c r="D16" s="27">
        <f t="shared" si="0"/>
        <v>100</v>
      </c>
    </row>
    <row r="17" spans="1:4" ht="14.25">
      <c r="A17" s="12" t="s">
        <v>111</v>
      </c>
      <c r="B17" s="27">
        <v>119440</v>
      </c>
      <c r="C17" s="27">
        <v>119440</v>
      </c>
      <c r="D17" s="27">
        <f t="shared" si="0"/>
        <v>100</v>
      </c>
    </row>
    <row r="18" spans="1:4" ht="14.25">
      <c r="A18" s="12" t="s">
        <v>200</v>
      </c>
      <c r="B18" s="27">
        <v>74650</v>
      </c>
      <c r="C18" s="27">
        <v>74650</v>
      </c>
      <c r="D18" s="27">
        <f t="shared" si="0"/>
        <v>100</v>
      </c>
    </row>
    <row r="19" spans="1:4" ht="14.25">
      <c r="A19" s="12" t="s">
        <v>110</v>
      </c>
      <c r="B19" s="27">
        <v>149300</v>
      </c>
      <c r="C19" s="27">
        <v>149300</v>
      </c>
      <c r="D19" s="27">
        <f t="shared" si="0"/>
        <v>100</v>
      </c>
    </row>
    <row r="20" spans="1:4" ht="14.25">
      <c r="A20" s="12" t="s">
        <v>112</v>
      </c>
      <c r="B20" s="27">
        <v>149300</v>
      </c>
      <c r="C20" s="27">
        <v>149300</v>
      </c>
      <c r="D20" s="27">
        <f t="shared" si="0"/>
        <v>100</v>
      </c>
    </row>
    <row r="21" spans="1:4" ht="14.25">
      <c r="A21" s="12" t="s">
        <v>113</v>
      </c>
      <c r="B21" s="27">
        <v>74650</v>
      </c>
      <c r="C21" s="27">
        <v>74650</v>
      </c>
      <c r="D21" s="27">
        <f t="shared" si="0"/>
        <v>100</v>
      </c>
    </row>
    <row r="22" spans="1:4" ht="14.25">
      <c r="A22" s="12" t="s">
        <v>171</v>
      </c>
      <c r="B22" s="27">
        <v>104510</v>
      </c>
      <c r="C22" s="27">
        <v>104510</v>
      </c>
      <c r="D22" s="27">
        <f t="shared" si="0"/>
        <v>100</v>
      </c>
    </row>
    <row r="23" spans="1:4" ht="14.25">
      <c r="A23" s="12" t="s">
        <v>172</v>
      </c>
      <c r="B23" s="27">
        <v>149300</v>
      </c>
      <c r="C23" s="27">
        <v>149300</v>
      </c>
      <c r="D23" s="27">
        <f t="shared" si="0"/>
        <v>100</v>
      </c>
    </row>
    <row r="24" spans="1:4" ht="14.25">
      <c r="A24" s="12" t="s">
        <v>114</v>
      </c>
      <c r="B24" s="27">
        <v>119440</v>
      </c>
      <c r="C24" s="27">
        <v>119440</v>
      </c>
      <c r="D24" s="27">
        <f t="shared" si="0"/>
        <v>100</v>
      </c>
    </row>
  </sheetData>
  <mergeCells count="3">
    <mergeCell ref="A3:D3"/>
    <mergeCell ref="A2:D2"/>
    <mergeCell ref="A1:D1"/>
  </mergeCells>
  <phoneticPr fontId="3" type="noConversion"/>
  <pageMargins left="0.78740157480314965" right="0.23622047244094491" top="0.74803149606299213" bottom="0.74803149606299213" header="0.31496062992125984" footer="0.31496062992125984"/>
  <pageSetup paperSize="9" fitToHeight="0" orientation="portrait" r:id="rId1"/>
  <headerFooter alignWithMargins="0"/>
</worksheet>
</file>

<file path=xl/worksheets/sheet17.xml><?xml version="1.0" encoding="utf-8"?>
<worksheet xmlns="http://schemas.openxmlformats.org/spreadsheetml/2006/main" xmlns:r="http://schemas.openxmlformats.org/officeDocument/2006/relationships">
  <sheetPr codeName="Лист12">
    <tabColor rgb="FF00B0F0"/>
  </sheetPr>
  <dimension ref="A1:G24"/>
  <sheetViews>
    <sheetView topLeftCell="A2" workbookViewId="0">
      <selection activeCell="C10" sqref="C10"/>
    </sheetView>
  </sheetViews>
  <sheetFormatPr defaultRowHeight="12.75"/>
  <cols>
    <col min="1" max="1" width="51.140625" style="4" customWidth="1"/>
    <col min="2" max="2" width="8.42578125" style="4" hidden="1" customWidth="1"/>
    <col min="3" max="3" width="13" style="4" customWidth="1"/>
    <col min="4" max="4" width="11.85546875" style="4" customWidth="1"/>
    <col min="5" max="5" width="11.85546875" style="4" bestFit="1" customWidth="1"/>
    <col min="6" max="6" width="15" style="21" customWidth="1"/>
    <col min="7" max="16384" width="9.140625" style="4"/>
  </cols>
  <sheetData>
    <row r="1" spans="1:7" ht="41.25" hidden="1" customHeight="1">
      <c r="A1" s="442" t="str">
        <f>"Приложение №"&amp;Н2ком&amp;"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2"/>
      <c r="C1" s="442"/>
      <c r="D1" s="442"/>
      <c r="E1" s="442"/>
    </row>
    <row r="2" spans="1:7" ht="41.25" customHeight="1">
      <c r="A2" s="442" t="str">
        <f>"Приложение "&amp;Н1ком&amp;" к решению
Богучанского районного Совета депутатов
от "&amp;Р1дата&amp;" года №"&amp;Р1номер</f>
        <v>Приложение 11 к решению
Богучанского районного Совета депутатов
от 2020  года №</v>
      </c>
      <c r="B2" s="442"/>
      <c r="C2" s="442"/>
      <c r="D2" s="442"/>
      <c r="E2" s="442"/>
    </row>
    <row r="3" spans="1:7" ht="76.5" customHeight="1">
      <c r="A3" s="441" t="str">
        <f>"Субвенции на выполнение государственных полномочий по созданию и обеспечению деятельности административных комиссий на "&amp;год&amp;" год  и плановый период "&amp;ПлПер&amp;" годов"</f>
        <v>Субвенции на выполнение государственных полномочий по созданию и обеспечению деятельности административных комиссий на 2019 год  и плановый период  годов</v>
      </c>
      <c r="B3" s="441"/>
      <c r="C3" s="441"/>
      <c r="D3" s="441"/>
      <c r="E3" s="441"/>
    </row>
    <row r="4" spans="1:7">
      <c r="D4" s="10"/>
      <c r="E4" s="10" t="s">
        <v>95</v>
      </c>
    </row>
    <row r="5" spans="1:7" ht="25.5">
      <c r="A5" s="34" t="s">
        <v>29</v>
      </c>
      <c r="B5" s="120" t="s">
        <v>47</v>
      </c>
      <c r="C5" s="34" t="s">
        <v>2086</v>
      </c>
      <c r="D5" s="34" t="s">
        <v>2087</v>
      </c>
      <c r="E5" s="34" t="s">
        <v>2085</v>
      </c>
      <c r="F5" s="35">
        <v>1110075140</v>
      </c>
      <c r="G5" s="4" t="s">
        <v>306</v>
      </c>
    </row>
    <row r="6" spans="1:7" ht="15">
      <c r="A6" s="500" t="s">
        <v>96</v>
      </c>
      <c r="B6" s="501"/>
      <c r="C6" s="285">
        <f>SUM(C7:C24)</f>
        <v>215600</v>
      </c>
      <c r="D6" s="285">
        <f>SUM(D7:D24)</f>
        <v>189300</v>
      </c>
      <c r="E6" s="288">
        <f>D6/C6*100</f>
        <v>87.801484230055664</v>
      </c>
      <c r="F6" s="117">
        <f ca="1">SUMIF(РзПз,"????"&amp;F$5,СумВед)-C6</f>
        <v>0</v>
      </c>
      <c r="G6" s="4">
        <v>2013</v>
      </c>
    </row>
    <row r="7" spans="1:7" ht="14.25">
      <c r="A7" s="38" t="s">
        <v>734</v>
      </c>
      <c r="B7" s="121" t="s">
        <v>48</v>
      </c>
      <c r="C7" s="288">
        <v>9900</v>
      </c>
      <c r="D7" s="288">
        <v>9900</v>
      </c>
      <c r="E7" s="288">
        <f>D7/C7*100</f>
        <v>100</v>
      </c>
      <c r="F7" s="117">
        <f ca="1">SUMIF(РзПзПлПер,"????"&amp;F$5,СумВед14)-D6</f>
        <v>24500</v>
      </c>
      <c r="G7" s="4">
        <v>2014</v>
      </c>
    </row>
    <row r="8" spans="1:7" ht="14.25">
      <c r="A8" s="38" t="s">
        <v>107</v>
      </c>
      <c r="B8" s="121" t="s">
        <v>49</v>
      </c>
      <c r="C8" s="288">
        <v>3000</v>
      </c>
      <c r="D8" s="288">
        <v>3000</v>
      </c>
      <c r="E8" s="288">
        <f t="shared" ref="E8:E24" si="0">D8/C8*100</f>
        <v>100</v>
      </c>
      <c r="F8" s="117">
        <f ca="1">SUMIF(РзПзПлПер,"????"&amp;F$5,СумВед15)-E6</f>
        <v>213712.19851576994</v>
      </c>
      <c r="G8" s="4">
        <v>2015</v>
      </c>
    </row>
    <row r="9" spans="1:7" ht="14.25">
      <c r="A9" s="38" t="s">
        <v>199</v>
      </c>
      <c r="B9" s="121" t="s">
        <v>50</v>
      </c>
      <c r="C9" s="288">
        <v>1100</v>
      </c>
      <c r="D9" s="288">
        <v>1100</v>
      </c>
      <c r="E9" s="288">
        <f t="shared" si="0"/>
        <v>100</v>
      </c>
    </row>
    <row r="10" spans="1:7" ht="14.25">
      <c r="A10" s="38" t="s">
        <v>67</v>
      </c>
      <c r="B10" s="121" t="s">
        <v>51</v>
      </c>
      <c r="C10" s="288">
        <v>55200</v>
      </c>
      <c r="D10" s="288">
        <v>55200</v>
      </c>
      <c r="E10" s="288">
        <f t="shared" si="0"/>
        <v>100</v>
      </c>
    </row>
    <row r="11" spans="1:7" ht="14.25">
      <c r="A11" s="38" t="s">
        <v>68</v>
      </c>
      <c r="B11" s="121" t="s">
        <v>52</v>
      </c>
      <c r="C11" s="288">
        <v>3100</v>
      </c>
      <c r="D11" s="288">
        <v>3100</v>
      </c>
      <c r="E11" s="288">
        <f t="shared" si="0"/>
        <v>100</v>
      </c>
    </row>
    <row r="12" spans="1:7" ht="14.25">
      <c r="A12" s="14" t="s">
        <v>275</v>
      </c>
      <c r="B12" s="121" t="s">
        <v>53</v>
      </c>
      <c r="C12" s="288">
        <v>14800</v>
      </c>
      <c r="D12" s="288">
        <v>14800</v>
      </c>
      <c r="E12" s="288">
        <f t="shared" si="0"/>
        <v>100</v>
      </c>
    </row>
    <row r="13" spans="1:7" ht="14.25">
      <c r="A13" s="38" t="s">
        <v>108</v>
      </c>
      <c r="B13" s="121" t="s">
        <v>54</v>
      </c>
      <c r="C13" s="288">
        <v>8100</v>
      </c>
      <c r="D13" s="288">
        <v>8100</v>
      </c>
      <c r="E13" s="288">
        <f t="shared" si="0"/>
        <v>100</v>
      </c>
    </row>
    <row r="14" spans="1:7" ht="14.25">
      <c r="A14" s="38" t="s">
        <v>168</v>
      </c>
      <c r="B14" s="121" t="s">
        <v>55</v>
      </c>
      <c r="C14" s="288">
        <v>7300</v>
      </c>
      <c r="D14" s="288">
        <v>7300</v>
      </c>
      <c r="E14" s="288">
        <f t="shared" si="0"/>
        <v>100</v>
      </c>
    </row>
    <row r="15" spans="1:7" ht="14.25">
      <c r="A15" s="38" t="s">
        <v>169</v>
      </c>
      <c r="B15" s="121" t="s">
        <v>56</v>
      </c>
      <c r="C15" s="288">
        <v>2200</v>
      </c>
      <c r="D15" s="288">
        <v>2200</v>
      </c>
      <c r="E15" s="288">
        <f t="shared" si="0"/>
        <v>100</v>
      </c>
    </row>
    <row r="16" spans="1:7" ht="14.25">
      <c r="A16" s="38" t="s">
        <v>109</v>
      </c>
      <c r="B16" s="121" t="s">
        <v>57</v>
      </c>
      <c r="C16" s="288">
        <v>5600</v>
      </c>
      <c r="D16" s="288">
        <v>5600</v>
      </c>
      <c r="E16" s="288">
        <f t="shared" si="0"/>
        <v>100</v>
      </c>
    </row>
    <row r="17" spans="1:5" ht="14.25">
      <c r="A17" s="38" t="s">
        <v>111</v>
      </c>
      <c r="B17" s="121" t="s">
        <v>58</v>
      </c>
      <c r="C17" s="288">
        <v>26300</v>
      </c>
      <c r="D17" s="288">
        <v>0</v>
      </c>
      <c r="E17" s="288">
        <f t="shared" si="0"/>
        <v>0</v>
      </c>
    </row>
    <row r="18" spans="1:5" ht="14.25">
      <c r="A18" s="38" t="s">
        <v>200</v>
      </c>
      <c r="B18" s="121" t="s">
        <v>59</v>
      </c>
      <c r="C18" s="288">
        <v>7200</v>
      </c>
      <c r="D18" s="288">
        <v>7200</v>
      </c>
      <c r="E18" s="288">
        <f t="shared" si="0"/>
        <v>100</v>
      </c>
    </row>
    <row r="19" spans="1:5" ht="14.25">
      <c r="A19" s="26" t="s">
        <v>110</v>
      </c>
      <c r="B19" s="122" t="s">
        <v>60</v>
      </c>
      <c r="C19" s="288">
        <v>10600</v>
      </c>
      <c r="D19" s="288">
        <v>10600</v>
      </c>
      <c r="E19" s="288">
        <f t="shared" si="0"/>
        <v>100</v>
      </c>
    </row>
    <row r="20" spans="1:5" ht="14.25">
      <c r="A20" s="38" t="s">
        <v>112</v>
      </c>
      <c r="B20" s="121" t="s">
        <v>61</v>
      </c>
      <c r="C20" s="288">
        <v>33100</v>
      </c>
      <c r="D20" s="288">
        <v>33100</v>
      </c>
      <c r="E20" s="288">
        <f t="shared" si="0"/>
        <v>100</v>
      </c>
    </row>
    <row r="21" spans="1:5" ht="14.25">
      <c r="A21" s="38" t="s">
        <v>113</v>
      </c>
      <c r="B21" s="121" t="s">
        <v>62</v>
      </c>
      <c r="C21" s="288">
        <v>3100</v>
      </c>
      <c r="D21" s="288">
        <v>3100</v>
      </c>
      <c r="E21" s="288">
        <f t="shared" si="0"/>
        <v>100</v>
      </c>
    </row>
    <row r="22" spans="1:5" ht="14.25">
      <c r="A22" s="38" t="s">
        <v>171</v>
      </c>
      <c r="B22" s="121" t="s">
        <v>63</v>
      </c>
      <c r="C22" s="288">
        <v>6500</v>
      </c>
      <c r="D22" s="288">
        <v>6500</v>
      </c>
      <c r="E22" s="288">
        <f t="shared" si="0"/>
        <v>100</v>
      </c>
    </row>
    <row r="23" spans="1:5" ht="14.25">
      <c r="A23" s="38" t="s">
        <v>172</v>
      </c>
      <c r="B23" s="121" t="s">
        <v>64</v>
      </c>
      <c r="C23" s="288">
        <v>13800</v>
      </c>
      <c r="D23" s="288">
        <v>13800</v>
      </c>
      <c r="E23" s="288">
        <f t="shared" si="0"/>
        <v>100</v>
      </c>
    </row>
    <row r="24" spans="1:5" ht="14.25">
      <c r="A24" s="38" t="s">
        <v>114</v>
      </c>
      <c r="B24" s="121" t="s">
        <v>65</v>
      </c>
      <c r="C24" s="288">
        <v>4700</v>
      </c>
      <c r="D24" s="288">
        <v>4700</v>
      </c>
      <c r="E24" s="288">
        <f t="shared" si="0"/>
        <v>100</v>
      </c>
    </row>
  </sheetData>
  <mergeCells count="4">
    <mergeCell ref="A6:B6"/>
    <mergeCell ref="A3:E3"/>
    <mergeCell ref="A2:E2"/>
    <mergeCell ref="A1:E1"/>
  </mergeCells>
  <phoneticPr fontId="3" type="noConversion"/>
  <pageMargins left="0.98425196850393704" right="0.43307086614173229" top="0.74803149606299213" bottom="0.74803149606299213" header="0.31496062992125984" footer="0.31496062992125984"/>
  <pageSetup paperSize="9" fitToHeight="0" orientation="portrait" r:id="rId1"/>
  <headerFooter alignWithMargins="0"/>
</worksheet>
</file>

<file path=xl/worksheets/sheet18.xml><?xml version="1.0" encoding="utf-8"?>
<worksheet xmlns="http://schemas.openxmlformats.org/spreadsheetml/2006/main" xmlns:r="http://schemas.openxmlformats.org/officeDocument/2006/relationships">
  <sheetPr codeName="Лист10">
    <tabColor rgb="FF00B0F0"/>
  </sheetPr>
  <dimension ref="A1:G23"/>
  <sheetViews>
    <sheetView topLeftCell="A2" workbookViewId="0">
      <selection activeCell="H18" sqref="H18"/>
    </sheetView>
  </sheetViews>
  <sheetFormatPr defaultRowHeight="12.75"/>
  <cols>
    <col min="1" max="1" width="47.42578125" style="4" customWidth="1"/>
    <col min="2" max="2" width="15.28515625" style="4" customWidth="1"/>
    <col min="3" max="3" width="14.42578125" style="4" customWidth="1"/>
    <col min="4" max="4" width="13.42578125" style="4" customWidth="1"/>
    <col min="5" max="5" width="9.140625" style="4"/>
    <col min="6" max="6" width="16.140625" style="4" customWidth="1"/>
    <col min="7" max="7" width="12" style="4" customWidth="1"/>
    <col min="8" max="16384" width="9.140625" style="4"/>
  </cols>
  <sheetData>
    <row r="1" spans="1:7" ht="45.75" hidden="1" customHeight="1">
      <c r="A1" s="442" t="str">
        <f>"Приложение №"&amp;Н2вус&amp;"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2"/>
      <c r="C1" s="442"/>
      <c r="D1" s="442"/>
    </row>
    <row r="2" spans="1:7" ht="48" customHeight="1">
      <c r="A2" s="442" t="str">
        <f>"Приложение "&amp;Н1вус&amp;" к решению
Богучанского районного Совета депутатов
от "&amp;Р1дата&amp;" года №"&amp;Р1номер</f>
        <v>Приложение 12 к решению
Богучанского районного Совета депутатов
от 2020  года №</v>
      </c>
      <c r="B2" s="442"/>
      <c r="C2" s="442"/>
      <c r="D2" s="442"/>
    </row>
    <row r="3" spans="1:7" ht="54" customHeight="1">
      <c r="A3" s="463" t="str">
        <f>"Субвенции на осуществление  первичного воинского учета на территориях, где отсутствуют военные комиссариаты за "&amp;год&amp;" год"</f>
        <v>Субвенции на осуществление  первичного воинского учета на территориях, где отсутствуют военные комиссариаты за 2019 год</v>
      </c>
      <c r="B3" s="463"/>
      <c r="C3" s="463"/>
      <c r="D3" s="463"/>
    </row>
    <row r="4" spans="1:7">
      <c r="B4" s="10"/>
      <c r="C4" s="10"/>
      <c r="D4" s="10" t="s">
        <v>95</v>
      </c>
    </row>
    <row r="5" spans="1:7" ht="28.5">
      <c r="A5" s="34" t="s">
        <v>29</v>
      </c>
      <c r="B5" s="24" t="s">
        <v>2086</v>
      </c>
      <c r="C5" s="24" t="s">
        <v>2087</v>
      </c>
      <c r="D5" s="24" t="s">
        <v>2085</v>
      </c>
    </row>
    <row r="6" spans="1:7" ht="15">
      <c r="A6" s="36" t="s">
        <v>96</v>
      </c>
      <c r="B6" s="285">
        <f>SUM(B7:B23)</f>
        <v>4523000</v>
      </c>
      <c r="C6" s="285">
        <f>SUM(C7:C23)</f>
        <v>4523000</v>
      </c>
      <c r="D6" s="413">
        <f>C6/B6*100</f>
        <v>100</v>
      </c>
      <c r="E6" s="116" t="s">
        <v>306</v>
      </c>
      <c r="F6" s="118">
        <f ca="1">SUMIF(РзПз,"02031110051180",СумВед)-B6</f>
        <v>0</v>
      </c>
      <c r="G6" s="118">
        <f ca="1">SUMIF(РзПзПлПер,"02031110051180",СумВед14)-C6</f>
        <v>-18800</v>
      </c>
    </row>
    <row r="7" spans="1:7" ht="14.25">
      <c r="A7" s="26" t="s">
        <v>734</v>
      </c>
      <c r="B7" s="287">
        <f>341320+35000</f>
        <v>376320</v>
      </c>
      <c r="C7" s="287">
        <f>341320+35000</f>
        <v>376320</v>
      </c>
      <c r="D7" s="287">
        <f>C7/B7*100</f>
        <v>100</v>
      </c>
    </row>
    <row r="8" spans="1:7" ht="14.25">
      <c r="A8" s="26" t="s">
        <v>107</v>
      </c>
      <c r="B8" s="287">
        <f>83600+2000</f>
        <v>85600</v>
      </c>
      <c r="C8" s="287">
        <f>83600+2000</f>
        <v>85600</v>
      </c>
      <c r="D8" s="287">
        <f t="shared" ref="D8:D23" si="0">C8/B8*100</f>
        <v>100</v>
      </c>
    </row>
    <row r="9" spans="1:7" ht="14.25">
      <c r="A9" s="26" t="s">
        <v>199</v>
      </c>
      <c r="B9" s="287">
        <f>50200+8000</f>
        <v>58200</v>
      </c>
      <c r="C9" s="287">
        <f>50200+8000</f>
        <v>58200</v>
      </c>
      <c r="D9" s="287">
        <f t="shared" si="0"/>
        <v>100</v>
      </c>
    </row>
    <row r="10" spans="1:7" ht="14.25">
      <c r="A10" s="26" t="s">
        <v>68</v>
      </c>
      <c r="B10" s="287">
        <f>83600+10000+6000+25000</f>
        <v>124600</v>
      </c>
      <c r="C10" s="287">
        <f>83600+10000+6000+25000</f>
        <v>124600</v>
      </c>
      <c r="D10" s="287">
        <f t="shared" si="0"/>
        <v>100</v>
      </c>
    </row>
    <row r="11" spans="1:7" ht="14.25" customHeight="1">
      <c r="A11" s="26" t="s">
        <v>275</v>
      </c>
      <c r="B11" s="287">
        <f>341320+30000+30000</f>
        <v>401320</v>
      </c>
      <c r="C11" s="287">
        <f>341320+30000+30000</f>
        <v>401320</v>
      </c>
      <c r="D11" s="287">
        <f t="shared" si="0"/>
        <v>100</v>
      </c>
    </row>
    <row r="12" spans="1:7" ht="14.25">
      <c r="A12" s="42" t="s">
        <v>108</v>
      </c>
      <c r="B12" s="287">
        <f>341320+30000-11500</f>
        <v>359820</v>
      </c>
      <c r="C12" s="287">
        <f>341320+30000-11500</f>
        <v>359820</v>
      </c>
      <c r="D12" s="287">
        <f t="shared" si="0"/>
        <v>100</v>
      </c>
    </row>
    <row r="13" spans="1:7" ht="14.25">
      <c r="A13" s="26" t="s">
        <v>168</v>
      </c>
      <c r="B13" s="287">
        <f>341320+30000</f>
        <v>371320</v>
      </c>
      <c r="C13" s="287">
        <f>341320+30000</f>
        <v>371320</v>
      </c>
      <c r="D13" s="287">
        <f t="shared" si="0"/>
        <v>100</v>
      </c>
    </row>
    <row r="14" spans="1:7" ht="14.25">
      <c r="A14" s="26" t="s">
        <v>169</v>
      </c>
      <c r="B14" s="287">
        <f>83600+2000+7500</f>
        <v>93100</v>
      </c>
      <c r="C14" s="287">
        <f>83600+2000+7500</f>
        <v>93100</v>
      </c>
      <c r="D14" s="287">
        <f t="shared" si="0"/>
        <v>100</v>
      </c>
    </row>
    <row r="15" spans="1:7" ht="14.25">
      <c r="A15" s="26" t="s">
        <v>109</v>
      </c>
      <c r="B15" s="287">
        <f>117040+8000</f>
        <v>125040</v>
      </c>
      <c r="C15" s="287">
        <f>117040+8000</f>
        <v>125040</v>
      </c>
      <c r="D15" s="287">
        <f t="shared" si="0"/>
        <v>100</v>
      </c>
    </row>
    <row r="16" spans="1:7" ht="14.25">
      <c r="A16" s="26" t="s">
        <v>111</v>
      </c>
      <c r="B16" s="287">
        <f>341320+30000</f>
        <v>371320</v>
      </c>
      <c r="C16" s="287">
        <f>341320+30000</f>
        <v>371320</v>
      </c>
      <c r="D16" s="287">
        <f t="shared" si="0"/>
        <v>100</v>
      </c>
    </row>
    <row r="17" spans="1:4" ht="15.75" customHeight="1">
      <c r="A17" s="26" t="s">
        <v>200</v>
      </c>
      <c r="B17" s="287">
        <f>341320+30000+8000</f>
        <v>379320</v>
      </c>
      <c r="C17" s="287">
        <f>341320+30000+8000</f>
        <v>379320</v>
      </c>
      <c r="D17" s="287">
        <f t="shared" si="0"/>
        <v>100</v>
      </c>
    </row>
    <row r="18" spans="1:4" ht="14.25">
      <c r="A18" s="26" t="s">
        <v>110</v>
      </c>
      <c r="B18" s="287">
        <f>341320+30000</f>
        <v>371320</v>
      </c>
      <c r="C18" s="287">
        <f>341320+30000</f>
        <v>371320</v>
      </c>
      <c r="D18" s="287">
        <f t="shared" si="0"/>
        <v>100</v>
      </c>
    </row>
    <row r="19" spans="1:4" ht="14.25">
      <c r="A19" s="26" t="s">
        <v>112</v>
      </c>
      <c r="B19" s="287">
        <f>341320+30000</f>
        <v>371320</v>
      </c>
      <c r="C19" s="287">
        <f>341320+30000</f>
        <v>371320</v>
      </c>
      <c r="D19" s="287">
        <f t="shared" si="0"/>
        <v>100</v>
      </c>
    </row>
    <row r="20" spans="1:4" ht="14.25">
      <c r="A20" s="26" t="s">
        <v>113</v>
      </c>
      <c r="B20" s="287">
        <f>117040+3000+2000</f>
        <v>122040</v>
      </c>
      <c r="C20" s="287">
        <f>117040+3000+2000</f>
        <v>122040</v>
      </c>
      <c r="D20" s="287">
        <f t="shared" si="0"/>
        <v>100</v>
      </c>
    </row>
    <row r="21" spans="1:4" ht="14.25">
      <c r="A21" s="26" t="s">
        <v>171</v>
      </c>
      <c r="B21" s="287">
        <f>341320+30000</f>
        <v>371320</v>
      </c>
      <c r="C21" s="287">
        <f>341320+30000</f>
        <v>371320</v>
      </c>
      <c r="D21" s="287">
        <f t="shared" si="0"/>
        <v>100</v>
      </c>
    </row>
    <row r="22" spans="1:4" ht="14.25">
      <c r="A22" s="26" t="s">
        <v>172</v>
      </c>
      <c r="B22" s="287">
        <f>341320+75000-21000</f>
        <v>395320</v>
      </c>
      <c r="C22" s="287">
        <f>341320+75000-21000</f>
        <v>395320</v>
      </c>
      <c r="D22" s="287">
        <f t="shared" si="0"/>
        <v>100</v>
      </c>
    </row>
    <row r="23" spans="1:4" ht="14.25">
      <c r="A23" s="26" t="s">
        <v>114</v>
      </c>
      <c r="B23" s="287">
        <f>341320-8000-187600</f>
        <v>145720</v>
      </c>
      <c r="C23" s="287">
        <f>341320-8000-187600</f>
        <v>145720</v>
      </c>
      <c r="D23" s="287">
        <f t="shared" si="0"/>
        <v>100</v>
      </c>
    </row>
  </sheetData>
  <mergeCells count="3">
    <mergeCell ref="A3:D3"/>
    <mergeCell ref="A2:D2"/>
    <mergeCell ref="A1:D1"/>
  </mergeCells>
  <phoneticPr fontId="3" type="noConversion"/>
  <pageMargins left="0.98425196850393704" right="0.24" top="0.74803149606299213" bottom="0.74803149606299213" header="0.31496062992125984" footer="0.31496062992125984"/>
  <pageSetup paperSize="9" fitToHeight="0" orientation="portrait" r:id="rId1"/>
  <headerFooter alignWithMargins="0"/>
</worksheet>
</file>

<file path=xl/worksheets/sheet19.xml><?xml version="1.0" encoding="utf-8"?>
<worksheet xmlns="http://schemas.openxmlformats.org/spreadsheetml/2006/main" xmlns:r="http://schemas.openxmlformats.org/officeDocument/2006/relationships">
  <sheetPr>
    <tabColor rgb="FF00B0F0"/>
  </sheetPr>
  <dimension ref="A1:G11"/>
  <sheetViews>
    <sheetView topLeftCell="A2" workbookViewId="0">
      <selection activeCell="A8" sqref="A8"/>
    </sheetView>
  </sheetViews>
  <sheetFormatPr defaultRowHeight="12.75"/>
  <cols>
    <col min="1" max="1" width="45.28515625" customWidth="1"/>
    <col min="2" max="2" width="14.7109375" customWidth="1"/>
    <col min="3" max="3" width="14.140625" customWidth="1"/>
    <col min="4" max="4" width="14.5703125" customWidth="1"/>
    <col min="5" max="5" width="19.140625" customWidth="1"/>
    <col min="6" max="6" width="13.85546875" customWidth="1"/>
    <col min="7" max="7" width="11.28515625" customWidth="1"/>
  </cols>
  <sheetData>
    <row r="1" spans="1:7" ht="55.5" hidden="1" customHeight="1">
      <c r="A1" s="442" t="str">
        <f>"Приложение №"&amp;Н2акк&amp;"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2"/>
      <c r="C1" s="442"/>
      <c r="D1" s="442"/>
    </row>
    <row r="2" spans="1:7" ht="60.75" customHeight="1">
      <c r="A2" s="442" t="str">
        <f>"Приложение "&amp;Н1акк&amp;" к решению
Богучанского районного Совета депутатов
от "&amp;Р1дата&amp;" года №"&amp;Р1номер</f>
        <v>Приложение 14 к решению
Богучанского районного Совета депутатов
от 2020  года №</v>
      </c>
      <c r="B2" s="442"/>
      <c r="C2" s="442"/>
      <c r="D2" s="442"/>
    </row>
    <row r="3" spans="1:7" ht="111" customHeight="1">
      <c r="A3" s="441" t="str">
        <f>"Межбюджетные трансферы на организацию и проведение акарицидных обработок мест массового отдыха населения за "&amp;год&amp;" год "</f>
        <v xml:space="preserve">Межбюджетные трансферы на организацию и проведение акарицидных обработок мест массового отдыха населения за 2019 год </v>
      </c>
      <c r="B3" s="441"/>
      <c r="C3" s="441"/>
      <c r="D3" s="441"/>
    </row>
    <row r="4" spans="1:7">
      <c r="A4" s="4"/>
      <c r="B4" s="4"/>
      <c r="C4" s="4"/>
      <c r="D4" s="10" t="s">
        <v>95</v>
      </c>
    </row>
    <row r="5" spans="1:7" ht="28.5">
      <c r="A5" s="34" t="s">
        <v>29</v>
      </c>
      <c r="B5" s="24" t="s">
        <v>2086</v>
      </c>
      <c r="C5" s="24" t="s">
        <v>2087</v>
      </c>
      <c r="D5" s="24" t="s">
        <v>2085</v>
      </c>
      <c r="F5">
        <v>9090075550</v>
      </c>
    </row>
    <row r="6" spans="1:7" ht="15">
      <c r="A6" s="151" t="s">
        <v>96</v>
      </c>
      <c r="B6" s="285">
        <f>SUM(B7:B22)</f>
        <v>60600</v>
      </c>
      <c r="C6" s="285">
        <f>SUM(C7:C22)</f>
        <v>60600</v>
      </c>
      <c r="D6" s="414">
        <f>C6/B6*100</f>
        <v>100</v>
      </c>
      <c r="E6" s="152">
        <f ca="1">SUMIF(РзПз,"????"&amp;F5,СумВед)-B6</f>
        <v>0</v>
      </c>
      <c r="F6" s="152">
        <f ca="1">SUMIF(РзПзПлПер,"????"&amp;F5,СумВед14)-C6</f>
        <v>0</v>
      </c>
      <c r="G6" s="152">
        <f ca="1">SUMIF(РзПзПлПер,"????"&amp;F5,СумВед15)-D6</f>
        <v>60500</v>
      </c>
    </row>
    <row r="7" spans="1:7" ht="14.25">
      <c r="A7" s="38" t="s">
        <v>67</v>
      </c>
      <c r="B7" s="288">
        <f>11362+0.5</f>
        <v>11362.5</v>
      </c>
      <c r="C7" s="288">
        <f>11362+0.5</f>
        <v>11362.5</v>
      </c>
      <c r="D7" s="288">
        <f>C7/B7*100</f>
        <v>100</v>
      </c>
    </row>
    <row r="8" spans="1:7" ht="14.25">
      <c r="A8" s="26" t="s">
        <v>1203</v>
      </c>
      <c r="B8" s="288">
        <f>11362+0.5</f>
        <v>11362.5</v>
      </c>
      <c r="C8" s="288">
        <f>11362+0.5</f>
        <v>11362.5</v>
      </c>
      <c r="D8" s="288">
        <f t="shared" ref="D8:D11" si="0">C8/B8*100</f>
        <v>100</v>
      </c>
    </row>
    <row r="9" spans="1:7" ht="14.25">
      <c r="A9" s="26" t="s">
        <v>110</v>
      </c>
      <c r="B9" s="288">
        <f>15152-2</f>
        <v>15150</v>
      </c>
      <c r="C9" s="288">
        <f>15152-2</f>
        <v>15150</v>
      </c>
      <c r="D9" s="288">
        <f t="shared" si="0"/>
        <v>100</v>
      </c>
    </row>
    <row r="10" spans="1:7" ht="14.25">
      <c r="A10" s="38" t="s">
        <v>170</v>
      </c>
      <c r="B10" s="288">
        <f>11362+0.5</f>
        <v>11362.5</v>
      </c>
      <c r="C10" s="288">
        <f>11362+0.5</f>
        <v>11362.5</v>
      </c>
      <c r="D10" s="288">
        <f t="shared" si="0"/>
        <v>100</v>
      </c>
    </row>
    <row r="11" spans="1:7" ht="14.25">
      <c r="A11" s="38" t="s">
        <v>1590</v>
      </c>
      <c r="B11" s="288">
        <f>11362+0.5</f>
        <v>11362.5</v>
      </c>
      <c r="C11" s="288">
        <f>11362+0.5</f>
        <v>11362.5</v>
      </c>
      <c r="D11" s="288">
        <f t="shared" si="0"/>
        <v>100</v>
      </c>
    </row>
  </sheetData>
  <mergeCells count="3">
    <mergeCell ref="A2:D2"/>
    <mergeCell ref="A3:D3"/>
    <mergeCell ref="A1:D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rgb="FF92D050"/>
    <pageSetUpPr fitToPage="1"/>
  </sheetPr>
  <dimension ref="A1:I305"/>
  <sheetViews>
    <sheetView zoomScaleNormal="100" zoomScaleSheetLayoutView="75" workbookViewId="0">
      <selection activeCell="B67" sqref="B67"/>
    </sheetView>
  </sheetViews>
  <sheetFormatPr defaultRowHeight="15"/>
  <cols>
    <col min="1" max="1" width="5.28515625" style="135" bestFit="1" customWidth="1"/>
    <col min="2" max="2" width="9.5703125" style="135" customWidth="1"/>
    <col min="3" max="3" width="36.42578125" style="135" customWidth="1"/>
    <col min="4" max="4" width="103.42578125" style="136" customWidth="1"/>
    <col min="5" max="5" width="26.85546875" style="131" customWidth="1"/>
    <col min="6" max="16384" width="9.140625" style="131"/>
  </cols>
  <sheetData>
    <row r="1" spans="1:9" ht="49.5" customHeight="1">
      <c r="A1" s="443" t="str">
        <f>"Приложение №"&amp;Н2адох&amp;"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3"/>
      <c r="C1" s="443"/>
      <c r="D1" s="443"/>
      <c r="E1" s="130"/>
    </row>
    <row r="2" spans="1:9" ht="51.75" customHeight="1">
      <c r="A2" s="443" t="str">
        <f>"Приложение "&amp;Н1адох&amp;" к решению
Богучанского районного Совета депутатов
от "&amp;Р1дата&amp;" года №"&amp;Р1номер</f>
        <v>Приложение  к решению
Богучанского районного Совета депутатов
от 2020  года №</v>
      </c>
      <c r="B2" s="443"/>
      <c r="C2" s="443"/>
      <c r="D2" s="443"/>
      <c r="E2" s="130"/>
      <c r="F2" s="130"/>
      <c r="G2" s="130"/>
      <c r="H2" s="130"/>
      <c r="I2" s="130"/>
    </row>
    <row r="3" spans="1:9" ht="49.5" customHeight="1">
      <c r="A3" s="450" t="str">
        <f>"Главные администраторы доходов районного бюджета на "&amp;год&amp;" год и плановый период "&amp;ПлПер&amp;" годов"</f>
        <v>Главные администраторы доходов районного бюджета на 2019 год и плановый период  годов</v>
      </c>
      <c r="B3" s="450"/>
      <c r="C3" s="450"/>
      <c r="D3" s="450"/>
      <c r="E3" s="132"/>
      <c r="F3" s="132"/>
      <c r="G3" s="132"/>
      <c r="H3" s="132"/>
      <c r="I3" s="132"/>
    </row>
    <row r="4" spans="1:9" ht="51">
      <c r="A4" s="134" t="s">
        <v>353</v>
      </c>
      <c r="B4" s="134" t="s">
        <v>354</v>
      </c>
      <c r="C4" s="134" t="s">
        <v>355</v>
      </c>
      <c r="D4" s="134" t="s">
        <v>356</v>
      </c>
    </row>
    <row r="5" spans="1:9" ht="15.75" customHeight="1">
      <c r="A5" s="451" t="s">
        <v>357</v>
      </c>
      <c r="B5" s="451"/>
      <c r="C5" s="451"/>
      <c r="D5" s="451"/>
    </row>
    <row r="6" spans="1:9" ht="15.75">
      <c r="A6" s="344"/>
      <c r="B6" s="452" t="s">
        <v>408</v>
      </c>
      <c r="C6" s="453"/>
      <c r="D6" s="454"/>
    </row>
    <row r="7" spans="1:9" ht="30">
      <c r="A7" s="134">
        <v>1</v>
      </c>
      <c r="B7" s="157" t="s">
        <v>213</v>
      </c>
      <c r="C7" s="157" t="s">
        <v>1838</v>
      </c>
      <c r="D7" s="163" t="s">
        <v>1839</v>
      </c>
    </row>
    <row r="8" spans="1:9">
      <c r="A8" s="134">
        <v>2</v>
      </c>
      <c r="B8" s="157" t="s">
        <v>213</v>
      </c>
      <c r="C8" s="161" t="s">
        <v>372</v>
      </c>
      <c r="D8" s="159" t="s">
        <v>373</v>
      </c>
    </row>
    <row r="9" spans="1:9">
      <c r="A9" s="134">
        <v>3</v>
      </c>
      <c r="B9" s="157" t="s">
        <v>213</v>
      </c>
      <c r="C9" s="158" t="s">
        <v>374</v>
      </c>
      <c r="D9" s="159" t="s">
        <v>375</v>
      </c>
    </row>
    <row r="10" spans="1:9" ht="15.75">
      <c r="A10" s="344"/>
      <c r="B10" s="452" t="s">
        <v>215</v>
      </c>
      <c r="C10" s="453"/>
      <c r="D10" s="454"/>
    </row>
    <row r="11" spans="1:9" ht="30">
      <c r="A11" s="134">
        <v>4</v>
      </c>
      <c r="B11" s="158">
        <v>802</v>
      </c>
      <c r="C11" s="157" t="s">
        <v>1838</v>
      </c>
      <c r="D11" s="163" t="s">
        <v>1839</v>
      </c>
    </row>
    <row r="12" spans="1:9">
      <c r="A12" s="134">
        <v>5</v>
      </c>
      <c r="B12" s="158">
        <v>802</v>
      </c>
      <c r="C12" s="161" t="s">
        <v>372</v>
      </c>
      <c r="D12" s="159" t="s">
        <v>373</v>
      </c>
    </row>
    <row r="13" spans="1:9" ht="45">
      <c r="A13" s="134">
        <v>6</v>
      </c>
      <c r="B13" s="158">
        <v>802</v>
      </c>
      <c r="C13" s="158" t="s">
        <v>402</v>
      </c>
      <c r="D13" s="159" t="s">
        <v>403</v>
      </c>
    </row>
    <row r="14" spans="1:9" ht="15.75" customHeight="1">
      <c r="A14" s="134"/>
      <c r="B14" s="447" t="s">
        <v>1623</v>
      </c>
      <c r="C14" s="448"/>
      <c r="D14" s="449"/>
    </row>
    <row r="15" spans="1:9" ht="30">
      <c r="A15" s="134">
        <v>7</v>
      </c>
      <c r="B15" s="161">
        <v>806</v>
      </c>
      <c r="C15" s="161" t="s">
        <v>376</v>
      </c>
      <c r="D15" s="159" t="s">
        <v>1296</v>
      </c>
    </row>
    <row r="16" spans="1:9" ht="45">
      <c r="A16" s="134">
        <v>8</v>
      </c>
      <c r="B16" s="157" t="s">
        <v>5</v>
      </c>
      <c r="C16" s="158" t="s">
        <v>388</v>
      </c>
      <c r="D16" s="162" t="s">
        <v>241</v>
      </c>
    </row>
    <row r="17" spans="1:4" ht="30">
      <c r="A17" s="134">
        <v>9</v>
      </c>
      <c r="B17" s="157" t="s">
        <v>5</v>
      </c>
      <c r="C17" s="158" t="s">
        <v>377</v>
      </c>
      <c r="D17" s="162" t="s">
        <v>764</v>
      </c>
    </row>
    <row r="18" spans="1:4" ht="30">
      <c r="A18" s="134">
        <v>10</v>
      </c>
      <c r="B18" s="157" t="s">
        <v>5</v>
      </c>
      <c r="C18" s="157" t="s">
        <v>394</v>
      </c>
      <c r="D18" s="163" t="s">
        <v>395</v>
      </c>
    </row>
    <row r="19" spans="1:4" ht="30">
      <c r="A19" s="134">
        <v>11</v>
      </c>
      <c r="B19" s="157" t="s">
        <v>5</v>
      </c>
      <c r="C19" s="157" t="s">
        <v>1838</v>
      </c>
      <c r="D19" s="163" t="s">
        <v>1839</v>
      </c>
    </row>
    <row r="20" spans="1:4">
      <c r="A20" s="134">
        <v>12</v>
      </c>
      <c r="B20" s="157" t="s">
        <v>5</v>
      </c>
      <c r="C20" s="157" t="s">
        <v>1572</v>
      </c>
      <c r="D20" s="163" t="s">
        <v>1573</v>
      </c>
    </row>
    <row r="21" spans="1:4" ht="45">
      <c r="A21" s="134">
        <v>13</v>
      </c>
      <c r="B21" s="157" t="s">
        <v>5</v>
      </c>
      <c r="C21" s="158" t="s">
        <v>398</v>
      </c>
      <c r="D21" s="164" t="s">
        <v>399</v>
      </c>
    </row>
    <row r="22" spans="1:4" ht="60">
      <c r="A22" s="134">
        <v>14</v>
      </c>
      <c r="B22" s="157" t="s">
        <v>5</v>
      </c>
      <c r="C22" s="161" t="s">
        <v>1591</v>
      </c>
      <c r="D22" s="159" t="s">
        <v>1592</v>
      </c>
    </row>
    <row r="23" spans="1:4" ht="30">
      <c r="A23" s="134">
        <v>15</v>
      </c>
      <c r="B23" s="157" t="s">
        <v>5</v>
      </c>
      <c r="C23" s="158" t="s">
        <v>382</v>
      </c>
      <c r="D23" s="162" t="s">
        <v>381</v>
      </c>
    </row>
    <row r="24" spans="1:4">
      <c r="A24" s="134">
        <v>16</v>
      </c>
      <c r="B24" s="157" t="s">
        <v>5</v>
      </c>
      <c r="C24" s="161" t="s">
        <v>372</v>
      </c>
      <c r="D24" s="159" t="s">
        <v>373</v>
      </c>
    </row>
    <row r="25" spans="1:4">
      <c r="A25" s="134">
        <v>17</v>
      </c>
      <c r="B25" s="157" t="s">
        <v>5</v>
      </c>
      <c r="C25" s="158" t="s">
        <v>383</v>
      </c>
      <c r="D25" s="162" t="s">
        <v>1297</v>
      </c>
    </row>
    <row r="26" spans="1:4" ht="38.25" customHeight="1">
      <c r="A26" s="134">
        <v>18</v>
      </c>
      <c r="B26" s="157" t="s">
        <v>5</v>
      </c>
      <c r="C26" s="158" t="s">
        <v>1788</v>
      </c>
      <c r="D26" s="162" t="s">
        <v>1438</v>
      </c>
    </row>
    <row r="27" spans="1:4" ht="39" customHeight="1">
      <c r="A27" s="134">
        <v>19</v>
      </c>
      <c r="B27" s="157" t="s">
        <v>5</v>
      </c>
      <c r="C27" s="161" t="s">
        <v>1793</v>
      </c>
      <c r="D27" s="159" t="s">
        <v>1547</v>
      </c>
    </row>
    <row r="28" spans="1:4" ht="30">
      <c r="A28" s="134">
        <v>20</v>
      </c>
      <c r="B28" s="157" t="s">
        <v>5</v>
      </c>
      <c r="C28" s="161" t="s">
        <v>1794</v>
      </c>
      <c r="D28" s="159" t="s">
        <v>1495</v>
      </c>
    </row>
    <row r="29" spans="1:4" ht="45">
      <c r="A29" s="134">
        <v>21</v>
      </c>
      <c r="B29" s="157" t="s">
        <v>5</v>
      </c>
      <c r="C29" s="161" t="s">
        <v>1795</v>
      </c>
      <c r="D29" s="159" t="s">
        <v>1493</v>
      </c>
    </row>
    <row r="30" spans="1:4" ht="45">
      <c r="A30" s="134">
        <v>22</v>
      </c>
      <c r="B30" s="157" t="s">
        <v>5</v>
      </c>
      <c r="C30" s="161" t="s">
        <v>1796</v>
      </c>
      <c r="D30" s="159" t="s">
        <v>1494</v>
      </c>
    </row>
    <row r="31" spans="1:4" ht="15.75" customHeight="1">
      <c r="A31" s="134"/>
      <c r="B31" s="447" t="s">
        <v>1215</v>
      </c>
      <c r="C31" s="448"/>
      <c r="D31" s="448"/>
    </row>
    <row r="32" spans="1:4" ht="15.75" customHeight="1">
      <c r="A32" s="134">
        <v>23</v>
      </c>
      <c r="B32" s="157" t="s">
        <v>442</v>
      </c>
      <c r="C32" s="157" t="s">
        <v>1838</v>
      </c>
      <c r="D32" s="163" t="s">
        <v>1839</v>
      </c>
    </row>
    <row r="33" spans="1:4">
      <c r="A33" s="134">
        <v>24</v>
      </c>
      <c r="B33" s="157" t="s">
        <v>442</v>
      </c>
      <c r="C33" s="161" t="s">
        <v>372</v>
      </c>
      <c r="D33" s="159" t="s">
        <v>373</v>
      </c>
    </row>
    <row r="34" spans="1:4">
      <c r="A34" s="134">
        <v>25</v>
      </c>
      <c r="B34" s="157" t="s">
        <v>442</v>
      </c>
      <c r="C34" s="158" t="s">
        <v>374</v>
      </c>
      <c r="D34" s="159" t="s">
        <v>375</v>
      </c>
    </row>
    <row r="35" spans="1:4" ht="15.75">
      <c r="A35" s="134"/>
      <c r="B35" s="452" t="s">
        <v>299</v>
      </c>
      <c r="C35" s="453"/>
      <c r="D35" s="454"/>
    </row>
    <row r="36" spans="1:4" ht="30">
      <c r="A36" s="134">
        <v>26</v>
      </c>
      <c r="B36" s="157" t="s">
        <v>242</v>
      </c>
      <c r="C36" s="157" t="s">
        <v>1838</v>
      </c>
      <c r="D36" s="163" t="s">
        <v>1839</v>
      </c>
    </row>
    <row r="37" spans="1:4" ht="51.75" customHeight="1">
      <c r="A37" s="134">
        <v>27</v>
      </c>
      <c r="B37" s="157" t="s">
        <v>242</v>
      </c>
      <c r="C37" s="161" t="s">
        <v>1591</v>
      </c>
      <c r="D37" s="159" t="s">
        <v>1592</v>
      </c>
    </row>
    <row r="38" spans="1:4">
      <c r="A38" s="134">
        <v>28</v>
      </c>
      <c r="B38" s="157" t="s">
        <v>242</v>
      </c>
      <c r="C38" s="161" t="s">
        <v>372</v>
      </c>
      <c r="D38" s="159" t="s">
        <v>373</v>
      </c>
    </row>
    <row r="39" spans="1:4">
      <c r="A39" s="134">
        <v>29</v>
      </c>
      <c r="B39" s="157" t="s">
        <v>242</v>
      </c>
      <c r="C39" s="158" t="s">
        <v>374</v>
      </c>
      <c r="D39" s="159" t="s">
        <v>375</v>
      </c>
    </row>
    <row r="40" spans="1:4" ht="15.75" customHeight="1">
      <c r="A40" s="134"/>
      <c r="B40" s="444" t="s">
        <v>481</v>
      </c>
      <c r="C40" s="445"/>
      <c r="D40" s="446"/>
    </row>
    <row r="41" spans="1:4" ht="15.75" customHeight="1">
      <c r="A41" s="134">
        <v>30</v>
      </c>
      <c r="B41" s="157" t="s">
        <v>176</v>
      </c>
      <c r="C41" s="157" t="s">
        <v>1838</v>
      </c>
      <c r="D41" s="163" t="s">
        <v>1839</v>
      </c>
    </row>
    <row r="42" spans="1:4">
      <c r="A42" s="134">
        <v>31</v>
      </c>
      <c r="B42" s="157" t="s">
        <v>176</v>
      </c>
      <c r="C42" s="161" t="s">
        <v>372</v>
      </c>
      <c r="D42" s="159" t="s">
        <v>373</v>
      </c>
    </row>
    <row r="43" spans="1:4">
      <c r="A43" s="134">
        <v>32</v>
      </c>
      <c r="B43" s="157" t="s">
        <v>176</v>
      </c>
      <c r="C43" s="158" t="s">
        <v>383</v>
      </c>
      <c r="D43" s="159" t="s">
        <v>1297</v>
      </c>
    </row>
    <row r="44" spans="1:4" ht="30">
      <c r="A44" s="134">
        <v>33</v>
      </c>
      <c r="B44" s="157" t="s">
        <v>176</v>
      </c>
      <c r="C44" s="161" t="s">
        <v>1797</v>
      </c>
      <c r="D44" s="159" t="s">
        <v>1310</v>
      </c>
    </row>
    <row r="45" spans="1:4" ht="30">
      <c r="A45" s="134">
        <v>34</v>
      </c>
      <c r="B45" s="157" t="s">
        <v>176</v>
      </c>
      <c r="C45" s="161" t="s">
        <v>1798</v>
      </c>
      <c r="D45" s="159" t="s">
        <v>1311</v>
      </c>
    </row>
    <row r="46" spans="1:4" ht="45">
      <c r="A46" s="134">
        <v>35</v>
      </c>
      <c r="B46" s="157" t="s">
        <v>176</v>
      </c>
      <c r="C46" s="161" t="s">
        <v>1799</v>
      </c>
      <c r="D46" s="159" t="s">
        <v>1312</v>
      </c>
    </row>
    <row r="47" spans="1:4" ht="45">
      <c r="A47" s="134">
        <v>36</v>
      </c>
      <c r="B47" s="157" t="s">
        <v>176</v>
      </c>
      <c r="C47" s="161" t="s">
        <v>1800</v>
      </c>
      <c r="D47" s="159" t="s">
        <v>1313</v>
      </c>
    </row>
    <row r="48" spans="1:4" ht="30">
      <c r="A48" s="134">
        <v>37</v>
      </c>
      <c r="B48" s="157" t="s">
        <v>176</v>
      </c>
      <c r="C48" s="161" t="s">
        <v>1801</v>
      </c>
      <c r="D48" s="159" t="s">
        <v>1314</v>
      </c>
    </row>
    <row r="49" spans="1:4" ht="45">
      <c r="A49" s="134">
        <v>38</v>
      </c>
      <c r="B49" s="157" t="s">
        <v>176</v>
      </c>
      <c r="C49" s="161" t="s">
        <v>1802</v>
      </c>
      <c r="D49" s="159" t="s">
        <v>1457</v>
      </c>
    </row>
    <row r="50" spans="1:4" ht="30">
      <c r="A50" s="134">
        <v>39</v>
      </c>
      <c r="B50" s="157" t="s">
        <v>176</v>
      </c>
      <c r="C50" s="161" t="s">
        <v>1803</v>
      </c>
      <c r="D50" s="159" t="s">
        <v>1315</v>
      </c>
    </row>
    <row r="51" spans="1:4" ht="30">
      <c r="A51" s="134">
        <v>40</v>
      </c>
      <c r="B51" s="157" t="s">
        <v>176</v>
      </c>
      <c r="C51" s="161" t="s">
        <v>1804</v>
      </c>
      <c r="D51" s="159" t="s">
        <v>1316</v>
      </c>
    </row>
    <row r="52" spans="1:4" ht="30">
      <c r="A52" s="134">
        <v>41</v>
      </c>
      <c r="B52" s="157" t="s">
        <v>176</v>
      </c>
      <c r="C52" s="161" t="s">
        <v>1805</v>
      </c>
      <c r="D52" s="159" t="s">
        <v>1317</v>
      </c>
    </row>
    <row r="53" spans="1:4" ht="45">
      <c r="A53" s="134">
        <v>42</v>
      </c>
      <c r="B53" s="157" t="s">
        <v>176</v>
      </c>
      <c r="C53" s="161" t="s">
        <v>1806</v>
      </c>
      <c r="D53" s="159" t="s">
        <v>1318</v>
      </c>
    </row>
    <row r="54" spans="1:4" ht="30">
      <c r="A54" s="134">
        <v>43</v>
      </c>
      <c r="B54" s="157" t="s">
        <v>176</v>
      </c>
      <c r="C54" s="161" t="s">
        <v>1807</v>
      </c>
      <c r="D54" s="159" t="s">
        <v>1319</v>
      </c>
    </row>
    <row r="55" spans="1:4" ht="30">
      <c r="A55" s="134">
        <v>44</v>
      </c>
      <c r="B55" s="157" t="s">
        <v>176</v>
      </c>
      <c r="C55" s="161" t="s">
        <v>1808</v>
      </c>
      <c r="D55" s="159" t="s">
        <v>1320</v>
      </c>
    </row>
    <row r="56" spans="1:4" ht="30">
      <c r="A56" s="134">
        <v>45</v>
      </c>
      <c r="B56" s="157" t="s">
        <v>176</v>
      </c>
      <c r="C56" s="161" t="s">
        <v>1809</v>
      </c>
      <c r="D56" s="159" t="s">
        <v>1321</v>
      </c>
    </row>
    <row r="57" spans="1:4" ht="30">
      <c r="A57" s="134">
        <v>46</v>
      </c>
      <c r="B57" s="157" t="s">
        <v>176</v>
      </c>
      <c r="C57" s="161" t="s">
        <v>1810</v>
      </c>
      <c r="D57" s="159" t="s">
        <v>1322</v>
      </c>
    </row>
    <row r="58" spans="1:4" ht="30">
      <c r="A58" s="134">
        <v>47</v>
      </c>
      <c r="B58" s="157" t="s">
        <v>176</v>
      </c>
      <c r="C58" s="161" t="s">
        <v>1811</v>
      </c>
      <c r="D58" s="159" t="s">
        <v>1323</v>
      </c>
    </row>
    <row r="59" spans="1:4" ht="30">
      <c r="A59" s="134">
        <v>48</v>
      </c>
      <c r="B59" s="157" t="s">
        <v>176</v>
      </c>
      <c r="C59" s="161" t="s">
        <v>1812</v>
      </c>
      <c r="D59" s="159" t="s">
        <v>1324</v>
      </c>
    </row>
    <row r="60" spans="1:4" ht="45">
      <c r="A60" s="134">
        <v>49</v>
      </c>
      <c r="B60" s="157" t="s">
        <v>176</v>
      </c>
      <c r="C60" s="161" t="s">
        <v>1813</v>
      </c>
      <c r="D60" s="159" t="s">
        <v>1298</v>
      </c>
    </row>
    <row r="61" spans="1:4" ht="30">
      <c r="A61" s="134">
        <v>50</v>
      </c>
      <c r="B61" s="157" t="s">
        <v>176</v>
      </c>
      <c r="C61" s="161" t="s">
        <v>1814</v>
      </c>
      <c r="D61" s="159" t="s">
        <v>1325</v>
      </c>
    </row>
    <row r="62" spans="1:4" ht="30">
      <c r="A62" s="134">
        <v>51</v>
      </c>
      <c r="B62" s="157" t="s">
        <v>176</v>
      </c>
      <c r="C62" s="161" t="s">
        <v>1815</v>
      </c>
      <c r="D62" s="159" t="s">
        <v>1326</v>
      </c>
    </row>
    <row r="63" spans="1:4" ht="30">
      <c r="A63" s="134">
        <v>52</v>
      </c>
      <c r="B63" s="157" t="s">
        <v>176</v>
      </c>
      <c r="C63" s="161" t="s">
        <v>1816</v>
      </c>
      <c r="D63" s="159" t="s">
        <v>1327</v>
      </c>
    </row>
    <row r="64" spans="1:4" ht="30">
      <c r="A64" s="134">
        <v>53</v>
      </c>
      <c r="B64" s="157" t="s">
        <v>176</v>
      </c>
      <c r="C64" s="161" t="s">
        <v>1817</v>
      </c>
      <c r="D64" s="159" t="s">
        <v>1328</v>
      </c>
    </row>
    <row r="65" spans="1:4" ht="30">
      <c r="A65" s="134">
        <v>54</v>
      </c>
      <c r="B65" s="157" t="s">
        <v>176</v>
      </c>
      <c r="C65" s="161" t="s">
        <v>1818</v>
      </c>
      <c r="D65" s="159" t="s">
        <v>1329</v>
      </c>
    </row>
    <row r="66" spans="1:4" ht="33.75" customHeight="1">
      <c r="A66" s="134"/>
      <c r="B66" s="447" t="s">
        <v>1915</v>
      </c>
      <c r="C66" s="448"/>
      <c r="D66" s="449"/>
    </row>
    <row r="67" spans="1:4" ht="45">
      <c r="A67" s="134">
        <v>55</v>
      </c>
      <c r="B67" s="161">
        <v>856</v>
      </c>
      <c r="C67" s="161" t="s">
        <v>364</v>
      </c>
      <c r="D67" s="159" t="s">
        <v>1299</v>
      </c>
    </row>
    <row r="68" spans="1:4" ht="45">
      <c r="A68" s="134">
        <v>56</v>
      </c>
      <c r="B68" s="161">
        <v>856</v>
      </c>
      <c r="C68" s="161" t="s">
        <v>365</v>
      </c>
      <c r="D68" s="159" t="s">
        <v>1300</v>
      </c>
    </row>
    <row r="69" spans="1:4" ht="45">
      <c r="A69" s="134">
        <v>57</v>
      </c>
      <c r="B69" s="157" t="s">
        <v>274</v>
      </c>
      <c r="C69" s="157" t="s">
        <v>378</v>
      </c>
      <c r="D69" s="163" t="s">
        <v>1284</v>
      </c>
    </row>
    <row r="70" spans="1:4" ht="45">
      <c r="A70" s="134">
        <v>58</v>
      </c>
      <c r="B70" s="157" t="s">
        <v>274</v>
      </c>
      <c r="C70" s="157" t="s">
        <v>389</v>
      </c>
      <c r="D70" s="163" t="s">
        <v>1285</v>
      </c>
    </row>
    <row r="71" spans="1:4" ht="30">
      <c r="A71" s="134">
        <v>59</v>
      </c>
      <c r="B71" s="157" t="s">
        <v>274</v>
      </c>
      <c r="C71" s="157" t="s">
        <v>1838</v>
      </c>
      <c r="D71" s="163" t="s">
        <v>1839</v>
      </c>
    </row>
    <row r="72" spans="1:4">
      <c r="A72" s="134">
        <v>60</v>
      </c>
      <c r="B72" s="157" t="s">
        <v>274</v>
      </c>
      <c r="C72" s="161" t="s">
        <v>372</v>
      </c>
      <c r="D72" s="159" t="s">
        <v>373</v>
      </c>
    </row>
    <row r="73" spans="1:4">
      <c r="A73" s="134">
        <v>61</v>
      </c>
      <c r="B73" s="157" t="s">
        <v>274</v>
      </c>
      <c r="C73" s="158" t="s">
        <v>383</v>
      </c>
      <c r="D73" s="159" t="s">
        <v>1301</v>
      </c>
    </row>
    <row r="74" spans="1:4" ht="60">
      <c r="A74" s="134">
        <v>62</v>
      </c>
      <c r="B74" s="157" t="s">
        <v>274</v>
      </c>
      <c r="C74" s="161" t="s">
        <v>1819</v>
      </c>
      <c r="D74" s="159" t="s">
        <v>660</v>
      </c>
    </row>
    <row r="75" spans="1:4" ht="60">
      <c r="A75" s="134">
        <v>63</v>
      </c>
      <c r="B75" s="157" t="s">
        <v>274</v>
      </c>
      <c r="C75" s="161" t="s">
        <v>1789</v>
      </c>
      <c r="D75" s="159" t="s">
        <v>659</v>
      </c>
    </row>
    <row r="76" spans="1:4" ht="45">
      <c r="A76" s="134">
        <v>64</v>
      </c>
      <c r="B76" s="157" t="s">
        <v>274</v>
      </c>
      <c r="C76" s="161" t="s">
        <v>1820</v>
      </c>
      <c r="D76" s="159" t="s">
        <v>390</v>
      </c>
    </row>
    <row r="77" spans="1:4" ht="45">
      <c r="A77" s="134">
        <v>65</v>
      </c>
      <c r="B77" s="157" t="s">
        <v>274</v>
      </c>
      <c r="C77" s="161" t="s">
        <v>1790</v>
      </c>
      <c r="D77" s="159" t="s">
        <v>385</v>
      </c>
    </row>
    <row r="78" spans="1:4" ht="45">
      <c r="A78" s="134">
        <v>66</v>
      </c>
      <c r="B78" s="157" t="s">
        <v>274</v>
      </c>
      <c r="C78" s="161" t="s">
        <v>1791</v>
      </c>
      <c r="D78" s="159" t="s">
        <v>386</v>
      </c>
    </row>
    <row r="79" spans="1:4" ht="30">
      <c r="A79" s="134">
        <v>67</v>
      </c>
      <c r="B79" s="157" t="s">
        <v>274</v>
      </c>
      <c r="C79" s="161" t="s">
        <v>1792</v>
      </c>
      <c r="D79" s="159" t="s">
        <v>387</v>
      </c>
    </row>
    <row r="80" spans="1:4" ht="30">
      <c r="A80" s="134">
        <v>68</v>
      </c>
      <c r="B80" s="157" t="s">
        <v>274</v>
      </c>
      <c r="C80" s="161" t="s">
        <v>1821</v>
      </c>
      <c r="D80" s="159" t="s">
        <v>534</v>
      </c>
    </row>
    <row r="81" spans="1:4" ht="47.25" customHeight="1">
      <c r="A81" s="134">
        <v>69</v>
      </c>
      <c r="B81" s="157" t="s">
        <v>274</v>
      </c>
      <c r="C81" s="161" t="s">
        <v>1822</v>
      </c>
      <c r="D81" s="159" t="s">
        <v>1330</v>
      </c>
    </row>
    <row r="82" spans="1:4" s="133" customFormat="1" ht="15.75" customHeight="1">
      <c r="A82" s="134"/>
      <c r="B82" s="447" t="s">
        <v>1622</v>
      </c>
      <c r="C82" s="448"/>
      <c r="D82" s="449"/>
    </row>
    <row r="83" spans="1:4" ht="60">
      <c r="A83" s="134">
        <v>70</v>
      </c>
      <c r="B83" s="157" t="s">
        <v>89</v>
      </c>
      <c r="C83" s="158" t="s">
        <v>358</v>
      </c>
      <c r="D83" s="159" t="s">
        <v>1458</v>
      </c>
    </row>
    <row r="84" spans="1:4" ht="60">
      <c r="A84" s="134">
        <v>71</v>
      </c>
      <c r="B84" s="157" t="s">
        <v>89</v>
      </c>
      <c r="C84" s="158" t="s">
        <v>359</v>
      </c>
      <c r="D84" s="159" t="s">
        <v>1460</v>
      </c>
    </row>
    <row r="85" spans="1:4" ht="60">
      <c r="A85" s="134">
        <v>72</v>
      </c>
      <c r="B85" s="157" t="s">
        <v>89</v>
      </c>
      <c r="C85" s="158" t="s">
        <v>360</v>
      </c>
      <c r="D85" s="159" t="s">
        <v>1459</v>
      </c>
    </row>
    <row r="86" spans="1:4" ht="60">
      <c r="A86" s="134">
        <v>73</v>
      </c>
      <c r="B86" s="157" t="s">
        <v>89</v>
      </c>
      <c r="C86" s="158" t="s">
        <v>361</v>
      </c>
      <c r="D86" s="159" t="s">
        <v>1288</v>
      </c>
    </row>
    <row r="87" spans="1:4" ht="60">
      <c r="A87" s="134">
        <v>74</v>
      </c>
      <c r="B87" s="157" t="s">
        <v>89</v>
      </c>
      <c r="C87" s="158" t="s">
        <v>362</v>
      </c>
      <c r="D87" s="159" t="s">
        <v>1287</v>
      </c>
    </row>
    <row r="88" spans="1:4" ht="60">
      <c r="A88" s="134">
        <v>75</v>
      </c>
      <c r="B88" s="157" t="s">
        <v>89</v>
      </c>
      <c r="C88" s="158" t="s">
        <v>363</v>
      </c>
      <c r="D88" s="159" t="s">
        <v>1286</v>
      </c>
    </row>
    <row r="89" spans="1:4" ht="45">
      <c r="A89" s="134">
        <v>76</v>
      </c>
      <c r="B89" s="161">
        <v>863</v>
      </c>
      <c r="C89" s="158" t="s">
        <v>364</v>
      </c>
      <c r="D89" s="159" t="s">
        <v>1289</v>
      </c>
    </row>
    <row r="90" spans="1:4" ht="45">
      <c r="A90" s="134">
        <v>77</v>
      </c>
      <c r="B90" s="161">
        <v>863</v>
      </c>
      <c r="C90" s="158" t="s">
        <v>365</v>
      </c>
      <c r="D90" s="159" t="s">
        <v>1290</v>
      </c>
    </row>
    <row r="91" spans="1:4" ht="45">
      <c r="A91" s="134">
        <v>78</v>
      </c>
      <c r="B91" s="161">
        <v>863</v>
      </c>
      <c r="C91" s="158" t="s">
        <v>366</v>
      </c>
      <c r="D91" s="159" t="s">
        <v>1291</v>
      </c>
    </row>
    <row r="92" spans="1:4" ht="62.25" customHeight="1">
      <c r="A92" s="134">
        <v>79</v>
      </c>
      <c r="B92" s="161">
        <v>863</v>
      </c>
      <c r="C92" s="158" t="s">
        <v>367</v>
      </c>
      <c r="D92" s="159" t="s">
        <v>1292</v>
      </c>
    </row>
    <row r="93" spans="1:4" ht="45">
      <c r="A93" s="134">
        <v>80</v>
      </c>
      <c r="B93" s="161">
        <v>863</v>
      </c>
      <c r="C93" s="158" t="s">
        <v>368</v>
      </c>
      <c r="D93" s="159" t="s">
        <v>1302</v>
      </c>
    </row>
    <row r="94" spans="1:4" ht="45">
      <c r="A94" s="134">
        <v>81</v>
      </c>
      <c r="B94" s="161">
        <v>863</v>
      </c>
      <c r="C94" s="158" t="s">
        <v>653</v>
      </c>
      <c r="D94" s="159" t="s">
        <v>1303</v>
      </c>
    </row>
    <row r="95" spans="1:4" s="133" customFormat="1" ht="45">
      <c r="A95" s="134">
        <v>82</v>
      </c>
      <c r="B95" s="161">
        <v>863</v>
      </c>
      <c r="C95" s="158" t="s">
        <v>654</v>
      </c>
      <c r="D95" s="162" t="s">
        <v>655</v>
      </c>
    </row>
    <row r="96" spans="1:4" s="133" customFormat="1" ht="30">
      <c r="A96" s="134">
        <v>83</v>
      </c>
      <c r="B96" s="161">
        <v>863</v>
      </c>
      <c r="C96" s="157" t="s">
        <v>1838</v>
      </c>
      <c r="D96" s="163" t="s">
        <v>1839</v>
      </c>
    </row>
    <row r="97" spans="1:4">
      <c r="A97" s="134">
        <v>84</v>
      </c>
      <c r="B97" s="161">
        <v>863</v>
      </c>
      <c r="C97" s="161" t="s">
        <v>656</v>
      </c>
      <c r="D97" s="159" t="s">
        <v>657</v>
      </c>
    </row>
    <row r="98" spans="1:4" s="133" customFormat="1" ht="65.25" customHeight="1">
      <c r="A98" s="134">
        <v>85</v>
      </c>
      <c r="B98" s="161">
        <v>863</v>
      </c>
      <c r="C98" s="158" t="s">
        <v>1649</v>
      </c>
      <c r="D98" s="159" t="s">
        <v>1304</v>
      </c>
    </row>
    <row r="99" spans="1:4" ht="60">
      <c r="A99" s="134">
        <v>86</v>
      </c>
      <c r="B99" s="161">
        <v>863</v>
      </c>
      <c r="C99" s="158" t="s">
        <v>370</v>
      </c>
      <c r="D99" s="159" t="s">
        <v>1305</v>
      </c>
    </row>
    <row r="100" spans="1:4" s="133" customFormat="1" ht="45">
      <c r="A100" s="134">
        <v>87</v>
      </c>
      <c r="B100" s="161">
        <v>863</v>
      </c>
      <c r="C100" s="158" t="s">
        <v>371</v>
      </c>
      <c r="D100" s="159" t="s">
        <v>1461</v>
      </c>
    </row>
    <row r="101" spans="1:4" ht="57.75" customHeight="1">
      <c r="A101" s="134">
        <v>88</v>
      </c>
      <c r="B101" s="161">
        <v>863</v>
      </c>
      <c r="C101" s="158" t="s">
        <v>658</v>
      </c>
      <c r="D101" s="159" t="s">
        <v>1306</v>
      </c>
    </row>
    <row r="102" spans="1:4" ht="39" customHeight="1">
      <c r="A102" s="134">
        <v>89</v>
      </c>
      <c r="B102" s="161">
        <v>863</v>
      </c>
      <c r="C102" s="158" t="s">
        <v>382</v>
      </c>
      <c r="D102" s="162" t="s">
        <v>381</v>
      </c>
    </row>
    <row r="103" spans="1:4">
      <c r="A103" s="134">
        <v>90</v>
      </c>
      <c r="B103" s="161">
        <v>863</v>
      </c>
      <c r="C103" s="161" t="s">
        <v>372</v>
      </c>
      <c r="D103" s="159" t="s">
        <v>373</v>
      </c>
    </row>
    <row r="104" spans="1:4">
      <c r="A104" s="134">
        <v>91</v>
      </c>
      <c r="B104" s="161">
        <v>863</v>
      </c>
      <c r="C104" s="161" t="s">
        <v>374</v>
      </c>
      <c r="D104" s="159" t="s">
        <v>375</v>
      </c>
    </row>
    <row r="105" spans="1:4" ht="30">
      <c r="A105" s="134">
        <v>92</v>
      </c>
      <c r="B105" s="161">
        <v>863</v>
      </c>
      <c r="C105" s="161" t="s">
        <v>1793</v>
      </c>
      <c r="D105" s="159" t="s">
        <v>1547</v>
      </c>
    </row>
    <row r="106" spans="1:4" ht="54.75" customHeight="1">
      <c r="A106" s="134">
        <v>93</v>
      </c>
      <c r="B106" s="161">
        <v>863</v>
      </c>
      <c r="C106" s="161" t="s">
        <v>1823</v>
      </c>
      <c r="D106" s="159" t="s">
        <v>1331</v>
      </c>
    </row>
    <row r="107" spans="1:4" ht="15.75" customHeight="1">
      <c r="A107" s="134"/>
      <c r="B107" s="447" t="s">
        <v>1621</v>
      </c>
      <c r="C107" s="448"/>
      <c r="D107" s="449"/>
    </row>
    <row r="108" spans="1:4" ht="45">
      <c r="A108" s="134">
        <v>94</v>
      </c>
      <c r="B108" s="157" t="s">
        <v>248</v>
      </c>
      <c r="C108" s="157" t="s">
        <v>378</v>
      </c>
      <c r="D108" s="163" t="s">
        <v>379</v>
      </c>
    </row>
    <row r="109" spans="1:4" ht="45">
      <c r="A109" s="134">
        <v>95</v>
      </c>
      <c r="B109" s="157" t="s">
        <v>248</v>
      </c>
      <c r="C109" s="157" t="s">
        <v>389</v>
      </c>
      <c r="D109" s="163" t="s">
        <v>391</v>
      </c>
    </row>
    <row r="110" spans="1:4" ht="45">
      <c r="A110" s="134">
        <v>96</v>
      </c>
      <c r="B110" s="157" t="s">
        <v>248</v>
      </c>
      <c r="C110" s="157" t="s">
        <v>392</v>
      </c>
      <c r="D110" s="163" t="s">
        <v>393</v>
      </c>
    </row>
    <row r="111" spans="1:4" ht="30">
      <c r="A111" s="134">
        <v>97</v>
      </c>
      <c r="B111" s="157" t="s">
        <v>248</v>
      </c>
      <c r="C111" s="157" t="s">
        <v>394</v>
      </c>
      <c r="D111" s="163" t="s">
        <v>395</v>
      </c>
    </row>
    <row r="112" spans="1:4">
      <c r="A112" s="134">
        <v>98</v>
      </c>
      <c r="B112" s="157" t="s">
        <v>248</v>
      </c>
      <c r="C112" s="157" t="s">
        <v>1625</v>
      </c>
      <c r="D112" s="163" t="s">
        <v>1573</v>
      </c>
    </row>
    <row r="113" spans="1:4" ht="30">
      <c r="A113" s="134">
        <v>99</v>
      </c>
      <c r="B113" s="157" t="s">
        <v>248</v>
      </c>
      <c r="C113" s="157" t="s">
        <v>1838</v>
      </c>
      <c r="D113" s="163" t="s">
        <v>1839</v>
      </c>
    </row>
    <row r="114" spans="1:4" ht="45">
      <c r="A114" s="134">
        <v>100</v>
      </c>
      <c r="B114" s="157" t="s">
        <v>248</v>
      </c>
      <c r="C114" s="158" t="s">
        <v>661</v>
      </c>
      <c r="D114" s="95" t="s">
        <v>651</v>
      </c>
    </row>
    <row r="115" spans="1:4">
      <c r="A115" s="134">
        <v>101</v>
      </c>
      <c r="B115" s="157" t="s">
        <v>248</v>
      </c>
      <c r="C115" s="161" t="s">
        <v>372</v>
      </c>
      <c r="D115" s="159" t="s">
        <v>373</v>
      </c>
    </row>
    <row r="116" spans="1:4">
      <c r="A116" s="134">
        <v>102</v>
      </c>
      <c r="B116" s="157" t="s">
        <v>248</v>
      </c>
      <c r="C116" s="158" t="s">
        <v>383</v>
      </c>
      <c r="D116" s="159" t="s">
        <v>1307</v>
      </c>
    </row>
    <row r="117" spans="1:4" ht="45">
      <c r="A117" s="134">
        <v>103</v>
      </c>
      <c r="B117" s="157" t="s">
        <v>248</v>
      </c>
      <c r="C117" s="158" t="s">
        <v>1824</v>
      </c>
      <c r="D117" s="159" t="s">
        <v>1332</v>
      </c>
    </row>
    <row r="118" spans="1:4" ht="30">
      <c r="A118" s="134">
        <v>104</v>
      </c>
      <c r="B118" s="157" t="s">
        <v>248</v>
      </c>
      <c r="C118" s="158" t="s">
        <v>1825</v>
      </c>
      <c r="D118" s="159" t="s">
        <v>1333</v>
      </c>
    </row>
    <row r="119" spans="1:4" ht="45">
      <c r="A119" s="134">
        <v>105</v>
      </c>
      <c r="B119" s="157" t="s">
        <v>248</v>
      </c>
      <c r="C119" s="158" t="s">
        <v>1826</v>
      </c>
      <c r="D119" s="159" t="s">
        <v>1308</v>
      </c>
    </row>
    <row r="120" spans="1:4" ht="45">
      <c r="A120" s="134">
        <v>106</v>
      </c>
      <c r="B120" s="157" t="s">
        <v>248</v>
      </c>
      <c r="C120" s="158" t="s">
        <v>1827</v>
      </c>
      <c r="D120" s="159" t="s">
        <v>1309</v>
      </c>
    </row>
    <row r="121" spans="1:4" ht="30">
      <c r="A121" s="134">
        <v>107</v>
      </c>
      <c r="B121" s="157" t="s">
        <v>248</v>
      </c>
      <c r="C121" s="158" t="s">
        <v>1788</v>
      </c>
      <c r="D121" s="162" t="s">
        <v>1438</v>
      </c>
    </row>
    <row r="122" spans="1:4" ht="60">
      <c r="A122" s="134">
        <v>108</v>
      </c>
      <c r="B122" s="157" t="s">
        <v>248</v>
      </c>
      <c r="C122" s="161" t="s">
        <v>1789</v>
      </c>
      <c r="D122" s="159" t="s">
        <v>659</v>
      </c>
    </row>
    <row r="123" spans="1:4" ht="45">
      <c r="A123" s="134">
        <v>109</v>
      </c>
      <c r="B123" s="157" t="s">
        <v>248</v>
      </c>
      <c r="C123" s="161" t="s">
        <v>1790</v>
      </c>
      <c r="D123" s="159" t="s">
        <v>385</v>
      </c>
    </row>
    <row r="124" spans="1:4" ht="45">
      <c r="A124" s="134">
        <v>110</v>
      </c>
      <c r="B124" s="157" t="s">
        <v>248</v>
      </c>
      <c r="C124" s="161" t="s">
        <v>1791</v>
      </c>
      <c r="D124" s="159" t="s">
        <v>386</v>
      </c>
    </row>
    <row r="125" spans="1:4" ht="30">
      <c r="A125" s="134">
        <v>111</v>
      </c>
      <c r="B125" s="174" t="s">
        <v>248</v>
      </c>
      <c r="C125" s="161" t="s">
        <v>1821</v>
      </c>
      <c r="D125" s="159" t="s">
        <v>1546</v>
      </c>
    </row>
    <row r="126" spans="1:4" ht="45">
      <c r="A126" s="134">
        <v>112</v>
      </c>
      <c r="B126" s="174" t="s">
        <v>248</v>
      </c>
      <c r="C126" s="161" t="s">
        <v>1828</v>
      </c>
      <c r="D126" s="159" t="s">
        <v>1334</v>
      </c>
    </row>
    <row r="127" spans="1:4" ht="15.75" customHeight="1">
      <c r="A127" s="134"/>
      <c r="B127" s="444" t="s">
        <v>1620</v>
      </c>
      <c r="C127" s="445"/>
      <c r="D127" s="446"/>
    </row>
    <row r="128" spans="1:4" ht="30">
      <c r="A128" s="134">
        <v>113</v>
      </c>
      <c r="B128" s="158">
        <v>880</v>
      </c>
      <c r="C128" s="157" t="s">
        <v>377</v>
      </c>
      <c r="D128" s="163" t="s">
        <v>1293</v>
      </c>
    </row>
    <row r="129" spans="1:4" ht="30">
      <c r="A129" s="134">
        <v>114</v>
      </c>
      <c r="B129" s="158">
        <v>880</v>
      </c>
      <c r="C129" s="157" t="s">
        <v>1838</v>
      </c>
      <c r="D129" s="163" t="s">
        <v>1839</v>
      </c>
    </row>
    <row r="130" spans="1:4">
      <c r="A130" s="134">
        <v>115</v>
      </c>
      <c r="B130" s="158">
        <v>880</v>
      </c>
      <c r="C130" s="161" t="s">
        <v>372</v>
      </c>
      <c r="D130" s="159" t="s">
        <v>373</v>
      </c>
    </row>
    <row r="131" spans="1:4">
      <c r="A131" s="134">
        <v>116</v>
      </c>
      <c r="B131" s="158">
        <v>880</v>
      </c>
      <c r="C131" s="158" t="s">
        <v>374</v>
      </c>
      <c r="D131" s="159" t="s">
        <v>375</v>
      </c>
    </row>
    <row r="132" spans="1:4" ht="55.5" customHeight="1">
      <c r="A132" s="134">
        <v>117</v>
      </c>
      <c r="B132" s="274">
        <v>880</v>
      </c>
      <c r="C132" s="274" t="s">
        <v>1795</v>
      </c>
      <c r="D132" s="159" t="s">
        <v>1335</v>
      </c>
    </row>
    <row r="133" spans="1:4" ht="15.75" customHeight="1">
      <c r="A133" s="134"/>
      <c r="B133" s="447" t="s">
        <v>44</v>
      </c>
      <c r="C133" s="448"/>
      <c r="D133" s="449"/>
    </row>
    <row r="134" spans="1:4" ht="29.25" customHeight="1">
      <c r="A134" s="134">
        <v>118</v>
      </c>
      <c r="B134" s="157" t="s">
        <v>249</v>
      </c>
      <c r="C134" s="157" t="s">
        <v>1838</v>
      </c>
      <c r="D134" s="163" t="s">
        <v>1839</v>
      </c>
    </row>
    <row r="135" spans="1:4" ht="30">
      <c r="A135" s="134">
        <v>119</v>
      </c>
      <c r="B135" s="157" t="s">
        <v>249</v>
      </c>
      <c r="C135" s="158" t="s">
        <v>396</v>
      </c>
      <c r="D135" s="159" t="s">
        <v>397</v>
      </c>
    </row>
    <row r="136" spans="1:4" ht="45">
      <c r="A136" s="134">
        <v>120</v>
      </c>
      <c r="B136" s="157" t="s">
        <v>249</v>
      </c>
      <c r="C136" s="158" t="s">
        <v>661</v>
      </c>
      <c r="D136" s="95" t="s">
        <v>651</v>
      </c>
    </row>
    <row r="137" spans="1:4" ht="45">
      <c r="A137" s="134">
        <v>121</v>
      </c>
      <c r="B137" s="157" t="s">
        <v>249</v>
      </c>
      <c r="C137" s="158" t="s">
        <v>398</v>
      </c>
      <c r="D137" s="164" t="s">
        <v>399</v>
      </c>
    </row>
    <row r="138" spans="1:4" ht="30">
      <c r="A138" s="134">
        <v>122</v>
      </c>
      <c r="B138" s="157" t="s">
        <v>249</v>
      </c>
      <c r="C138" s="158" t="s">
        <v>400</v>
      </c>
      <c r="D138" s="164" t="s">
        <v>401</v>
      </c>
    </row>
    <row r="139" spans="1:4" ht="45">
      <c r="A139" s="134">
        <v>123</v>
      </c>
      <c r="B139" s="157" t="s">
        <v>249</v>
      </c>
      <c r="C139" s="158" t="s">
        <v>402</v>
      </c>
      <c r="D139" s="159" t="s">
        <v>403</v>
      </c>
    </row>
    <row r="140" spans="1:4" ht="30">
      <c r="A140" s="134">
        <v>124</v>
      </c>
      <c r="B140" s="157" t="s">
        <v>249</v>
      </c>
      <c r="C140" s="158" t="s">
        <v>1219</v>
      </c>
      <c r="D140" s="159" t="s">
        <v>1220</v>
      </c>
    </row>
    <row r="141" spans="1:4">
      <c r="A141" s="134">
        <v>125</v>
      </c>
      <c r="B141" s="157" t="s">
        <v>249</v>
      </c>
      <c r="C141" s="161" t="s">
        <v>372</v>
      </c>
      <c r="D141" s="159" t="s">
        <v>373</v>
      </c>
    </row>
    <row r="142" spans="1:4">
      <c r="A142" s="134">
        <v>126</v>
      </c>
      <c r="B142" s="157" t="s">
        <v>249</v>
      </c>
      <c r="C142" s="161" t="s">
        <v>383</v>
      </c>
      <c r="D142" s="159" t="s">
        <v>1336</v>
      </c>
    </row>
    <row r="143" spans="1:4">
      <c r="A143" s="134">
        <v>127</v>
      </c>
      <c r="B143" s="157" t="s">
        <v>249</v>
      </c>
      <c r="C143" s="158" t="s">
        <v>1662</v>
      </c>
      <c r="D143" s="159" t="s">
        <v>405</v>
      </c>
    </row>
    <row r="144" spans="1:4" ht="30">
      <c r="A144" s="134">
        <v>128</v>
      </c>
      <c r="B144" s="157" t="s">
        <v>249</v>
      </c>
      <c r="C144" s="158" t="s">
        <v>1663</v>
      </c>
      <c r="D144" s="160" t="s">
        <v>406</v>
      </c>
    </row>
    <row r="145" spans="1:4" ht="120">
      <c r="A145" s="134">
        <v>129</v>
      </c>
      <c r="B145" s="157" t="s">
        <v>249</v>
      </c>
      <c r="C145" s="158" t="s">
        <v>1664</v>
      </c>
      <c r="D145" s="160" t="s">
        <v>1383</v>
      </c>
    </row>
    <row r="146" spans="1:4" ht="105">
      <c r="A146" s="134">
        <v>130</v>
      </c>
      <c r="B146" s="157" t="s">
        <v>1194</v>
      </c>
      <c r="C146" s="158" t="s">
        <v>1665</v>
      </c>
      <c r="D146" s="160" t="s">
        <v>1384</v>
      </c>
    </row>
    <row r="147" spans="1:4" ht="45">
      <c r="A147" s="134">
        <v>131</v>
      </c>
      <c r="B147" s="157" t="s">
        <v>249</v>
      </c>
      <c r="C147" s="158" t="s">
        <v>1666</v>
      </c>
      <c r="D147" s="160" t="s">
        <v>1233</v>
      </c>
    </row>
    <row r="148" spans="1:4" ht="30">
      <c r="A148" s="134">
        <v>132</v>
      </c>
      <c r="B148" s="157" t="s">
        <v>249</v>
      </c>
      <c r="C148" s="158" t="s">
        <v>1889</v>
      </c>
      <c r="D148" s="160" t="s">
        <v>1890</v>
      </c>
    </row>
    <row r="149" spans="1:4" ht="80.25" customHeight="1">
      <c r="A149" s="134"/>
      <c r="B149" s="157" t="s">
        <v>249</v>
      </c>
      <c r="C149" s="384" t="s">
        <v>2063</v>
      </c>
      <c r="D149" s="379" t="s">
        <v>2064</v>
      </c>
    </row>
    <row r="150" spans="1:4" ht="60">
      <c r="A150" s="134">
        <v>133</v>
      </c>
      <c r="B150" s="157" t="s">
        <v>249</v>
      </c>
      <c r="C150" s="158" t="s">
        <v>1667</v>
      </c>
      <c r="D150" s="160" t="s">
        <v>1726</v>
      </c>
    </row>
    <row r="151" spans="1:4" ht="75">
      <c r="A151" s="134">
        <v>134</v>
      </c>
      <c r="B151" s="157" t="s">
        <v>249</v>
      </c>
      <c r="C151" s="158" t="s">
        <v>1668</v>
      </c>
      <c r="D151" s="210" t="s">
        <v>1595</v>
      </c>
    </row>
    <row r="152" spans="1:4" ht="45">
      <c r="A152" s="134">
        <v>135</v>
      </c>
      <c r="B152" s="157" t="s">
        <v>249</v>
      </c>
      <c r="C152" s="158" t="s">
        <v>1669</v>
      </c>
      <c r="D152" s="210" t="s">
        <v>1563</v>
      </c>
    </row>
    <row r="153" spans="1:4" ht="75">
      <c r="A153" s="134">
        <v>136</v>
      </c>
      <c r="B153" s="157" t="s">
        <v>249</v>
      </c>
      <c r="C153" s="158" t="s">
        <v>1873</v>
      </c>
      <c r="D153" s="210" t="s">
        <v>1872</v>
      </c>
    </row>
    <row r="154" spans="1:4" ht="60">
      <c r="A154" s="134">
        <v>137</v>
      </c>
      <c r="B154" s="157" t="s">
        <v>249</v>
      </c>
      <c r="C154" s="158" t="s">
        <v>1670</v>
      </c>
      <c r="D154" s="210" t="s">
        <v>1447</v>
      </c>
    </row>
    <row r="155" spans="1:4" ht="118.5" customHeight="1">
      <c r="A155" s="134">
        <v>138</v>
      </c>
      <c r="B155" s="157" t="s">
        <v>249</v>
      </c>
      <c r="C155" s="158" t="s">
        <v>2014</v>
      </c>
      <c r="D155" s="210" t="s">
        <v>2057</v>
      </c>
    </row>
    <row r="156" spans="1:4" ht="75">
      <c r="A156" s="134">
        <v>139</v>
      </c>
      <c r="B156" s="157" t="s">
        <v>249</v>
      </c>
      <c r="C156" s="158" t="s">
        <v>1671</v>
      </c>
      <c r="D156" s="210" t="s">
        <v>1448</v>
      </c>
    </row>
    <row r="157" spans="1:4" ht="75">
      <c r="A157" s="134">
        <v>140</v>
      </c>
      <c r="B157" s="157" t="s">
        <v>249</v>
      </c>
      <c r="C157" s="158" t="s">
        <v>2012</v>
      </c>
      <c r="D157" s="210" t="s">
        <v>2010</v>
      </c>
    </row>
    <row r="158" spans="1:4" ht="135">
      <c r="A158" s="134">
        <v>141</v>
      </c>
      <c r="B158" s="157" t="s">
        <v>249</v>
      </c>
      <c r="C158" s="158" t="s">
        <v>2013</v>
      </c>
      <c r="D158" s="210" t="s">
        <v>2011</v>
      </c>
    </row>
    <row r="159" spans="1:4" ht="60">
      <c r="A159" s="134">
        <v>142</v>
      </c>
      <c r="B159" s="157" t="s">
        <v>249</v>
      </c>
      <c r="C159" s="158" t="s">
        <v>1884</v>
      </c>
      <c r="D159" s="210" t="s">
        <v>1626</v>
      </c>
    </row>
    <row r="160" spans="1:4" ht="60">
      <c r="A160" s="134">
        <v>143</v>
      </c>
      <c r="B160" s="157" t="s">
        <v>249</v>
      </c>
      <c r="C160" s="158" t="s">
        <v>1672</v>
      </c>
      <c r="D160" s="210" t="s">
        <v>1626</v>
      </c>
    </row>
    <row r="161" spans="1:4" ht="60">
      <c r="A161" s="134">
        <v>144</v>
      </c>
      <c r="B161" s="157" t="s">
        <v>249</v>
      </c>
      <c r="C161" s="158" t="s">
        <v>1673</v>
      </c>
      <c r="D161" s="210" t="s">
        <v>1402</v>
      </c>
    </row>
    <row r="162" spans="1:4" ht="90">
      <c r="A162" s="134">
        <v>145</v>
      </c>
      <c r="B162" s="157" t="s">
        <v>249</v>
      </c>
      <c r="C162" s="158" t="s">
        <v>1674</v>
      </c>
      <c r="D162" s="160" t="s">
        <v>1550</v>
      </c>
    </row>
    <row r="163" spans="1:4" ht="60">
      <c r="A163" s="134">
        <v>146</v>
      </c>
      <c r="B163" s="157" t="s">
        <v>249</v>
      </c>
      <c r="C163" s="158" t="s">
        <v>1675</v>
      </c>
      <c r="D163" s="160" t="s">
        <v>1551</v>
      </c>
    </row>
    <row r="164" spans="1:4" ht="55.5" customHeight="1">
      <c r="A164" s="134">
        <v>147</v>
      </c>
      <c r="B164" s="157" t="s">
        <v>249</v>
      </c>
      <c r="C164" s="158" t="s">
        <v>1970</v>
      </c>
      <c r="D164" s="160" t="s">
        <v>1971</v>
      </c>
    </row>
    <row r="165" spans="1:4" ht="60">
      <c r="A165" s="134">
        <v>148</v>
      </c>
      <c r="B165" s="157" t="s">
        <v>249</v>
      </c>
      <c r="C165" s="158" t="s">
        <v>1676</v>
      </c>
      <c r="D165" s="160" t="s">
        <v>1730</v>
      </c>
    </row>
    <row r="166" spans="1:4" ht="135">
      <c r="A166" s="134">
        <v>149</v>
      </c>
      <c r="B166" s="157" t="s">
        <v>249</v>
      </c>
      <c r="C166" s="158" t="s">
        <v>1677</v>
      </c>
      <c r="D166" s="160" t="s">
        <v>1498</v>
      </c>
    </row>
    <row r="167" spans="1:4" ht="60">
      <c r="A167" s="134">
        <v>150</v>
      </c>
      <c r="B167" s="157" t="s">
        <v>249</v>
      </c>
      <c r="C167" s="158" t="s">
        <v>1678</v>
      </c>
      <c r="D167" s="160" t="s">
        <v>1431</v>
      </c>
    </row>
    <row r="168" spans="1:4" ht="75">
      <c r="A168" s="134">
        <v>151</v>
      </c>
      <c r="B168" s="157" t="s">
        <v>249</v>
      </c>
      <c r="C168" s="158" t="s">
        <v>1679</v>
      </c>
      <c r="D168" s="160" t="s">
        <v>1497</v>
      </c>
    </row>
    <row r="169" spans="1:4" ht="90">
      <c r="A169" s="134">
        <v>152</v>
      </c>
      <c r="B169" s="157" t="s">
        <v>249</v>
      </c>
      <c r="C169" s="158" t="s">
        <v>1680</v>
      </c>
      <c r="D169" s="160" t="s">
        <v>1496</v>
      </c>
    </row>
    <row r="170" spans="1:4" ht="60">
      <c r="A170" s="134">
        <v>153</v>
      </c>
      <c r="B170" s="157" t="s">
        <v>249</v>
      </c>
      <c r="C170" s="158" t="s">
        <v>1681</v>
      </c>
      <c r="D170" s="160" t="s">
        <v>1729</v>
      </c>
    </row>
    <row r="171" spans="1:4" ht="75">
      <c r="A171" s="134">
        <v>154</v>
      </c>
      <c r="B171" s="157"/>
      <c r="C171" s="158" t="s">
        <v>1891</v>
      </c>
      <c r="D171" s="160" t="s">
        <v>1892</v>
      </c>
    </row>
    <row r="172" spans="1:4" ht="60">
      <c r="A172" s="134">
        <v>155</v>
      </c>
      <c r="B172" s="157" t="s">
        <v>249</v>
      </c>
      <c r="C172" s="158" t="s">
        <v>1968</v>
      </c>
      <c r="D172" s="160" t="s">
        <v>1969</v>
      </c>
    </row>
    <row r="173" spans="1:4" ht="60">
      <c r="A173" s="134">
        <v>156</v>
      </c>
      <c r="B173" s="157" t="s">
        <v>249</v>
      </c>
      <c r="C173" s="158" t="s">
        <v>1682</v>
      </c>
      <c r="D173" s="160" t="s">
        <v>1499</v>
      </c>
    </row>
    <row r="174" spans="1:4" ht="60">
      <c r="A174" s="134">
        <v>157</v>
      </c>
      <c r="B174" s="157" t="s">
        <v>249</v>
      </c>
      <c r="C174" s="158" t="s">
        <v>1963</v>
      </c>
      <c r="D174" s="160" t="s">
        <v>1964</v>
      </c>
    </row>
    <row r="175" spans="1:4" ht="75">
      <c r="A175" s="134">
        <v>158</v>
      </c>
      <c r="B175" s="157" t="s">
        <v>249</v>
      </c>
      <c r="C175" s="157" t="s">
        <v>1683</v>
      </c>
      <c r="D175" s="165" t="s">
        <v>1728</v>
      </c>
    </row>
    <row r="176" spans="1:4" ht="75.75" customHeight="1">
      <c r="A176" s="134">
        <v>159</v>
      </c>
      <c r="B176" s="157" t="s">
        <v>249</v>
      </c>
      <c r="C176" s="157" t="s">
        <v>1894</v>
      </c>
      <c r="D176" s="165" t="s">
        <v>1895</v>
      </c>
    </row>
    <row r="177" spans="1:4" ht="75.75" customHeight="1">
      <c r="A177" s="134">
        <v>160</v>
      </c>
      <c r="B177" s="157" t="s">
        <v>249</v>
      </c>
      <c r="C177" s="157" t="s">
        <v>2016</v>
      </c>
      <c r="D177" s="165" t="s">
        <v>1835</v>
      </c>
    </row>
    <row r="178" spans="1:4" ht="60">
      <c r="A178" s="134">
        <v>161</v>
      </c>
      <c r="B178" s="157" t="s">
        <v>249</v>
      </c>
      <c r="C178" s="157" t="s">
        <v>1684</v>
      </c>
      <c r="D178" s="165" t="s">
        <v>1396</v>
      </c>
    </row>
    <row r="179" spans="1:4" ht="60">
      <c r="A179" s="134">
        <v>162</v>
      </c>
      <c r="B179" s="157" t="s">
        <v>249</v>
      </c>
      <c r="C179" s="158" t="s">
        <v>1685</v>
      </c>
      <c r="D179" s="166" t="s">
        <v>1610</v>
      </c>
    </row>
    <row r="180" spans="1:4" ht="60">
      <c r="A180" s="134">
        <v>163</v>
      </c>
      <c r="B180" s="157" t="s">
        <v>249</v>
      </c>
      <c r="C180" s="157" t="s">
        <v>1686</v>
      </c>
      <c r="D180" s="160" t="s">
        <v>1387</v>
      </c>
    </row>
    <row r="181" spans="1:4" ht="60">
      <c r="A181" s="134">
        <v>164</v>
      </c>
      <c r="B181" s="157" t="s">
        <v>249</v>
      </c>
      <c r="C181" s="157" t="s">
        <v>1687</v>
      </c>
      <c r="D181" s="160" t="s">
        <v>1388</v>
      </c>
    </row>
    <row r="182" spans="1:4" ht="90">
      <c r="A182" s="134">
        <v>165</v>
      </c>
      <c r="B182" s="157" t="s">
        <v>249</v>
      </c>
      <c r="C182" s="157" t="s">
        <v>2027</v>
      </c>
      <c r="D182" s="379" t="s">
        <v>2028</v>
      </c>
    </row>
    <row r="183" spans="1:4" ht="78" customHeight="1">
      <c r="A183" s="134">
        <v>166</v>
      </c>
      <c r="B183" s="157" t="s">
        <v>249</v>
      </c>
      <c r="C183" s="158" t="s">
        <v>1882</v>
      </c>
      <c r="D183" s="160" t="s">
        <v>1883</v>
      </c>
    </row>
    <row r="184" spans="1:4" ht="75">
      <c r="A184" s="134">
        <v>167</v>
      </c>
      <c r="B184" s="157" t="s">
        <v>249</v>
      </c>
      <c r="C184" s="158" t="s">
        <v>1688</v>
      </c>
      <c r="D184" s="166" t="s">
        <v>1500</v>
      </c>
    </row>
    <row r="185" spans="1:4" ht="60">
      <c r="A185" s="134">
        <v>168</v>
      </c>
      <c r="B185" s="157" t="s">
        <v>249</v>
      </c>
      <c r="C185" s="157" t="s">
        <v>1689</v>
      </c>
      <c r="D185" s="160" t="s">
        <v>1429</v>
      </c>
    </row>
    <row r="186" spans="1:4" ht="135">
      <c r="A186" s="134">
        <v>169</v>
      </c>
      <c r="B186" s="157" t="s">
        <v>249</v>
      </c>
      <c r="C186" s="157" t="s">
        <v>1690</v>
      </c>
      <c r="D186" s="165" t="s">
        <v>1609</v>
      </c>
    </row>
    <row r="187" spans="1:4" ht="135">
      <c r="A187" s="134">
        <v>170</v>
      </c>
      <c r="B187" s="157" t="s">
        <v>249</v>
      </c>
      <c r="C187" s="157" t="s">
        <v>1691</v>
      </c>
      <c r="D187" s="165" t="s">
        <v>1632</v>
      </c>
    </row>
    <row r="188" spans="1:4" ht="75">
      <c r="A188" s="134">
        <v>171</v>
      </c>
      <c r="B188" s="157" t="s">
        <v>249</v>
      </c>
      <c r="C188" s="157" t="s">
        <v>1692</v>
      </c>
      <c r="D188" s="165" t="s">
        <v>1462</v>
      </c>
    </row>
    <row r="189" spans="1:4" ht="60">
      <c r="A189" s="134">
        <v>172</v>
      </c>
      <c r="B189" s="157" t="s">
        <v>249</v>
      </c>
      <c r="C189" s="157" t="s">
        <v>1693</v>
      </c>
      <c r="D189" s="165" t="s">
        <v>1517</v>
      </c>
    </row>
    <row r="190" spans="1:4" ht="105">
      <c r="A190" s="134">
        <v>173</v>
      </c>
      <c r="B190" s="157" t="s">
        <v>249</v>
      </c>
      <c r="C190" s="157" t="s">
        <v>1694</v>
      </c>
      <c r="D190" s="165" t="s">
        <v>1727</v>
      </c>
    </row>
    <row r="191" spans="1:4" ht="75">
      <c r="A191" s="134">
        <v>174</v>
      </c>
      <c r="B191" s="157" t="s">
        <v>249</v>
      </c>
      <c r="C191" s="157" t="s">
        <v>1695</v>
      </c>
      <c r="D191" s="165" t="s">
        <v>1450</v>
      </c>
    </row>
    <row r="192" spans="1:4" ht="90">
      <c r="A192" s="134">
        <v>175</v>
      </c>
      <c r="B192" s="157" t="s">
        <v>249</v>
      </c>
      <c r="C192" s="157" t="s">
        <v>1696</v>
      </c>
      <c r="D192" s="165" t="s">
        <v>1449</v>
      </c>
    </row>
    <row r="193" spans="1:4" ht="90">
      <c r="A193" s="134">
        <v>176</v>
      </c>
      <c r="B193" s="157" t="s">
        <v>249</v>
      </c>
      <c r="C193" s="157" t="s">
        <v>1697</v>
      </c>
      <c r="D193" s="165" t="s">
        <v>1518</v>
      </c>
    </row>
    <row r="194" spans="1:4" ht="45">
      <c r="A194" s="134">
        <v>177</v>
      </c>
      <c r="B194" s="157" t="s">
        <v>249</v>
      </c>
      <c r="C194" s="157" t="s">
        <v>2032</v>
      </c>
      <c r="D194" s="380" t="s">
        <v>2031</v>
      </c>
    </row>
    <row r="195" spans="1:4" ht="90">
      <c r="A195" s="134">
        <v>178</v>
      </c>
      <c r="B195" s="157" t="s">
        <v>249</v>
      </c>
      <c r="C195" s="157" t="s">
        <v>1698</v>
      </c>
      <c r="D195" s="165" t="s">
        <v>1519</v>
      </c>
    </row>
    <row r="196" spans="1:4" ht="75">
      <c r="A196" s="134">
        <v>179</v>
      </c>
      <c r="B196" s="157" t="s">
        <v>249</v>
      </c>
      <c r="C196" s="157" t="s">
        <v>1731</v>
      </c>
      <c r="D196" s="165" t="s">
        <v>1645</v>
      </c>
    </row>
    <row r="197" spans="1:4" ht="150">
      <c r="A197" s="134">
        <v>180</v>
      </c>
      <c r="B197" s="157" t="s">
        <v>249</v>
      </c>
      <c r="C197" s="157" t="s">
        <v>1699</v>
      </c>
      <c r="D197" s="210" t="s">
        <v>1559</v>
      </c>
    </row>
    <row r="198" spans="1:4" ht="150">
      <c r="A198" s="134">
        <v>181</v>
      </c>
      <c r="B198" s="157" t="s">
        <v>249</v>
      </c>
      <c r="C198" s="157" t="s">
        <v>1700</v>
      </c>
      <c r="D198" s="210" t="s">
        <v>1560</v>
      </c>
    </row>
    <row r="199" spans="1:4" ht="90">
      <c r="A199" s="134">
        <v>182</v>
      </c>
      <c r="B199" s="157" t="s">
        <v>249</v>
      </c>
      <c r="C199" s="157" t="s">
        <v>1701</v>
      </c>
      <c r="D199" s="165" t="s">
        <v>1521</v>
      </c>
    </row>
    <row r="200" spans="1:4" ht="90">
      <c r="A200" s="134">
        <v>183</v>
      </c>
      <c r="B200" s="157" t="s">
        <v>249</v>
      </c>
      <c r="C200" s="157" t="s">
        <v>1702</v>
      </c>
      <c r="D200" s="165" t="s">
        <v>1522</v>
      </c>
    </row>
    <row r="201" spans="1:4" ht="75">
      <c r="A201" s="134">
        <v>184</v>
      </c>
      <c r="B201" s="157" t="s">
        <v>249</v>
      </c>
      <c r="C201" s="157" t="s">
        <v>1703</v>
      </c>
      <c r="D201" s="210" t="s">
        <v>1520</v>
      </c>
    </row>
    <row r="202" spans="1:4" ht="60">
      <c r="A202" s="134">
        <v>185</v>
      </c>
      <c r="B202" s="157" t="s">
        <v>249</v>
      </c>
      <c r="C202" s="157" t="s">
        <v>1704</v>
      </c>
      <c r="D202" s="210" t="s">
        <v>1523</v>
      </c>
    </row>
    <row r="203" spans="1:4" ht="105">
      <c r="A203" s="134">
        <v>186</v>
      </c>
      <c r="B203" s="157" t="s">
        <v>249</v>
      </c>
      <c r="C203" s="157" t="s">
        <v>1705</v>
      </c>
      <c r="D203" s="210" t="s">
        <v>1526</v>
      </c>
    </row>
    <row r="204" spans="1:4" ht="105">
      <c r="A204" s="134">
        <v>187</v>
      </c>
      <c r="B204" s="157" t="s">
        <v>249</v>
      </c>
      <c r="C204" s="157" t="s">
        <v>1706</v>
      </c>
      <c r="D204" s="210" t="s">
        <v>1527</v>
      </c>
    </row>
    <row r="205" spans="1:4" ht="75">
      <c r="A205" s="134">
        <v>188</v>
      </c>
      <c r="B205" s="157" t="s">
        <v>249</v>
      </c>
      <c r="C205" s="157" t="s">
        <v>1707</v>
      </c>
      <c r="D205" s="210" t="s">
        <v>1524</v>
      </c>
    </row>
    <row r="206" spans="1:4" ht="90">
      <c r="A206" s="134">
        <v>189</v>
      </c>
      <c r="B206" s="157" t="s">
        <v>249</v>
      </c>
      <c r="C206" s="157" t="s">
        <v>1708</v>
      </c>
      <c r="D206" s="210" t="s">
        <v>1528</v>
      </c>
    </row>
    <row r="207" spans="1:4" ht="120">
      <c r="A207" s="134">
        <v>190</v>
      </c>
      <c r="B207" s="157" t="s">
        <v>249</v>
      </c>
      <c r="C207" s="157" t="s">
        <v>1709</v>
      </c>
      <c r="D207" s="210" t="s">
        <v>1529</v>
      </c>
    </row>
    <row r="208" spans="1:4" ht="150">
      <c r="A208" s="134">
        <v>191</v>
      </c>
      <c r="B208" s="157" t="s">
        <v>249</v>
      </c>
      <c r="C208" s="157" t="s">
        <v>1710</v>
      </c>
      <c r="D208" s="210" t="s">
        <v>1530</v>
      </c>
    </row>
    <row r="209" spans="1:4" ht="90">
      <c r="A209" s="134">
        <v>192</v>
      </c>
      <c r="B209" s="157" t="s">
        <v>249</v>
      </c>
      <c r="C209" s="157" t="s">
        <v>1711</v>
      </c>
      <c r="D209" s="210" t="s">
        <v>1531</v>
      </c>
    </row>
    <row r="210" spans="1:4" ht="75">
      <c r="A210" s="134">
        <v>193</v>
      </c>
      <c r="B210" s="157" t="s">
        <v>249</v>
      </c>
      <c r="C210" s="157" t="s">
        <v>1712</v>
      </c>
      <c r="D210" s="210" t="s">
        <v>1532</v>
      </c>
    </row>
    <row r="211" spans="1:4" ht="105">
      <c r="A211" s="134">
        <v>194</v>
      </c>
      <c r="B211" s="157" t="s">
        <v>249</v>
      </c>
      <c r="C211" s="157" t="s">
        <v>1713</v>
      </c>
      <c r="D211" s="210" t="s">
        <v>1533</v>
      </c>
    </row>
    <row r="212" spans="1:4" ht="90">
      <c r="A212" s="134">
        <v>195</v>
      </c>
      <c r="B212" s="157" t="s">
        <v>249</v>
      </c>
      <c r="C212" s="157" t="s">
        <v>1893</v>
      </c>
      <c r="D212" s="210" t="s">
        <v>1837</v>
      </c>
    </row>
    <row r="213" spans="1:4" ht="150">
      <c r="A213" s="134">
        <v>196</v>
      </c>
      <c r="B213" s="157" t="s">
        <v>249</v>
      </c>
      <c r="C213" s="157" t="s">
        <v>1714</v>
      </c>
      <c r="D213" s="210" t="s">
        <v>1534</v>
      </c>
    </row>
    <row r="214" spans="1:4" ht="105">
      <c r="A214" s="134">
        <v>197</v>
      </c>
      <c r="B214" s="157" t="s">
        <v>249</v>
      </c>
      <c r="C214" s="157" t="s">
        <v>1715</v>
      </c>
      <c r="D214" s="210" t="s">
        <v>1535</v>
      </c>
    </row>
    <row r="215" spans="1:4" ht="75">
      <c r="A215" s="134">
        <v>198</v>
      </c>
      <c r="B215" s="157" t="s">
        <v>249</v>
      </c>
      <c r="C215" s="157" t="s">
        <v>1716</v>
      </c>
      <c r="D215" s="210" t="s">
        <v>1525</v>
      </c>
    </row>
    <row r="216" spans="1:4" ht="60">
      <c r="A216" s="134">
        <v>199</v>
      </c>
      <c r="B216" s="157" t="s">
        <v>249</v>
      </c>
      <c r="C216" s="157" t="s">
        <v>1717</v>
      </c>
      <c r="D216" s="165" t="s">
        <v>1561</v>
      </c>
    </row>
    <row r="217" spans="1:4" ht="90">
      <c r="A217" s="134">
        <v>200</v>
      </c>
      <c r="B217" s="157" t="s">
        <v>249</v>
      </c>
      <c r="C217" s="157" t="s">
        <v>1718</v>
      </c>
      <c r="D217" s="165" t="s">
        <v>1536</v>
      </c>
    </row>
    <row r="218" spans="1:4" ht="90">
      <c r="A218" s="134">
        <v>201</v>
      </c>
      <c r="B218" s="157" t="s">
        <v>249</v>
      </c>
      <c r="C218" s="157" t="s">
        <v>1719</v>
      </c>
      <c r="D218" s="165" t="s">
        <v>1562</v>
      </c>
    </row>
    <row r="219" spans="1:4" ht="60">
      <c r="A219" s="134">
        <v>202</v>
      </c>
      <c r="B219" s="157" t="s">
        <v>249</v>
      </c>
      <c r="C219" s="157" t="s">
        <v>1720</v>
      </c>
      <c r="D219" s="165" t="s">
        <v>1539</v>
      </c>
    </row>
    <row r="220" spans="1:4" ht="45">
      <c r="A220" s="134">
        <v>203</v>
      </c>
      <c r="B220" s="157" t="s">
        <v>249</v>
      </c>
      <c r="C220" s="157" t="s">
        <v>1721</v>
      </c>
      <c r="D220" s="165" t="s">
        <v>1540</v>
      </c>
    </row>
    <row r="221" spans="1:4" ht="75">
      <c r="A221" s="134">
        <v>204</v>
      </c>
      <c r="B221" s="157" t="s">
        <v>249</v>
      </c>
      <c r="C221" s="157" t="s">
        <v>1722</v>
      </c>
      <c r="D221" s="165" t="s">
        <v>1399</v>
      </c>
    </row>
    <row r="222" spans="1:4" ht="45">
      <c r="A222" s="134">
        <v>205</v>
      </c>
      <c r="B222" s="157" t="s">
        <v>249</v>
      </c>
      <c r="C222" s="157" t="s">
        <v>1723</v>
      </c>
      <c r="D222" s="210" t="s">
        <v>262</v>
      </c>
    </row>
    <row r="223" spans="1:4" ht="63.75" customHeight="1">
      <c r="A223" s="134">
        <v>206</v>
      </c>
      <c r="B223" s="157" t="s">
        <v>249</v>
      </c>
      <c r="C223" s="158" t="s">
        <v>1999</v>
      </c>
      <c r="D223" s="210" t="s">
        <v>2015</v>
      </c>
    </row>
    <row r="224" spans="1:4" ht="30">
      <c r="A224" s="134">
        <v>207</v>
      </c>
      <c r="B224" s="157" t="s">
        <v>249</v>
      </c>
      <c r="C224" s="158" t="s">
        <v>1732</v>
      </c>
      <c r="D224" s="159" t="s">
        <v>1733</v>
      </c>
    </row>
    <row r="225" spans="1:4" ht="60">
      <c r="A225" s="134">
        <v>208</v>
      </c>
      <c r="B225" s="157" t="s">
        <v>249</v>
      </c>
      <c r="C225" s="158" t="s">
        <v>1887</v>
      </c>
      <c r="D225" s="159" t="s">
        <v>1888</v>
      </c>
    </row>
    <row r="226" spans="1:4" ht="60">
      <c r="A226" s="134">
        <v>209</v>
      </c>
      <c r="B226" s="157" t="s">
        <v>249</v>
      </c>
      <c r="C226" s="158" t="s">
        <v>1724</v>
      </c>
      <c r="D226" s="160" t="s">
        <v>1541</v>
      </c>
    </row>
    <row r="227" spans="1:4" ht="30">
      <c r="A227" s="134">
        <v>210</v>
      </c>
      <c r="B227" s="157" t="s">
        <v>249</v>
      </c>
      <c r="C227" s="158" t="s">
        <v>1725</v>
      </c>
      <c r="D227" s="160" t="s">
        <v>407</v>
      </c>
    </row>
    <row r="228" spans="1:4" ht="75">
      <c r="A228" s="134">
        <v>211</v>
      </c>
      <c r="B228" s="157" t="s">
        <v>249</v>
      </c>
      <c r="C228" s="161" t="s">
        <v>1829</v>
      </c>
      <c r="D228" s="160" t="s">
        <v>662</v>
      </c>
    </row>
    <row r="229" spans="1:4" ht="45">
      <c r="A229" s="134">
        <v>212</v>
      </c>
      <c r="B229" s="157" t="s">
        <v>249</v>
      </c>
      <c r="C229" s="161" t="s">
        <v>1830</v>
      </c>
      <c r="D229" s="159" t="s">
        <v>1566</v>
      </c>
    </row>
    <row r="230" spans="1:4" ht="45">
      <c r="A230" s="134">
        <v>213</v>
      </c>
      <c r="B230" s="157" t="s">
        <v>249</v>
      </c>
      <c r="C230" s="161" t="s">
        <v>1650</v>
      </c>
      <c r="D230" s="159" t="s">
        <v>1337</v>
      </c>
    </row>
    <row r="231" spans="1:4" ht="60">
      <c r="A231" s="134">
        <v>214</v>
      </c>
      <c r="B231" s="157" t="s">
        <v>249</v>
      </c>
      <c r="C231" s="158" t="s">
        <v>1651</v>
      </c>
      <c r="D231" s="160" t="s">
        <v>1338</v>
      </c>
    </row>
    <row r="232" spans="1:4" ht="45">
      <c r="A232" s="134">
        <v>215</v>
      </c>
      <c r="B232" s="157" t="s">
        <v>249</v>
      </c>
      <c r="C232" s="158" t="s">
        <v>1652</v>
      </c>
      <c r="D232" s="159" t="s">
        <v>1339</v>
      </c>
    </row>
    <row r="233" spans="1:4" ht="60">
      <c r="A233" s="134">
        <v>216</v>
      </c>
      <c r="B233" s="157" t="s">
        <v>249</v>
      </c>
      <c r="C233" s="158" t="s">
        <v>1653</v>
      </c>
      <c r="D233" s="160" t="s">
        <v>1548</v>
      </c>
    </row>
    <row r="234" spans="1:4" ht="90">
      <c r="A234" s="134">
        <v>217</v>
      </c>
      <c r="B234" s="157" t="s">
        <v>249</v>
      </c>
      <c r="C234" s="158" t="s">
        <v>1654</v>
      </c>
      <c r="D234" s="160" t="s">
        <v>1549</v>
      </c>
    </row>
    <row r="235" spans="1:4" ht="45">
      <c r="A235" s="134">
        <v>218</v>
      </c>
      <c r="B235" s="157" t="s">
        <v>249</v>
      </c>
      <c r="C235" s="158" t="s">
        <v>1655</v>
      </c>
      <c r="D235" s="159" t="s">
        <v>1340</v>
      </c>
    </row>
    <row r="236" spans="1:4" ht="45">
      <c r="A236" s="134">
        <v>219</v>
      </c>
      <c r="B236" s="157" t="s">
        <v>249</v>
      </c>
      <c r="C236" s="158" t="s">
        <v>1656</v>
      </c>
      <c r="D236" s="159" t="s">
        <v>1341</v>
      </c>
    </row>
    <row r="237" spans="1:4" ht="45">
      <c r="A237" s="134">
        <v>220</v>
      </c>
      <c r="B237" s="157" t="s">
        <v>249</v>
      </c>
      <c r="C237" s="158" t="s">
        <v>1657</v>
      </c>
      <c r="D237" s="159" t="s">
        <v>1574</v>
      </c>
    </row>
    <row r="238" spans="1:4" ht="30">
      <c r="A238" s="134">
        <v>221</v>
      </c>
      <c r="B238" s="157" t="s">
        <v>249</v>
      </c>
      <c r="C238" s="158" t="s">
        <v>1658</v>
      </c>
      <c r="D238" s="159" t="s">
        <v>1564</v>
      </c>
    </row>
    <row r="239" spans="1:4" ht="48.75" customHeight="1">
      <c r="A239" s="134">
        <v>222</v>
      </c>
      <c r="B239" s="157" t="s">
        <v>249</v>
      </c>
      <c r="C239" s="158" t="s">
        <v>1734</v>
      </c>
      <c r="D239" s="159" t="s">
        <v>1735</v>
      </c>
    </row>
    <row r="240" spans="1:4" ht="46.5" customHeight="1">
      <c r="A240" s="134">
        <v>223</v>
      </c>
      <c r="B240" s="157" t="s">
        <v>249</v>
      </c>
      <c r="C240" s="158" t="s">
        <v>1659</v>
      </c>
      <c r="D240" s="159" t="s">
        <v>1565</v>
      </c>
    </row>
    <row r="241" spans="1:4" ht="30">
      <c r="A241" s="134">
        <v>224</v>
      </c>
      <c r="B241" s="157" t="s">
        <v>249</v>
      </c>
      <c r="C241" s="158" t="s">
        <v>1660</v>
      </c>
      <c r="D241" s="159" t="s">
        <v>1342</v>
      </c>
    </row>
    <row r="242" spans="1:4" ht="60">
      <c r="A242" s="134">
        <v>225</v>
      </c>
      <c r="B242" s="157" t="s">
        <v>249</v>
      </c>
      <c r="C242" s="158" t="s">
        <v>1661</v>
      </c>
      <c r="D242" s="160" t="s">
        <v>1343</v>
      </c>
    </row>
    <row r="305" ht="15.75" customHeight="1"/>
  </sheetData>
  <autoFilter ref="A4:I317"/>
  <mergeCells count="15">
    <mergeCell ref="B133:D133"/>
    <mergeCell ref="B40:D40"/>
    <mergeCell ref="B35:D35"/>
    <mergeCell ref="B6:D6"/>
    <mergeCell ref="B10:D10"/>
    <mergeCell ref="B14:D14"/>
    <mergeCell ref="B31:D31"/>
    <mergeCell ref="A1:D1"/>
    <mergeCell ref="B127:D127"/>
    <mergeCell ref="B66:D66"/>
    <mergeCell ref="B107:D107"/>
    <mergeCell ref="A2:D2"/>
    <mergeCell ref="A3:D3"/>
    <mergeCell ref="A5:D5"/>
    <mergeCell ref="B82:D82"/>
  </mergeCells>
  <pageMargins left="0.98425196850393704" right="0.39370078740157483" top="0.39370078740157483" bottom="0.97" header="0.39370078740157483" footer="0.23622047244094491"/>
  <pageSetup paperSize="9" scale="57" fitToHeight="0" orientation="portrait" useFirstPageNumber="1" r:id="rId1"/>
  <headerFooter alignWithMargins="0"/>
</worksheet>
</file>

<file path=xl/worksheets/sheet20.xml><?xml version="1.0" encoding="utf-8"?>
<worksheet xmlns="http://schemas.openxmlformats.org/spreadsheetml/2006/main" xmlns:r="http://schemas.openxmlformats.org/officeDocument/2006/relationships">
  <sheetPr codeName="Лист16">
    <tabColor rgb="FF00B0F0"/>
  </sheetPr>
  <dimension ref="A1:D12"/>
  <sheetViews>
    <sheetView topLeftCell="A2" workbookViewId="0">
      <selection activeCell="A8" sqref="A8"/>
    </sheetView>
  </sheetViews>
  <sheetFormatPr defaultRowHeight="12.75"/>
  <cols>
    <col min="1" max="1" width="48.28515625" style="4" customWidth="1"/>
    <col min="2" max="2" width="17" style="4" customWidth="1"/>
    <col min="3" max="3" width="16" style="4" customWidth="1"/>
    <col min="4" max="4" width="14.7109375" style="4" customWidth="1"/>
    <col min="5" max="16384" width="9.140625" style="4"/>
  </cols>
  <sheetData>
    <row r="1" spans="1:4" ht="45.75" hidden="1" customHeight="1">
      <c r="A1" s="442" t="str">
        <f>"Приложение №"&amp;Н2займ&amp;"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2"/>
      <c r="C1" s="442"/>
      <c r="D1" s="442"/>
    </row>
    <row r="2" spans="1:4" ht="54.75" customHeight="1">
      <c r="A2" s="442" t="str">
        <f>"Приложение "&amp;Н1займ&amp;" к решению
Богучанского районного Совета депутатов
от "&amp;Р1дата&amp;" года №"&amp;Р1номер</f>
        <v>Приложение 13 к решению
Богучанского районного Совета депутатов
от 2020  года №</v>
      </c>
      <c r="B2" s="442"/>
      <c r="C2" s="442"/>
      <c r="D2" s="442"/>
    </row>
    <row r="3" spans="1:4" ht="64.5" customHeight="1">
      <c r="A3" s="502" t="str">
        <f>"Программа муниципальных внутренних заимствований районного бюджета за "&amp;год&amp;" год"</f>
        <v>Программа муниципальных внутренних заимствований районного бюджета за 2019 год</v>
      </c>
      <c r="B3" s="502"/>
      <c r="C3" s="502"/>
      <c r="D3" s="502"/>
    </row>
    <row r="4" spans="1:4" ht="18">
      <c r="A4" s="15"/>
      <c r="D4" s="10" t="s">
        <v>95</v>
      </c>
    </row>
    <row r="5" spans="1:4" s="17" customFormat="1" ht="28.5">
      <c r="A5" s="16" t="s">
        <v>217</v>
      </c>
      <c r="B5" s="16" t="s">
        <v>2086</v>
      </c>
      <c r="C5" s="16" t="s">
        <v>2087</v>
      </c>
      <c r="D5" s="16" t="s">
        <v>2085</v>
      </c>
    </row>
    <row r="6" spans="1:4" s="17" customFormat="1" ht="28.5">
      <c r="A6" s="18" t="s">
        <v>243</v>
      </c>
      <c r="B6" s="19">
        <f>B7-B8</f>
        <v>22000000</v>
      </c>
      <c r="C6" s="19">
        <f>C7-C8</f>
        <v>-16000000</v>
      </c>
      <c r="D6" s="19">
        <f>C6/B6*100</f>
        <v>-72.727272727272734</v>
      </c>
    </row>
    <row r="7" spans="1:4" s="17" customFormat="1" ht="14.25">
      <c r="A7" s="18" t="s">
        <v>735</v>
      </c>
      <c r="B7" s="19">
        <v>58000000</v>
      </c>
      <c r="C7" s="19">
        <v>0</v>
      </c>
      <c r="D7" s="19">
        <f t="shared" ref="D7:D11" si="0">C7/B7*100</f>
        <v>0</v>
      </c>
    </row>
    <row r="8" spans="1:4" ht="14.25">
      <c r="A8" s="18" t="s">
        <v>244</v>
      </c>
      <c r="B8" s="19">
        <v>36000000</v>
      </c>
      <c r="C8" s="19">
        <v>16000000</v>
      </c>
      <c r="D8" s="19">
        <f t="shared" si="0"/>
        <v>44.444444444444443</v>
      </c>
    </row>
    <row r="9" spans="1:4" ht="57">
      <c r="A9" s="18" t="s">
        <v>245</v>
      </c>
      <c r="B9" s="19">
        <f>B10-B11</f>
        <v>22000000</v>
      </c>
      <c r="C9" s="19">
        <f>C10-C11</f>
        <v>-16000000</v>
      </c>
      <c r="D9" s="19">
        <f t="shared" si="0"/>
        <v>-72.727272727272734</v>
      </c>
    </row>
    <row r="10" spans="1:4" ht="14.25">
      <c r="A10" s="18" t="s">
        <v>263</v>
      </c>
      <c r="B10" s="19">
        <v>58000000</v>
      </c>
      <c r="C10" s="19">
        <v>0</v>
      </c>
      <c r="D10" s="19">
        <f t="shared" si="0"/>
        <v>0</v>
      </c>
    </row>
    <row r="11" spans="1:4" ht="14.25">
      <c r="A11" s="18" t="s">
        <v>39</v>
      </c>
      <c r="B11" s="19">
        <v>36000000</v>
      </c>
      <c r="C11" s="19">
        <v>16000000</v>
      </c>
      <c r="D11" s="19">
        <f t="shared" si="0"/>
        <v>44.444444444444443</v>
      </c>
    </row>
    <row r="12" spans="1:4" ht="15">
      <c r="A12" s="20"/>
    </row>
  </sheetData>
  <mergeCells count="3">
    <mergeCell ref="A3:D3"/>
    <mergeCell ref="A2:D2"/>
    <mergeCell ref="A1:D1"/>
  </mergeCells>
  <phoneticPr fontId="3" type="noConversion"/>
  <pageMargins left="0.78740157480314965" right="0.35433070866141736" top="0.39370078740157483" bottom="0.39370078740157483" header="0.51181102362204722" footer="0.51181102362204722"/>
  <pageSetup paperSize="9" scale="95" orientation="portrait" r:id="rId1"/>
  <headerFooter alignWithMargins="0"/>
</worksheet>
</file>

<file path=xl/worksheets/sheet21.xml><?xml version="1.0" encoding="utf-8"?>
<worksheet xmlns="http://schemas.openxmlformats.org/spreadsheetml/2006/main" xmlns:r="http://schemas.openxmlformats.org/officeDocument/2006/relationships">
  <sheetPr>
    <tabColor rgb="FF00B0F0"/>
    <pageSetUpPr fitToPage="1"/>
  </sheetPr>
  <dimension ref="A1:G9"/>
  <sheetViews>
    <sheetView topLeftCell="A2" zoomScaleNormal="100" workbookViewId="0">
      <selection activeCell="J8" sqref="J8"/>
    </sheetView>
  </sheetViews>
  <sheetFormatPr defaultRowHeight="12.75"/>
  <cols>
    <col min="1" max="1" width="55.85546875" customWidth="1"/>
    <col min="2" max="2" width="18.5703125" hidden="1" customWidth="1"/>
    <col min="3" max="5" width="16.85546875" customWidth="1"/>
    <col min="6" max="6" width="19.5703125" customWidth="1"/>
    <col min="7" max="7" width="17" customWidth="1"/>
  </cols>
  <sheetData>
    <row r="1" spans="1:7" ht="47.25" hidden="1" customHeight="1">
      <c r="A1" s="442" t="str">
        <f>"Приложение №"&amp;Н2Пересел&amp;"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2"/>
      <c r="C1" s="442"/>
      <c r="D1" s="406"/>
      <c r="E1" s="406"/>
    </row>
    <row r="2" spans="1:7" ht="87" customHeight="1">
      <c r="A2" s="442" t="str">
        <f>"Приложение №"&amp;Н1Пересел&amp;" к решению
Богучанского районного Совета депутатов
от "&amp;Р1дата&amp;" года №"&amp;Р1номер</f>
        <v>Приложение №15 к решению
Богучанского районного Совета депутатов
от 2020  года №</v>
      </c>
      <c r="B2" s="442"/>
      <c r="C2" s="442"/>
      <c r="D2" s="442"/>
      <c r="E2" s="442"/>
      <c r="F2" s="55"/>
    </row>
    <row r="3" spans="1:7" ht="129" customHeight="1">
      <c r="A3" s="503" t="s">
        <v>2114</v>
      </c>
      <c r="B3" s="503"/>
      <c r="C3" s="503"/>
      <c r="D3" s="503"/>
      <c r="E3" s="503"/>
    </row>
    <row r="4" spans="1:7" ht="15.75" customHeight="1">
      <c r="A4" s="261"/>
      <c r="B4" s="10" t="s">
        <v>95</v>
      </c>
    </row>
    <row r="5" spans="1:7" ht="28.5">
      <c r="A5" s="24" t="s">
        <v>29</v>
      </c>
      <c r="B5" s="24" t="s">
        <v>664</v>
      </c>
      <c r="C5" s="24" t="s">
        <v>2086</v>
      </c>
      <c r="D5" s="24" t="s">
        <v>2087</v>
      </c>
      <c r="E5" s="24" t="s">
        <v>2085</v>
      </c>
    </row>
    <row r="6" spans="1:7" ht="15">
      <c r="A6" s="408" t="s">
        <v>96</v>
      </c>
      <c r="B6" s="269">
        <f>SUM(B7:B9)</f>
        <v>0</v>
      </c>
      <c r="C6" s="419">
        <f>SUM(C7:C9)</f>
        <v>2026900</v>
      </c>
      <c r="D6" s="419">
        <f>SUM(D7:D9)</f>
        <v>2026900</v>
      </c>
      <c r="E6" s="415">
        <f>D6/C6*100</f>
        <v>100</v>
      </c>
      <c r="F6">
        <v>1010009502</v>
      </c>
      <c r="G6">
        <v>1010009602</v>
      </c>
    </row>
    <row r="7" spans="1:7" ht="30">
      <c r="A7" s="421" t="s">
        <v>1993</v>
      </c>
      <c r="B7" s="270"/>
      <c r="C7" s="270">
        <v>350829</v>
      </c>
      <c r="D7" s="270">
        <v>350829</v>
      </c>
      <c r="E7" s="270">
        <f>D7/C7*100</f>
        <v>100</v>
      </c>
      <c r="F7" s="117">
        <f ca="1">SUMIF(РзПз,"????"&amp;F$6,СумВед)+SUMIF(РзПз,"????"&amp;G$6,СумВед)-B6</f>
        <v>0</v>
      </c>
    </row>
    <row r="8" spans="1:7" ht="30">
      <c r="A8" s="421" t="s">
        <v>1994</v>
      </c>
      <c r="B8" s="270"/>
      <c r="C8" s="270">
        <v>349171</v>
      </c>
      <c r="D8" s="270">
        <v>349171</v>
      </c>
      <c r="E8" s="270">
        <f t="shared" ref="E8:E9" si="0">D8/C8*100</f>
        <v>100</v>
      </c>
      <c r="F8" s="117"/>
    </row>
    <row r="9" spans="1:7" ht="30">
      <c r="A9" s="421" t="s">
        <v>1995</v>
      </c>
      <c r="B9" s="270"/>
      <c r="C9" s="270">
        <v>1326900</v>
      </c>
      <c r="D9" s="270">
        <v>1326900</v>
      </c>
      <c r="E9" s="270">
        <f t="shared" si="0"/>
        <v>100</v>
      </c>
    </row>
  </sheetData>
  <mergeCells count="3">
    <mergeCell ref="A1:C1"/>
    <mergeCell ref="A2:E2"/>
    <mergeCell ref="A3:E3"/>
  </mergeCells>
  <pageMargins left="0.70866141732283472" right="0.24" top="0.74803149606299213" bottom="0.74803149606299213" header="0.31496062992125984" footer="0.31496062992125984"/>
  <pageSetup paperSize="9" scale="89" orientation="portrait" r:id="rId1"/>
</worksheet>
</file>

<file path=xl/worksheets/sheet22.xml><?xml version="1.0" encoding="utf-8"?>
<worksheet xmlns="http://schemas.openxmlformats.org/spreadsheetml/2006/main" xmlns:r="http://schemas.openxmlformats.org/officeDocument/2006/relationships">
  <sheetPr>
    <tabColor rgb="FF00B0F0"/>
  </sheetPr>
  <dimension ref="A1:D24"/>
  <sheetViews>
    <sheetView topLeftCell="A2" workbookViewId="0">
      <selection activeCell="I19" sqref="I19"/>
    </sheetView>
  </sheetViews>
  <sheetFormatPr defaultRowHeight="12.75"/>
  <cols>
    <col min="1" max="1" width="48" customWidth="1"/>
    <col min="2" max="2" width="16" customWidth="1"/>
    <col min="3" max="3" width="16.140625" customWidth="1"/>
    <col min="4" max="4" width="11.140625" customWidth="1"/>
  </cols>
  <sheetData>
    <row r="1" spans="1:4" ht="60.75" hidden="1" customHeight="1">
      <c r="A1" s="442" t="str">
        <f>"Приложение №"&amp;Н2Дороги&amp;"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2"/>
    </row>
    <row r="2" spans="1:4" ht="56.25" customHeight="1">
      <c r="A2" s="442" t="str">
        <f>"Приложение №"&amp;Н1Дороги&amp;" к решению
Богучанского районного Совета депутатов
от "&amp;Р1дата&amp;" года №"&amp;Р1номер</f>
        <v>Приложение №16 к решению
Богучанского районного Совета депутатов
от 2020  года №</v>
      </c>
      <c r="B2" s="442"/>
      <c r="C2" s="442"/>
      <c r="D2" s="442"/>
    </row>
    <row r="3" spans="1:4" ht="144.75" customHeight="1">
      <c r="A3" s="503" t="s">
        <v>2115</v>
      </c>
      <c r="B3" s="503"/>
      <c r="C3" s="503"/>
      <c r="D3" s="503"/>
    </row>
    <row r="4" spans="1:4" ht="16.5" customHeight="1">
      <c r="A4" s="261"/>
      <c r="B4" s="10" t="s">
        <v>95</v>
      </c>
    </row>
    <row r="5" spans="1:4" ht="25.5">
      <c r="A5" s="24" t="s">
        <v>29</v>
      </c>
      <c r="B5" s="34" t="s">
        <v>2086</v>
      </c>
      <c r="C5" s="416" t="s">
        <v>2087</v>
      </c>
      <c r="D5" s="416" t="s">
        <v>2085</v>
      </c>
    </row>
    <row r="6" spans="1:4" ht="15">
      <c r="A6" s="334" t="s">
        <v>96</v>
      </c>
      <c r="B6" s="419">
        <f>SUM(B7:B24)</f>
        <v>7783900</v>
      </c>
      <c r="C6" s="419">
        <f>SUM(C7:C24)</f>
        <v>7783900</v>
      </c>
      <c r="D6" s="417">
        <f>C6/B6*100</f>
        <v>100</v>
      </c>
    </row>
    <row r="7" spans="1:4" ht="14.25">
      <c r="A7" s="335" t="s">
        <v>66</v>
      </c>
      <c r="B7" s="308">
        <v>350000</v>
      </c>
      <c r="C7" s="308">
        <v>350000</v>
      </c>
      <c r="D7" s="418">
        <f>C7/B7*100</f>
        <v>100</v>
      </c>
    </row>
    <row r="8" spans="1:4" ht="14.25">
      <c r="A8" s="335" t="s">
        <v>1202</v>
      </c>
      <c r="B8" s="308">
        <f>180000-70000</f>
        <v>110000</v>
      </c>
      <c r="C8" s="308">
        <f>180000-70000</f>
        <v>110000</v>
      </c>
      <c r="D8" s="418">
        <f t="shared" ref="D8:D24" si="0">C8/B8*100</f>
        <v>100</v>
      </c>
    </row>
    <row r="9" spans="1:4" ht="14.25">
      <c r="A9" s="335" t="s">
        <v>199</v>
      </c>
      <c r="B9" s="308">
        <v>130000</v>
      </c>
      <c r="C9" s="308">
        <v>130000</v>
      </c>
      <c r="D9" s="418">
        <f t="shared" si="0"/>
        <v>100</v>
      </c>
    </row>
    <row r="10" spans="1:4" ht="14.25">
      <c r="A10" s="335" t="s">
        <v>67</v>
      </c>
      <c r="B10" s="308">
        <f>2603900+70000</f>
        <v>2673900</v>
      </c>
      <c r="C10" s="308">
        <f>2603900+70000</f>
        <v>2673900</v>
      </c>
      <c r="D10" s="418">
        <f t="shared" si="0"/>
        <v>100</v>
      </c>
    </row>
    <row r="11" spans="1:4" ht="14.25">
      <c r="A11" s="335" t="s">
        <v>68</v>
      </c>
      <c r="B11" s="308">
        <v>120000</v>
      </c>
      <c r="C11" s="308">
        <v>120000</v>
      </c>
      <c r="D11" s="418">
        <f t="shared" si="0"/>
        <v>100</v>
      </c>
    </row>
    <row r="12" spans="1:4" ht="28.5">
      <c r="A12" s="335" t="s">
        <v>275</v>
      </c>
      <c r="B12" s="308">
        <v>450000</v>
      </c>
      <c r="C12" s="308">
        <v>450000</v>
      </c>
      <c r="D12" s="418">
        <f t="shared" si="0"/>
        <v>100</v>
      </c>
    </row>
    <row r="13" spans="1:4" ht="14.25">
      <c r="A13" s="335" t="s">
        <v>1203</v>
      </c>
      <c r="B13" s="308">
        <v>350000</v>
      </c>
      <c r="C13" s="308">
        <v>350000</v>
      </c>
      <c r="D13" s="418">
        <f t="shared" si="0"/>
        <v>100</v>
      </c>
    </row>
    <row r="14" spans="1:4" ht="14.25">
      <c r="A14" s="335" t="s">
        <v>168</v>
      </c>
      <c r="B14" s="308">
        <v>280000</v>
      </c>
      <c r="C14" s="308">
        <v>280000</v>
      </c>
      <c r="D14" s="418">
        <f t="shared" si="0"/>
        <v>100</v>
      </c>
    </row>
    <row r="15" spans="1:4" ht="14.25">
      <c r="A15" s="335" t="s">
        <v>109</v>
      </c>
      <c r="B15" s="308">
        <v>200000</v>
      </c>
      <c r="C15" s="308">
        <v>200000</v>
      </c>
      <c r="D15" s="418">
        <f t="shared" si="0"/>
        <v>100</v>
      </c>
    </row>
    <row r="16" spans="1:4" ht="14.25">
      <c r="A16" s="335" t="s">
        <v>169</v>
      </c>
      <c r="B16" s="308">
        <v>200000</v>
      </c>
      <c r="C16" s="308">
        <v>200000</v>
      </c>
      <c r="D16" s="418">
        <f t="shared" si="0"/>
        <v>100</v>
      </c>
    </row>
    <row r="17" spans="1:4" ht="14.25">
      <c r="A17" s="335" t="s">
        <v>1204</v>
      </c>
      <c r="B17" s="308">
        <v>200000</v>
      </c>
      <c r="C17" s="308">
        <v>200000</v>
      </c>
      <c r="D17" s="418">
        <f t="shared" si="0"/>
        <v>100</v>
      </c>
    </row>
    <row r="18" spans="1:4" ht="14.25">
      <c r="A18" s="335" t="s">
        <v>111</v>
      </c>
      <c r="B18" s="308">
        <v>400000</v>
      </c>
      <c r="C18" s="308">
        <v>400000</v>
      </c>
      <c r="D18" s="418">
        <f t="shared" si="0"/>
        <v>100</v>
      </c>
    </row>
    <row r="19" spans="1:4" ht="14.25">
      <c r="A19" s="335" t="s">
        <v>110</v>
      </c>
      <c r="B19" s="308">
        <v>350000</v>
      </c>
      <c r="C19" s="308">
        <v>350000</v>
      </c>
      <c r="D19" s="418">
        <f t="shared" si="0"/>
        <v>100</v>
      </c>
    </row>
    <row r="20" spans="1:4" ht="14.25">
      <c r="A20" s="335" t="s">
        <v>1205</v>
      </c>
      <c r="B20" s="308">
        <v>150000</v>
      </c>
      <c r="C20" s="308">
        <v>150000</v>
      </c>
      <c r="D20" s="418">
        <f t="shared" si="0"/>
        <v>100</v>
      </c>
    </row>
    <row r="21" spans="1:4" ht="14.25">
      <c r="A21" s="335" t="s">
        <v>112</v>
      </c>
      <c r="B21" s="308">
        <v>1090000</v>
      </c>
      <c r="C21" s="308">
        <v>1090000</v>
      </c>
      <c r="D21" s="418">
        <f t="shared" si="0"/>
        <v>100</v>
      </c>
    </row>
    <row r="22" spans="1:4" ht="14.25">
      <c r="A22" s="335" t="s">
        <v>171</v>
      </c>
      <c r="B22" s="308">
        <v>180000</v>
      </c>
      <c r="C22" s="308">
        <v>180000</v>
      </c>
      <c r="D22" s="418">
        <f t="shared" si="0"/>
        <v>100</v>
      </c>
    </row>
    <row r="23" spans="1:4" ht="14.25">
      <c r="A23" s="335" t="s">
        <v>172</v>
      </c>
      <c r="B23" s="308">
        <v>350000</v>
      </c>
      <c r="C23" s="308">
        <v>350000</v>
      </c>
      <c r="D23" s="418">
        <f t="shared" si="0"/>
        <v>100</v>
      </c>
    </row>
    <row r="24" spans="1:4" ht="14.25">
      <c r="A24" s="335" t="s">
        <v>114</v>
      </c>
      <c r="B24" s="308">
        <v>200000</v>
      </c>
      <c r="C24" s="308">
        <v>200000</v>
      </c>
      <c r="D24" s="418">
        <f t="shared" si="0"/>
        <v>100</v>
      </c>
    </row>
  </sheetData>
  <mergeCells count="3">
    <mergeCell ref="A1:B1"/>
    <mergeCell ref="A2:D2"/>
    <mergeCell ref="A3:D3"/>
  </mergeCells>
  <pageMargins left="0.7" right="0.24"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sheetPr>
    <tabColor rgb="FF00B0F0"/>
  </sheetPr>
  <dimension ref="A1:E12"/>
  <sheetViews>
    <sheetView topLeftCell="A2" workbookViewId="0">
      <selection activeCell="I10" sqref="I10"/>
    </sheetView>
  </sheetViews>
  <sheetFormatPr defaultRowHeight="12.75"/>
  <cols>
    <col min="1" max="1" width="45.28515625" customWidth="1"/>
    <col min="2" max="2" width="17.5703125" hidden="1" customWidth="1"/>
    <col min="3" max="3" width="15.42578125" customWidth="1"/>
    <col min="4" max="4" width="14" customWidth="1"/>
    <col min="5" max="5" width="10.85546875" customWidth="1"/>
  </cols>
  <sheetData>
    <row r="1" spans="1:5" ht="64.5" hidden="1" customHeight="1">
      <c r="A1" s="442" t="str">
        <f>"Приложение №"&amp;Н2доркап&amp;"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2"/>
      <c r="C1" s="442"/>
    </row>
    <row r="2" spans="1:5" ht="54.75" customHeight="1">
      <c r="A2" s="442" t="str">
        <f>"Приложение №"&amp;Н1доркап&amp;" к решению
Богучанского районного Совета депутатов
от "&amp;Р1дата&amp;" года №"&amp;Р1номер</f>
        <v>Приложение №17 к решению
Богучанского районного Совета депутатов
от 2020  года №</v>
      </c>
      <c r="B2" s="442"/>
      <c r="C2" s="442"/>
      <c r="D2" s="442"/>
      <c r="E2" s="442"/>
    </row>
    <row r="3" spans="1:5" ht="165" customHeight="1">
      <c r="A3" s="504" t="s">
        <v>2116</v>
      </c>
      <c r="B3" s="504"/>
      <c r="C3" s="504"/>
      <c r="D3" s="504"/>
      <c r="E3" s="504"/>
    </row>
    <row r="4" spans="1:5">
      <c r="A4" s="198"/>
      <c r="B4" s="198"/>
      <c r="C4" s="198"/>
    </row>
    <row r="5" spans="1:5" ht="33.75" customHeight="1">
      <c r="A5" s="304" t="s">
        <v>29</v>
      </c>
      <c r="B5" s="265" t="s">
        <v>47</v>
      </c>
      <c r="C5" s="407" t="s">
        <v>2086</v>
      </c>
      <c r="D5" s="416" t="s">
        <v>2087</v>
      </c>
      <c r="E5" s="416" t="s">
        <v>2085</v>
      </c>
    </row>
    <row r="6" spans="1:5" ht="15">
      <c r="A6" s="268" t="s">
        <v>1206</v>
      </c>
      <c r="B6" s="266"/>
      <c r="C6" s="309">
        <f>SUM(C7:C12)</f>
        <v>21331000</v>
      </c>
      <c r="D6" s="309">
        <f>SUM(D7:D12)</f>
        <v>21330999.579999998</v>
      </c>
      <c r="E6" s="417">
        <f>D6/C6*100</f>
        <v>99.999998031034636</v>
      </c>
    </row>
    <row r="7" spans="1:5" ht="14.25">
      <c r="A7" s="359" t="s">
        <v>1202</v>
      </c>
      <c r="B7" s="308">
        <v>1000000</v>
      </c>
      <c r="C7" s="282">
        <v>767080.37</v>
      </c>
      <c r="D7" s="282">
        <v>767080.37</v>
      </c>
      <c r="E7" s="418">
        <f t="shared" ref="E7:E12" si="0">D7/C7*100</f>
        <v>100</v>
      </c>
    </row>
    <row r="8" spans="1:5" ht="14.25">
      <c r="A8" s="359" t="s">
        <v>67</v>
      </c>
      <c r="B8" s="308">
        <v>1000000</v>
      </c>
      <c r="C8" s="282">
        <v>11198419.630000001</v>
      </c>
      <c r="D8" s="282">
        <v>11198419.630000001</v>
      </c>
      <c r="E8" s="418">
        <f t="shared" si="0"/>
        <v>100</v>
      </c>
    </row>
    <row r="9" spans="1:5" ht="14.25">
      <c r="A9" s="359" t="s">
        <v>68</v>
      </c>
      <c r="B9" s="308">
        <v>12000000</v>
      </c>
      <c r="C9" s="360">
        <v>1000000</v>
      </c>
      <c r="D9" s="282">
        <v>1000000</v>
      </c>
      <c r="E9" s="418">
        <f t="shared" si="0"/>
        <v>100</v>
      </c>
    </row>
    <row r="10" spans="1:5" ht="14.25">
      <c r="A10" s="359" t="s">
        <v>110</v>
      </c>
      <c r="B10" s="308">
        <v>2000000</v>
      </c>
      <c r="C10" s="360">
        <v>1600000</v>
      </c>
      <c r="D10" s="282">
        <v>1599999.58</v>
      </c>
      <c r="E10" s="418">
        <f t="shared" si="0"/>
        <v>99.999973750000009</v>
      </c>
    </row>
    <row r="11" spans="1:5" ht="14.25">
      <c r="A11" s="359" t="s">
        <v>1869</v>
      </c>
      <c r="B11" s="308">
        <v>1500000</v>
      </c>
      <c r="C11" s="360">
        <v>5165500</v>
      </c>
      <c r="D11" s="282">
        <v>5165500</v>
      </c>
      <c r="E11" s="418">
        <f t="shared" si="0"/>
        <v>100</v>
      </c>
    </row>
    <row r="12" spans="1:5" ht="14.25">
      <c r="A12" s="359" t="s">
        <v>172</v>
      </c>
      <c r="B12" s="308"/>
      <c r="C12" s="360">
        <v>1600000</v>
      </c>
      <c r="D12" s="282">
        <v>1600000</v>
      </c>
      <c r="E12" s="418">
        <f t="shared" si="0"/>
        <v>100</v>
      </c>
    </row>
  </sheetData>
  <mergeCells count="3">
    <mergeCell ref="A1:C1"/>
    <mergeCell ref="A2:E2"/>
    <mergeCell ref="A3:E3"/>
  </mergeCells>
  <pageMargins left="0.7" right="0.24"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sheetPr>
    <tabColor rgb="FF00B0F0"/>
  </sheetPr>
  <dimension ref="A1:E26"/>
  <sheetViews>
    <sheetView topLeftCell="A2" workbookViewId="0">
      <selection activeCell="F17" sqref="F17"/>
    </sheetView>
  </sheetViews>
  <sheetFormatPr defaultRowHeight="12.75"/>
  <cols>
    <col min="1" max="1" width="47.7109375" customWidth="1"/>
    <col min="2" max="2" width="17.140625" customWidth="1"/>
    <col min="3" max="3" width="17" customWidth="1"/>
    <col min="5" max="5" width="11.140625" bestFit="1" customWidth="1"/>
  </cols>
  <sheetData>
    <row r="1" spans="1:5" ht="52.5" hidden="1" customHeight="1">
      <c r="A1" s="442" t="str">
        <f>"Приложение №"&amp;H2пожар&amp;"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2"/>
      <c r="C1" s="406"/>
    </row>
    <row r="2" spans="1:5" ht="47.25" customHeight="1">
      <c r="A2" s="442" t="str">
        <f>"Приложение №"&amp;Н1пожар&amp;" к решению
Богучанского районного Совета депутатов
от "&amp;Р1дата&amp;" года №"&amp;Р1номер</f>
        <v>Приложение №19 к решению
Богучанского районного Совета депутатов
от 2020  года №</v>
      </c>
      <c r="B2" s="442"/>
      <c r="C2" s="442"/>
      <c r="D2" s="442"/>
    </row>
    <row r="3" spans="1:5" ht="106.5" customHeight="1">
      <c r="A3" s="505" t="s">
        <v>1428</v>
      </c>
      <c r="B3" s="505"/>
      <c r="C3" s="505"/>
      <c r="D3" s="505"/>
    </row>
    <row r="4" spans="1:5" ht="25.5" customHeight="1">
      <c r="A4" s="505" t="str">
        <f>"природного и техногенного характера»  за "&amp;год&amp;" год "</f>
        <v xml:space="preserve">природного и техногенного характера»  за 2019 год </v>
      </c>
      <c r="B4" s="505"/>
      <c r="C4" s="505"/>
      <c r="D4" s="505"/>
    </row>
    <row r="5" spans="1:5" ht="20.25">
      <c r="A5" s="272"/>
      <c r="C5" s="10"/>
      <c r="D5" s="10" t="s">
        <v>95</v>
      </c>
    </row>
    <row r="6" spans="1:5" ht="42.75">
      <c r="A6" s="24" t="s">
        <v>29</v>
      </c>
      <c r="B6" s="24" t="s">
        <v>2086</v>
      </c>
      <c r="C6" s="24" t="s">
        <v>2087</v>
      </c>
      <c r="D6" s="355" t="s">
        <v>2117</v>
      </c>
      <c r="E6" s="237" t="s">
        <v>1421</v>
      </c>
    </row>
    <row r="7" spans="1:5" ht="15">
      <c r="A7" s="273" t="s">
        <v>96</v>
      </c>
      <c r="B7" s="269">
        <f>SUM(B8:B25)</f>
        <v>1760357</v>
      </c>
      <c r="C7" s="269">
        <f>SUM(C8:C25)</f>
        <v>1760357</v>
      </c>
      <c r="D7" s="418">
        <f>C7/B7*100</f>
        <v>100</v>
      </c>
      <c r="E7" s="117">
        <f ca="1">SUMIF(РзПз,"????0420074120",СумВед)-B7</f>
        <v>3644</v>
      </c>
    </row>
    <row r="8" spans="1:5" ht="14.25">
      <c r="A8" s="43" t="s">
        <v>66</v>
      </c>
      <c r="B8" s="307">
        <v>76446</v>
      </c>
      <c r="C8" s="307">
        <v>76446</v>
      </c>
      <c r="D8" s="418">
        <f t="shared" ref="D8:D25" si="0">C8/B8*100</f>
        <v>100</v>
      </c>
    </row>
    <row r="9" spans="1:5" ht="14.25">
      <c r="A9" s="43" t="s">
        <v>107</v>
      </c>
      <c r="B9" s="307">
        <v>26464</v>
      </c>
      <c r="C9" s="307">
        <v>26464</v>
      </c>
      <c r="D9" s="418">
        <f t="shared" si="0"/>
        <v>100</v>
      </c>
    </row>
    <row r="10" spans="1:5" ht="14.25">
      <c r="A10" s="43" t="s">
        <v>199</v>
      </c>
      <c r="B10" s="307">
        <v>9378</v>
      </c>
      <c r="C10" s="307">
        <v>9378</v>
      </c>
      <c r="D10" s="418">
        <f t="shared" si="0"/>
        <v>100</v>
      </c>
    </row>
    <row r="11" spans="1:5" ht="14.25">
      <c r="A11" s="44" t="s">
        <v>67</v>
      </c>
      <c r="B11" s="307">
        <v>431939</v>
      </c>
      <c r="C11" s="307">
        <v>431939</v>
      </c>
      <c r="D11" s="418">
        <f t="shared" si="0"/>
        <v>100</v>
      </c>
    </row>
    <row r="12" spans="1:5" ht="14.25">
      <c r="A12" s="44" t="s">
        <v>68</v>
      </c>
      <c r="B12" s="307">
        <v>27898</v>
      </c>
      <c r="C12" s="307">
        <v>27898</v>
      </c>
      <c r="D12" s="418">
        <f t="shared" si="0"/>
        <v>100</v>
      </c>
    </row>
    <row r="13" spans="1:5" ht="14.25">
      <c r="A13" s="44" t="s">
        <v>275</v>
      </c>
      <c r="B13" s="307">
        <v>127824</v>
      </c>
      <c r="C13" s="307">
        <v>127824</v>
      </c>
      <c r="D13" s="418">
        <f t="shared" si="0"/>
        <v>100</v>
      </c>
    </row>
    <row r="14" spans="1:5" ht="14.25">
      <c r="A14" s="44" t="s">
        <v>108</v>
      </c>
      <c r="B14" s="307">
        <v>70944</v>
      </c>
      <c r="C14" s="307">
        <v>70944</v>
      </c>
      <c r="D14" s="418">
        <f t="shared" si="0"/>
        <v>100</v>
      </c>
    </row>
    <row r="15" spans="1:5" ht="14.25">
      <c r="A15" s="44" t="s">
        <v>168</v>
      </c>
      <c r="B15" s="307">
        <v>62730</v>
      </c>
      <c r="C15" s="307">
        <v>62730</v>
      </c>
      <c r="D15" s="418">
        <f t="shared" si="0"/>
        <v>100</v>
      </c>
    </row>
    <row r="16" spans="1:5" ht="14.25">
      <c r="A16" s="44" t="s">
        <v>169</v>
      </c>
      <c r="B16" s="307">
        <v>19683</v>
      </c>
      <c r="C16" s="307">
        <v>19683</v>
      </c>
      <c r="D16" s="418">
        <f t="shared" si="0"/>
        <v>100</v>
      </c>
    </row>
    <row r="17" spans="1:4" ht="14.25">
      <c r="A17" s="44" t="s">
        <v>109</v>
      </c>
      <c r="B17" s="307">
        <v>47852</v>
      </c>
      <c r="C17" s="307">
        <v>47852</v>
      </c>
      <c r="D17" s="418">
        <f t="shared" si="0"/>
        <v>100</v>
      </c>
    </row>
    <row r="18" spans="1:4" ht="14.25">
      <c r="A18" s="44" t="s">
        <v>111</v>
      </c>
      <c r="B18" s="307">
        <v>218451</v>
      </c>
      <c r="C18" s="307">
        <v>218451</v>
      </c>
      <c r="D18" s="418">
        <f t="shared" si="0"/>
        <v>100</v>
      </c>
    </row>
    <row r="19" spans="1:4" ht="14.25">
      <c r="A19" s="335" t="s">
        <v>1204</v>
      </c>
      <c r="B19" s="307">
        <v>59631</v>
      </c>
      <c r="C19" s="307">
        <v>59631</v>
      </c>
      <c r="D19" s="418">
        <f t="shared" si="0"/>
        <v>100</v>
      </c>
    </row>
    <row r="20" spans="1:4" ht="14.25">
      <c r="A20" s="44" t="s">
        <v>110</v>
      </c>
      <c r="B20" s="307">
        <v>90395</v>
      </c>
      <c r="C20" s="307">
        <v>90395</v>
      </c>
      <c r="D20" s="418">
        <f t="shared" si="0"/>
        <v>100</v>
      </c>
    </row>
    <row r="21" spans="1:4" ht="28.5">
      <c r="A21" s="306" t="s">
        <v>1427</v>
      </c>
      <c r="B21" s="307">
        <v>249564</v>
      </c>
      <c r="C21" s="307">
        <v>249564</v>
      </c>
      <c r="D21" s="418">
        <f t="shared" si="0"/>
        <v>100</v>
      </c>
    </row>
    <row r="22" spans="1:4" ht="14.25">
      <c r="A22" s="44" t="s">
        <v>113</v>
      </c>
      <c r="B22" s="307">
        <v>26658</v>
      </c>
      <c r="C22" s="307">
        <v>26658</v>
      </c>
      <c r="D22" s="418">
        <f t="shared" si="0"/>
        <v>100</v>
      </c>
    </row>
    <row r="23" spans="1:4" ht="14.25">
      <c r="A23" s="44" t="s">
        <v>171</v>
      </c>
      <c r="B23" s="307">
        <v>57732</v>
      </c>
      <c r="C23" s="307">
        <v>57732</v>
      </c>
      <c r="D23" s="418">
        <f t="shared" si="0"/>
        <v>100</v>
      </c>
    </row>
    <row r="24" spans="1:4" ht="14.25">
      <c r="A24" s="44" t="s">
        <v>172</v>
      </c>
      <c r="B24" s="307">
        <v>117750</v>
      </c>
      <c r="C24" s="307">
        <v>117750</v>
      </c>
      <c r="D24" s="418">
        <f t="shared" si="0"/>
        <v>100</v>
      </c>
    </row>
    <row r="25" spans="1:4" ht="14.25">
      <c r="A25" s="44" t="s">
        <v>114</v>
      </c>
      <c r="B25" s="307">
        <v>39018</v>
      </c>
      <c r="C25" s="307">
        <v>39018</v>
      </c>
      <c r="D25" s="418">
        <f t="shared" si="0"/>
        <v>100</v>
      </c>
    </row>
    <row r="26" spans="1:4" ht="14.25">
      <c r="A26" s="305"/>
    </row>
  </sheetData>
  <mergeCells count="4">
    <mergeCell ref="A1:B1"/>
    <mergeCell ref="A2:D2"/>
    <mergeCell ref="A3:D3"/>
    <mergeCell ref="A4:D4"/>
  </mergeCells>
  <pageMargins left="0.7" right="0.24"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sheetPr>
    <tabColor rgb="FF00B0F0"/>
  </sheetPr>
  <dimension ref="A1:G29"/>
  <sheetViews>
    <sheetView topLeftCell="A2" workbookViewId="0">
      <selection activeCell="M24" sqref="M24"/>
    </sheetView>
  </sheetViews>
  <sheetFormatPr defaultRowHeight="12.75"/>
  <cols>
    <col min="1" max="1" width="5.5703125" customWidth="1"/>
    <col min="2" max="2" width="58.85546875" customWidth="1"/>
    <col min="3" max="3" width="15" style="367" customWidth="1"/>
    <col min="4" max="4" width="17.42578125" customWidth="1"/>
    <col min="5" max="5" width="18.5703125" customWidth="1"/>
    <col min="6" max="6" width="0" hidden="1" customWidth="1"/>
    <col min="7" max="7" width="5" customWidth="1"/>
  </cols>
  <sheetData>
    <row r="1" spans="1:7" ht="45" hidden="1" customHeight="1">
      <c r="B1" s="442" t="str">
        <f>"Приложение №"&amp;Н2софин&amp;"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C1" s="442"/>
      <c r="D1" s="442"/>
      <c r="E1" s="442"/>
    </row>
    <row r="2" spans="1:7" ht="39.75" customHeight="1">
      <c r="B2" s="442" t="str">
        <f>"Приложение "&amp;Н1софин&amp;" к решению
Богучанского районного Совета депутатов
от "&amp;Р1дата&amp;" года №"&amp;Р1номер</f>
        <v>Приложение 18 к решению
Богучанского районного Совета депутатов
от 2020  года №</v>
      </c>
      <c r="C2" s="442"/>
      <c r="D2" s="442"/>
      <c r="E2" s="442"/>
    </row>
    <row r="3" spans="1:7" ht="35.25" customHeight="1">
      <c r="B3" s="441" t="str">
        <f>"Долевое финансирование мероприятий выделенных из
 краевого бюджета за  "&amp;год&amp;" год "</f>
        <v xml:space="preserve">Долевое финансирование мероприятий выделенных из
 краевого бюджета за  2019 год </v>
      </c>
      <c r="C3" s="441"/>
      <c r="D3" s="441"/>
      <c r="E3" s="441"/>
      <c r="F3" s="441"/>
    </row>
    <row r="4" spans="1:7" ht="20.25">
      <c r="B4" s="271"/>
      <c r="C4" s="366"/>
      <c r="D4" s="275"/>
      <c r="E4" s="10" t="s">
        <v>95</v>
      </c>
    </row>
    <row r="5" spans="1:7" ht="28.5">
      <c r="A5" s="354"/>
      <c r="B5" s="355" t="s">
        <v>29</v>
      </c>
      <c r="C5" s="355" t="s">
        <v>2106</v>
      </c>
      <c r="D5" s="355" t="s">
        <v>2087</v>
      </c>
      <c r="E5" s="355" t="s">
        <v>2085</v>
      </c>
    </row>
    <row r="6" spans="1:7" ht="15">
      <c r="A6" s="354"/>
      <c r="B6" s="356" t="s">
        <v>96</v>
      </c>
      <c r="C6" s="357">
        <f>SUM(C7:C29)</f>
        <v>3118227.21</v>
      </c>
      <c r="D6" s="357">
        <f>SUM(D7:D29)</f>
        <v>3091605.21</v>
      </c>
      <c r="E6" s="357">
        <f>D6/C6*100</f>
        <v>99.146245664375428</v>
      </c>
      <c r="G6" s="118"/>
    </row>
    <row r="7" spans="1:7" ht="75.75" customHeight="1">
      <c r="A7" s="345">
        <v>1</v>
      </c>
      <c r="B7" s="358" t="s">
        <v>1580</v>
      </c>
      <c r="C7" s="427">
        <v>182</v>
      </c>
      <c r="D7" s="427">
        <v>182</v>
      </c>
      <c r="E7" s="428">
        <f t="shared" ref="E7:E29" si="0">D7/C7*100</f>
        <v>100</v>
      </c>
    </row>
    <row r="8" spans="1:7" ht="63.75">
      <c r="A8" s="345">
        <v>2</v>
      </c>
      <c r="B8" s="358" t="s">
        <v>1584</v>
      </c>
      <c r="C8" s="427">
        <f>1400+280</f>
        <v>1680</v>
      </c>
      <c r="D8" s="427">
        <v>1680</v>
      </c>
      <c r="E8" s="428">
        <f t="shared" si="0"/>
        <v>100</v>
      </c>
    </row>
    <row r="9" spans="1:7" ht="102">
      <c r="A9" s="345">
        <v>3</v>
      </c>
      <c r="B9" s="329" t="s">
        <v>1907</v>
      </c>
      <c r="C9" s="427">
        <v>809896.87</v>
      </c>
      <c r="D9" s="427">
        <v>809896.87</v>
      </c>
      <c r="E9" s="428">
        <f t="shared" si="0"/>
        <v>100</v>
      </c>
    </row>
    <row r="10" spans="1:7" ht="178.5">
      <c r="A10" s="345">
        <v>4</v>
      </c>
      <c r="B10" s="329" t="s">
        <v>1911</v>
      </c>
      <c r="C10" s="427">
        <v>264511.34000000003</v>
      </c>
      <c r="D10" s="427">
        <v>264511.34000000003</v>
      </c>
      <c r="E10" s="428">
        <f t="shared" si="0"/>
        <v>100</v>
      </c>
    </row>
    <row r="11" spans="1:7" ht="76.5">
      <c r="A11" s="345">
        <v>5</v>
      </c>
      <c r="B11" s="358" t="s">
        <v>1594</v>
      </c>
      <c r="C11" s="427">
        <f>26600+22</f>
        <v>26622</v>
      </c>
      <c r="D11" s="429">
        <v>0</v>
      </c>
      <c r="E11" s="428">
        <f t="shared" si="0"/>
        <v>0</v>
      </c>
    </row>
    <row r="12" spans="1:7" ht="89.25">
      <c r="A12" s="345">
        <v>6</v>
      </c>
      <c r="B12" s="329" t="s">
        <v>1920</v>
      </c>
      <c r="C12" s="427">
        <v>6800</v>
      </c>
      <c r="D12" s="429">
        <v>6800</v>
      </c>
      <c r="E12" s="428">
        <f t="shared" si="0"/>
        <v>100</v>
      </c>
    </row>
    <row r="13" spans="1:7" ht="89.25">
      <c r="A13" s="345">
        <v>7</v>
      </c>
      <c r="B13" s="329" t="s">
        <v>1922</v>
      </c>
      <c r="C13" s="427">
        <v>10000</v>
      </c>
      <c r="D13" s="429">
        <v>10000</v>
      </c>
      <c r="E13" s="428">
        <f t="shared" si="0"/>
        <v>100</v>
      </c>
    </row>
    <row r="14" spans="1:7" ht="51">
      <c r="A14" s="345">
        <v>8</v>
      </c>
      <c r="B14" s="329" t="s">
        <v>608</v>
      </c>
      <c r="C14" s="427">
        <v>74200</v>
      </c>
      <c r="D14" s="429">
        <v>74200</v>
      </c>
      <c r="E14" s="428">
        <f t="shared" si="0"/>
        <v>100</v>
      </c>
    </row>
    <row r="15" spans="1:7" ht="89.25">
      <c r="A15" s="345">
        <v>9</v>
      </c>
      <c r="B15" s="329" t="s">
        <v>1922</v>
      </c>
      <c r="C15" s="427">
        <v>2200</v>
      </c>
      <c r="D15" s="429">
        <v>2200</v>
      </c>
      <c r="E15" s="428">
        <f t="shared" si="0"/>
        <v>100</v>
      </c>
    </row>
    <row r="16" spans="1:7" ht="38.25">
      <c r="A16" s="345">
        <v>10</v>
      </c>
      <c r="B16" s="329" t="s">
        <v>1926</v>
      </c>
      <c r="C16" s="427">
        <v>14400</v>
      </c>
      <c r="D16" s="429">
        <v>14400</v>
      </c>
      <c r="E16" s="428">
        <f t="shared" si="0"/>
        <v>100</v>
      </c>
    </row>
    <row r="17" spans="1:5" ht="89.25">
      <c r="A17" s="345">
        <v>11</v>
      </c>
      <c r="B17" s="329" t="s">
        <v>1930</v>
      </c>
      <c r="C17" s="427">
        <v>23446</v>
      </c>
      <c r="D17" s="429">
        <v>23446</v>
      </c>
      <c r="E17" s="428">
        <f t="shared" si="0"/>
        <v>100</v>
      </c>
    </row>
    <row r="18" spans="1:5" ht="63.75">
      <c r="A18" s="345">
        <v>12</v>
      </c>
      <c r="B18" s="54" t="s">
        <v>1939</v>
      </c>
      <c r="C18" s="427">
        <v>1158</v>
      </c>
      <c r="D18" s="429">
        <v>1158</v>
      </c>
      <c r="E18" s="428">
        <f t="shared" si="0"/>
        <v>100</v>
      </c>
    </row>
    <row r="19" spans="1:5" ht="76.5" customHeight="1">
      <c r="A19" s="345">
        <v>13</v>
      </c>
      <c r="B19" s="358" t="s">
        <v>456</v>
      </c>
      <c r="C19" s="427">
        <v>212480</v>
      </c>
      <c r="D19" s="427">
        <v>212480</v>
      </c>
      <c r="E19" s="428">
        <f t="shared" si="0"/>
        <v>100</v>
      </c>
    </row>
    <row r="20" spans="1:5" ht="76.5" customHeight="1">
      <c r="A20" s="345">
        <v>14</v>
      </c>
      <c r="B20" s="54" t="s">
        <v>1937</v>
      </c>
      <c r="C20" s="427">
        <v>318000</v>
      </c>
      <c r="D20" s="427">
        <v>318000</v>
      </c>
      <c r="E20" s="428">
        <f t="shared" si="0"/>
        <v>100</v>
      </c>
    </row>
    <row r="21" spans="1:5" ht="74.25" customHeight="1">
      <c r="A21" s="345">
        <v>15</v>
      </c>
      <c r="B21" s="358" t="s">
        <v>1934</v>
      </c>
      <c r="C21" s="427">
        <v>1000000</v>
      </c>
      <c r="D21" s="427">
        <v>1000000</v>
      </c>
      <c r="E21" s="428">
        <f t="shared" si="0"/>
        <v>100</v>
      </c>
    </row>
    <row r="22" spans="1:5" ht="63.75">
      <c r="A22" s="345">
        <v>16</v>
      </c>
      <c r="B22" s="358" t="s">
        <v>901</v>
      </c>
      <c r="C22" s="427">
        <v>318</v>
      </c>
      <c r="D22" s="427">
        <v>318</v>
      </c>
      <c r="E22" s="428">
        <f t="shared" si="0"/>
        <v>100</v>
      </c>
    </row>
    <row r="23" spans="1:5" ht="102">
      <c r="A23" s="345">
        <v>17</v>
      </c>
      <c r="B23" s="358" t="s">
        <v>1843</v>
      </c>
      <c r="C23" s="427">
        <v>65</v>
      </c>
      <c r="D23" s="313">
        <v>65</v>
      </c>
      <c r="E23" s="428">
        <f t="shared" si="0"/>
        <v>100</v>
      </c>
    </row>
    <row r="24" spans="1:5" ht="89.25">
      <c r="A24" s="345">
        <v>18</v>
      </c>
      <c r="B24" s="9" t="s">
        <v>1879</v>
      </c>
      <c r="C24" s="430">
        <v>29932</v>
      </c>
      <c r="D24" s="313">
        <v>29932</v>
      </c>
      <c r="E24" s="428">
        <f t="shared" si="0"/>
        <v>100</v>
      </c>
    </row>
    <row r="25" spans="1:5" ht="76.5">
      <c r="A25" s="345">
        <v>19</v>
      </c>
      <c r="B25" s="361" t="s">
        <v>1914</v>
      </c>
      <c r="C25" s="427">
        <v>33000</v>
      </c>
      <c r="D25" s="431">
        <v>33000</v>
      </c>
      <c r="E25" s="428">
        <f t="shared" si="0"/>
        <v>100</v>
      </c>
    </row>
    <row r="26" spans="1:5" ht="63.75" customHeight="1">
      <c r="A26" s="345">
        <v>20</v>
      </c>
      <c r="B26" s="54" t="s">
        <v>2004</v>
      </c>
      <c r="C26" s="430">
        <v>15000</v>
      </c>
      <c r="D26" s="431">
        <v>15000</v>
      </c>
      <c r="E26" s="428">
        <f t="shared" si="0"/>
        <v>100</v>
      </c>
    </row>
    <row r="27" spans="1:5" ht="63.75" customHeight="1">
      <c r="A27" s="345">
        <v>21</v>
      </c>
      <c r="B27" s="381" t="s">
        <v>2036</v>
      </c>
      <c r="C27" s="432">
        <v>10000</v>
      </c>
      <c r="D27" s="431">
        <v>10000</v>
      </c>
      <c r="E27" s="428">
        <f t="shared" si="0"/>
        <v>100</v>
      </c>
    </row>
    <row r="28" spans="1:5" ht="76.5">
      <c r="A28" s="345">
        <v>22</v>
      </c>
      <c r="B28" s="381" t="s">
        <v>2037</v>
      </c>
      <c r="C28" s="432">
        <f>251921+109</f>
        <v>252030</v>
      </c>
      <c r="D28" s="431">
        <v>252030</v>
      </c>
      <c r="E28" s="428">
        <f t="shared" si="0"/>
        <v>100</v>
      </c>
    </row>
    <row r="29" spans="1:5" ht="63.75">
      <c r="A29" s="345">
        <v>23</v>
      </c>
      <c r="B29" s="382" t="s">
        <v>2035</v>
      </c>
      <c r="C29" s="432">
        <v>12306</v>
      </c>
      <c r="D29" s="431">
        <v>12306</v>
      </c>
      <c r="E29" s="428">
        <f t="shared" si="0"/>
        <v>100</v>
      </c>
    </row>
  </sheetData>
  <mergeCells count="3">
    <mergeCell ref="B1:E1"/>
    <mergeCell ref="B2:E2"/>
    <mergeCell ref="B3:F3"/>
  </mergeCells>
  <pageMargins left="0.70866141732283472" right="0.70866141732283472" top="0.74803149606299213" bottom="0.74803149606299213" header="0.31496062992125984" footer="0.31496062992125984"/>
  <pageSetup paperSize="9" scale="75" orientation="portrait" r:id="rId1"/>
</worksheet>
</file>

<file path=xl/worksheets/sheet26.xml><?xml version="1.0" encoding="utf-8"?>
<worksheet xmlns="http://schemas.openxmlformats.org/spreadsheetml/2006/main" xmlns:r="http://schemas.openxmlformats.org/officeDocument/2006/relationships">
  <sheetPr>
    <tabColor rgb="FF00B0F0"/>
  </sheetPr>
  <dimension ref="A1:D10"/>
  <sheetViews>
    <sheetView topLeftCell="A2" workbookViewId="0">
      <selection activeCell="A3" sqref="A3:D3"/>
    </sheetView>
  </sheetViews>
  <sheetFormatPr defaultRowHeight="12.75"/>
  <cols>
    <col min="1" max="1" width="42.85546875" customWidth="1"/>
    <col min="2" max="2" width="18" customWidth="1"/>
    <col min="3" max="3" width="15" customWidth="1"/>
    <col min="4" max="4" width="13" customWidth="1"/>
  </cols>
  <sheetData>
    <row r="1" spans="1:4" ht="56.25" hidden="1" customHeight="1">
      <c r="A1" s="442" t="str">
        <f>"Приложение №"&amp;Н2благ&amp;"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2"/>
      <c r="C1" s="55"/>
      <c r="D1" s="55"/>
    </row>
    <row r="2" spans="1:4" ht="54" customHeight="1">
      <c r="A2" s="442" t="str">
        <f>"Приложение №"&amp;Н1благ&amp;" к решению
Богучанского районного Совета депутатов
от "&amp;Р1дата&amp;" года №"&amp;Р1номер</f>
        <v>Приложение №20 к решению
Богучанского районного Совета депутатов
от 2020  года №</v>
      </c>
      <c r="B2" s="442"/>
      <c r="C2" s="442"/>
      <c r="D2" s="442"/>
    </row>
    <row r="3" spans="1:4" ht="235.5" customHeight="1">
      <c r="A3" s="503" t="s">
        <v>2118</v>
      </c>
      <c r="B3" s="503"/>
      <c r="C3" s="503"/>
      <c r="D3" s="503"/>
    </row>
    <row r="4" spans="1:4">
      <c r="A4" s="4"/>
      <c r="C4" s="10"/>
      <c r="D4" s="10" t="s">
        <v>95</v>
      </c>
    </row>
    <row r="5" spans="1:4" ht="25.5">
      <c r="A5" s="34" t="s">
        <v>29</v>
      </c>
      <c r="B5" s="120" t="s">
        <v>2106</v>
      </c>
      <c r="C5" s="416" t="s">
        <v>2087</v>
      </c>
      <c r="D5" s="252" t="s">
        <v>2085</v>
      </c>
    </row>
    <row r="6" spans="1:4" ht="15">
      <c r="A6" s="312" t="s">
        <v>96</v>
      </c>
      <c r="B6" s="422">
        <f>SUM(B7:B11)</f>
        <v>2747520</v>
      </c>
      <c r="C6" s="422">
        <f>SUM(C7:C11)</f>
        <v>2615677.2000000002</v>
      </c>
      <c r="D6" s="418">
        <f>C6/B6*100</f>
        <v>95.2013888888889</v>
      </c>
    </row>
    <row r="7" spans="1:4" ht="14.25">
      <c r="A7" s="12" t="s">
        <v>108</v>
      </c>
      <c r="B7" s="423">
        <v>395940</v>
      </c>
      <c r="C7" s="282">
        <v>395940</v>
      </c>
      <c r="D7" s="418">
        <f t="shared" ref="D7:D10" si="0">C7/B7*100</f>
        <v>100</v>
      </c>
    </row>
    <row r="8" spans="1:4" ht="14.25">
      <c r="A8" s="12" t="s">
        <v>1616</v>
      </c>
      <c r="B8" s="423">
        <v>894260</v>
      </c>
      <c r="C8" s="282">
        <v>894260</v>
      </c>
      <c r="D8" s="418">
        <f t="shared" si="0"/>
        <v>100</v>
      </c>
    </row>
    <row r="9" spans="1:4" ht="28.5">
      <c r="A9" s="12" t="s">
        <v>1902</v>
      </c>
      <c r="B9" s="423">
        <v>725600</v>
      </c>
      <c r="C9" s="282">
        <v>725600</v>
      </c>
      <c r="D9" s="418">
        <f t="shared" si="0"/>
        <v>100</v>
      </c>
    </row>
    <row r="10" spans="1:4" ht="14.25">
      <c r="A10" s="12" t="s">
        <v>114</v>
      </c>
      <c r="B10" s="423">
        <v>731720</v>
      </c>
      <c r="C10" s="282">
        <v>599877.19999999995</v>
      </c>
      <c r="D10" s="418">
        <f t="shared" si="0"/>
        <v>81.981796315530516</v>
      </c>
    </row>
  </sheetData>
  <mergeCells count="3">
    <mergeCell ref="A1:B1"/>
    <mergeCell ref="A2:D2"/>
    <mergeCell ref="A3:D3"/>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sheetPr>
    <tabColor rgb="FF00B0F0"/>
  </sheetPr>
  <dimension ref="A1:F25"/>
  <sheetViews>
    <sheetView topLeftCell="A2" workbookViewId="0">
      <selection activeCell="I3" sqref="I3"/>
    </sheetView>
  </sheetViews>
  <sheetFormatPr defaultRowHeight="12.75"/>
  <cols>
    <col min="1" max="1" width="48.140625" customWidth="1"/>
    <col min="2" max="2" width="15.85546875" customWidth="1"/>
    <col min="3" max="4" width="0" hidden="1" customWidth="1"/>
    <col min="5" max="5" width="14.28515625" customWidth="1"/>
    <col min="6" max="6" width="10.7109375" customWidth="1"/>
  </cols>
  <sheetData>
    <row r="1" spans="1:6" ht="45.75" hidden="1" customHeight="1">
      <c r="A1" s="442" t="str">
        <f>"Приложение №"&amp;H2ДК&amp;"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2"/>
      <c r="C1" s="442"/>
      <c r="D1" s="442"/>
    </row>
    <row r="2" spans="1:6" ht="63" customHeight="1">
      <c r="A2" s="442" t="str">
        <f>"Приложение №"&amp;H1ДК&amp;" к решению
Богучанского районного Совета депутатов
от "&amp;Р1дата&amp;" года №"&amp;Р1номер</f>
        <v>Приложение №21 к решению
Богучанского районного Совета депутатов
от 2020  года №</v>
      </c>
      <c r="B2" s="442"/>
      <c r="C2" s="442"/>
      <c r="D2" s="442"/>
      <c r="E2" s="442"/>
      <c r="F2" s="442"/>
    </row>
    <row r="3" spans="1:6" ht="111.75" customHeight="1">
      <c r="A3" s="462" t="str">
        <f>"Межбюджетные трансферты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f>
        <v xml:space="preserve">Межбюджетные трансферты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v>
      </c>
      <c r="B3" s="462"/>
      <c r="C3" s="462"/>
      <c r="D3" s="462"/>
      <c r="E3" s="462"/>
      <c r="F3" s="462"/>
    </row>
    <row r="4" spans="1:6" ht="20.25" customHeight="1">
      <c r="A4" s="462" t="str">
        <f>"платы (минимального размера оплаты труда)  в "&amp;год&amp;" году"</f>
        <v>платы (минимального размера оплаты труда)  в 2019 году</v>
      </c>
      <c r="B4" s="462"/>
      <c r="C4" s="462"/>
      <c r="D4" s="462"/>
      <c r="E4" s="462"/>
      <c r="F4" s="462"/>
    </row>
    <row r="5" spans="1:6" ht="31.5" customHeight="1">
      <c r="A5" s="198"/>
      <c r="C5" s="10" t="s">
        <v>95</v>
      </c>
      <c r="D5" s="199" t="s">
        <v>95</v>
      </c>
      <c r="F5" s="10" t="s">
        <v>95</v>
      </c>
    </row>
    <row r="6" spans="1:6" ht="42.75">
      <c r="A6" s="24" t="s">
        <v>29</v>
      </c>
      <c r="B6" s="24" t="s">
        <v>2119</v>
      </c>
      <c r="C6" s="24"/>
      <c r="D6" s="24" t="s">
        <v>739</v>
      </c>
      <c r="E6" s="355" t="s">
        <v>2087</v>
      </c>
      <c r="F6" s="355" t="s">
        <v>2085</v>
      </c>
    </row>
    <row r="7" spans="1:6" ht="15">
      <c r="A7" s="410" t="s">
        <v>96</v>
      </c>
      <c r="B7" s="338">
        <f>SUM(B8:B25)</f>
        <v>3845000</v>
      </c>
      <c r="C7" s="338">
        <f t="shared" ref="C7:E7" si="0">SUM(C8:C25)</f>
        <v>0</v>
      </c>
      <c r="D7" s="338">
        <f t="shared" si="0"/>
        <v>0</v>
      </c>
      <c r="E7" s="338">
        <f t="shared" si="0"/>
        <v>3845000</v>
      </c>
      <c r="F7" s="282">
        <f>E7/B7*100</f>
        <v>100</v>
      </c>
    </row>
    <row r="8" spans="1:6" ht="14.25">
      <c r="A8" s="43" t="s">
        <v>66</v>
      </c>
      <c r="B8" s="336">
        <f>110000+105000</f>
        <v>215000</v>
      </c>
      <c r="C8" s="424"/>
      <c r="D8" s="424"/>
      <c r="E8" s="425">
        <f>110000+105000</f>
        <v>215000</v>
      </c>
      <c r="F8" s="282">
        <f t="shared" ref="F8:F25" si="1">E8/B8*100</f>
        <v>100</v>
      </c>
    </row>
    <row r="9" spans="1:6" ht="14.25">
      <c r="A9" s="43" t="s">
        <v>107</v>
      </c>
      <c r="B9" s="336">
        <f>160000+58000</f>
        <v>218000</v>
      </c>
      <c r="C9" s="424"/>
      <c r="D9" s="424"/>
      <c r="E9" s="425">
        <f>160000+58000</f>
        <v>218000</v>
      </c>
      <c r="F9" s="282">
        <f t="shared" si="1"/>
        <v>100</v>
      </c>
    </row>
    <row r="10" spans="1:6" ht="14.25">
      <c r="A10" s="43" t="s">
        <v>199</v>
      </c>
      <c r="B10" s="336">
        <v>120000</v>
      </c>
      <c r="C10" s="424"/>
      <c r="D10" s="424"/>
      <c r="E10" s="425">
        <v>120000</v>
      </c>
      <c r="F10" s="282">
        <f t="shared" si="1"/>
        <v>100</v>
      </c>
    </row>
    <row r="11" spans="1:6" ht="14.25" hidden="1">
      <c r="A11" s="44" t="s">
        <v>67</v>
      </c>
      <c r="B11" s="337">
        <v>0</v>
      </c>
      <c r="C11" s="44"/>
      <c r="D11" s="44"/>
      <c r="E11" s="426">
        <v>0</v>
      </c>
      <c r="F11" s="282" t="e">
        <f t="shared" si="1"/>
        <v>#DIV/0!</v>
      </c>
    </row>
    <row r="12" spans="1:6" ht="14.25">
      <c r="A12" s="43" t="s">
        <v>68</v>
      </c>
      <c r="B12" s="337">
        <f>160000+165000+21000</f>
        <v>346000</v>
      </c>
      <c r="C12" s="44"/>
      <c r="D12" s="44"/>
      <c r="E12" s="426">
        <f>160000+165000+21000</f>
        <v>346000</v>
      </c>
      <c r="F12" s="282">
        <f t="shared" si="1"/>
        <v>100</v>
      </c>
    </row>
    <row r="13" spans="1:6" ht="28.5">
      <c r="A13" s="45" t="s">
        <v>275</v>
      </c>
      <c r="B13" s="337">
        <f>160000+60000</f>
        <v>220000</v>
      </c>
      <c r="C13" s="44"/>
      <c r="D13" s="44"/>
      <c r="E13" s="426">
        <f>160000+60000</f>
        <v>220000</v>
      </c>
      <c r="F13" s="282">
        <f t="shared" si="1"/>
        <v>100</v>
      </c>
    </row>
    <row r="14" spans="1:6" ht="14.25">
      <c r="A14" s="43" t="s">
        <v>108</v>
      </c>
      <c r="B14" s="337">
        <v>80000</v>
      </c>
      <c r="C14" s="44"/>
      <c r="D14" s="44"/>
      <c r="E14" s="426">
        <v>80000</v>
      </c>
      <c r="F14" s="282">
        <f t="shared" si="1"/>
        <v>100</v>
      </c>
    </row>
    <row r="15" spans="1:6" ht="14.25">
      <c r="A15" s="43" t="s">
        <v>168</v>
      </c>
      <c r="B15" s="337">
        <f>230000+66000</f>
        <v>296000</v>
      </c>
      <c r="C15" s="44"/>
      <c r="D15" s="44"/>
      <c r="E15" s="426">
        <f>230000+66000</f>
        <v>296000</v>
      </c>
      <c r="F15" s="282">
        <f t="shared" si="1"/>
        <v>100</v>
      </c>
    </row>
    <row r="16" spans="1:6" ht="14.25">
      <c r="A16" s="43" t="s">
        <v>169</v>
      </c>
      <c r="B16" s="337">
        <v>130000</v>
      </c>
      <c r="C16" s="44"/>
      <c r="D16" s="44"/>
      <c r="E16" s="426">
        <v>130000</v>
      </c>
      <c r="F16" s="282">
        <f t="shared" si="1"/>
        <v>100</v>
      </c>
    </row>
    <row r="17" spans="1:6" ht="14.25">
      <c r="A17" s="43" t="s">
        <v>109</v>
      </c>
      <c r="B17" s="337">
        <f>110000+20000</f>
        <v>130000</v>
      </c>
      <c r="C17" s="44"/>
      <c r="D17" s="44"/>
      <c r="E17" s="426">
        <f>110000+20000</f>
        <v>130000</v>
      </c>
      <c r="F17" s="282">
        <f t="shared" si="1"/>
        <v>100</v>
      </c>
    </row>
    <row r="18" spans="1:6" ht="14.25">
      <c r="A18" s="44" t="s">
        <v>111</v>
      </c>
      <c r="B18" s="337">
        <f>180000+172000+40000</f>
        <v>392000</v>
      </c>
      <c r="C18" s="44"/>
      <c r="D18" s="44"/>
      <c r="E18" s="426">
        <f>180000+172000+40000</f>
        <v>392000</v>
      </c>
      <c r="F18" s="282">
        <f t="shared" si="1"/>
        <v>100</v>
      </c>
    </row>
    <row r="19" spans="1:6" ht="14.25">
      <c r="A19" s="43" t="s">
        <v>200</v>
      </c>
      <c r="B19" s="337">
        <f>160000+321000</f>
        <v>481000</v>
      </c>
      <c r="C19" s="44"/>
      <c r="D19" s="44"/>
      <c r="E19" s="426">
        <f>160000+321000</f>
        <v>481000</v>
      </c>
      <c r="F19" s="282">
        <f t="shared" si="1"/>
        <v>100</v>
      </c>
    </row>
    <row r="20" spans="1:6" ht="14.25">
      <c r="A20" s="43" t="s">
        <v>110</v>
      </c>
      <c r="B20" s="337">
        <v>120000</v>
      </c>
      <c r="C20" s="44"/>
      <c r="D20" s="44"/>
      <c r="E20" s="426">
        <v>120000</v>
      </c>
      <c r="F20" s="282">
        <f t="shared" si="1"/>
        <v>100</v>
      </c>
    </row>
    <row r="21" spans="1:6" ht="14.25">
      <c r="A21" s="43" t="s">
        <v>112</v>
      </c>
      <c r="B21" s="337">
        <f>70000+13000</f>
        <v>83000</v>
      </c>
      <c r="C21" s="44"/>
      <c r="D21" s="44"/>
      <c r="E21" s="426">
        <f>70000+13000</f>
        <v>83000</v>
      </c>
      <c r="F21" s="282">
        <f t="shared" si="1"/>
        <v>100</v>
      </c>
    </row>
    <row r="22" spans="1:6" ht="14.25">
      <c r="A22" s="43" t="s">
        <v>113</v>
      </c>
      <c r="B22" s="337">
        <f>90000+98000</f>
        <v>188000</v>
      </c>
      <c r="C22" s="44"/>
      <c r="D22" s="44"/>
      <c r="E22" s="426">
        <f>90000+98000</f>
        <v>188000</v>
      </c>
      <c r="F22" s="282">
        <f t="shared" si="1"/>
        <v>100</v>
      </c>
    </row>
    <row r="23" spans="1:6" ht="14.25">
      <c r="A23" s="43" t="s">
        <v>171</v>
      </c>
      <c r="B23" s="337">
        <f>70000+95000</f>
        <v>165000</v>
      </c>
      <c r="C23" s="44"/>
      <c r="D23" s="44"/>
      <c r="E23" s="426">
        <f>70000+95000</f>
        <v>165000</v>
      </c>
      <c r="F23" s="282">
        <f t="shared" si="1"/>
        <v>100</v>
      </c>
    </row>
    <row r="24" spans="1:6" ht="14.25">
      <c r="A24" s="43" t="s">
        <v>172</v>
      </c>
      <c r="B24" s="337">
        <f>135000+143000+46000</f>
        <v>324000</v>
      </c>
      <c r="C24" s="44"/>
      <c r="D24" s="44"/>
      <c r="E24" s="426">
        <f>135000+143000+46000</f>
        <v>324000</v>
      </c>
      <c r="F24" s="282">
        <f t="shared" si="1"/>
        <v>100</v>
      </c>
    </row>
    <row r="25" spans="1:6" ht="14.25">
      <c r="A25" s="43" t="s">
        <v>114</v>
      </c>
      <c r="B25" s="337">
        <f>160000+117000+60000</f>
        <v>337000</v>
      </c>
      <c r="C25" s="44"/>
      <c r="D25" s="44"/>
      <c r="E25" s="426">
        <f>160000+117000+60000</f>
        <v>337000</v>
      </c>
      <c r="F25" s="282">
        <f t="shared" si="1"/>
        <v>100</v>
      </c>
    </row>
  </sheetData>
  <mergeCells count="4">
    <mergeCell ref="A1:D1"/>
    <mergeCell ref="A2:F2"/>
    <mergeCell ref="A3:F3"/>
    <mergeCell ref="A4:F4"/>
  </mergeCell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sheetPr>
    <tabColor rgb="FF00B0F0"/>
  </sheetPr>
  <dimension ref="A1:D24"/>
  <sheetViews>
    <sheetView topLeftCell="A2" workbookViewId="0">
      <selection activeCell="F4" sqref="F4"/>
    </sheetView>
  </sheetViews>
  <sheetFormatPr defaultRowHeight="12.75"/>
  <cols>
    <col min="1" max="1" width="47.5703125" customWidth="1"/>
    <col min="2" max="2" width="15.7109375" customWidth="1"/>
    <col min="3" max="3" width="13.28515625" customWidth="1"/>
    <col min="4" max="4" width="10.85546875" customWidth="1"/>
  </cols>
  <sheetData>
    <row r="1" spans="1:4" ht="54.75" hidden="1" customHeight="1">
      <c r="A1" s="442" t="str">
        <f>"Приложение №"&amp;Н2потенц&amp;"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2"/>
    </row>
    <row r="2" spans="1:4" ht="52.5" customHeight="1">
      <c r="A2" s="442" t="str">
        <f>"Приложение №"&amp;Н1потенц&amp;" к решению
Богучанского районного Совета депутатов
от "&amp;Р1дата&amp;" года №"&amp;Р1номер</f>
        <v>Приложение №22 к решению
Богучанского районного Совета депутатов
от 2020  года №</v>
      </c>
      <c r="B2" s="442"/>
      <c r="C2" s="442"/>
      <c r="D2" s="442"/>
    </row>
    <row r="3" spans="1:4" ht="111" customHeight="1">
      <c r="A3" s="462" t="str">
        <f>" Распределение межбюджетные трансферты на  повышение с 1 октября 2019 года на 4,3 процента  заработной платы работников бюджетной сферы  за "&amp;год&amp;" год "</f>
        <v xml:space="preserve"> Распределение межбюджетные трансферты на  повышение с 1 октября 2019 года на 4,3 процента  заработной платы работников бюджетной сферы  за 2019 год </v>
      </c>
      <c r="B3" s="462"/>
      <c r="C3" s="462"/>
      <c r="D3" s="462"/>
    </row>
    <row r="4" spans="1:4">
      <c r="A4" s="4"/>
      <c r="B4" s="10"/>
    </row>
    <row r="5" spans="1:4" ht="42.75">
      <c r="A5" s="24" t="s">
        <v>29</v>
      </c>
      <c r="B5" s="24" t="s">
        <v>2086</v>
      </c>
      <c r="C5" s="409" t="s">
        <v>2087</v>
      </c>
      <c r="D5" s="409" t="s">
        <v>2085</v>
      </c>
    </row>
    <row r="6" spans="1:4" ht="15">
      <c r="A6" s="376" t="s">
        <v>96</v>
      </c>
      <c r="B6" s="338">
        <f>SUM(B7:B27)</f>
        <v>604100</v>
      </c>
      <c r="C6" s="338">
        <f>SUM(C7:C27)</f>
        <v>604100</v>
      </c>
      <c r="D6" s="433">
        <f>C6/B6*100</f>
        <v>100</v>
      </c>
    </row>
    <row r="7" spans="1:4" ht="14.25">
      <c r="A7" s="343" t="s">
        <v>66</v>
      </c>
      <c r="B7" s="378">
        <v>30800</v>
      </c>
      <c r="C7" s="378">
        <v>30800</v>
      </c>
      <c r="D7" s="433">
        <f t="shared" ref="D7:D24" si="0">C7/B7*100</f>
        <v>100</v>
      </c>
    </row>
    <row r="8" spans="1:4" ht="14.25">
      <c r="A8" s="343" t="s">
        <v>107</v>
      </c>
      <c r="B8" s="378">
        <v>29400</v>
      </c>
      <c r="C8" s="378">
        <v>29400</v>
      </c>
      <c r="D8" s="433">
        <f t="shared" si="0"/>
        <v>100</v>
      </c>
    </row>
    <row r="9" spans="1:4" ht="28.5">
      <c r="A9" s="343" t="s">
        <v>1628</v>
      </c>
      <c r="B9" s="378">
        <v>19100</v>
      </c>
      <c r="C9" s="378">
        <v>19100</v>
      </c>
      <c r="D9" s="433">
        <f t="shared" si="0"/>
        <v>100</v>
      </c>
    </row>
    <row r="10" spans="1:4" ht="28.5">
      <c r="A10" s="343" t="s">
        <v>1629</v>
      </c>
      <c r="B10" s="378">
        <v>68600</v>
      </c>
      <c r="C10" s="378">
        <v>68600</v>
      </c>
      <c r="D10" s="433">
        <f t="shared" si="0"/>
        <v>100</v>
      </c>
    </row>
    <row r="11" spans="1:4" ht="14.25">
      <c r="A11" s="343" t="s">
        <v>68</v>
      </c>
      <c r="B11" s="378">
        <v>24300</v>
      </c>
      <c r="C11" s="378">
        <v>24300</v>
      </c>
      <c r="D11" s="433">
        <f t="shared" si="0"/>
        <v>100</v>
      </c>
    </row>
    <row r="12" spans="1:4" ht="28.5">
      <c r="A12" s="343" t="s">
        <v>275</v>
      </c>
      <c r="B12" s="378">
        <v>34600</v>
      </c>
      <c r="C12" s="378">
        <v>34600</v>
      </c>
      <c r="D12" s="433">
        <f t="shared" si="0"/>
        <v>100</v>
      </c>
    </row>
    <row r="13" spans="1:4" ht="14.25">
      <c r="A13" s="343" t="s">
        <v>108</v>
      </c>
      <c r="B13" s="378">
        <v>29400</v>
      </c>
      <c r="C13" s="378">
        <v>29400</v>
      </c>
      <c r="D13" s="433">
        <f t="shared" si="0"/>
        <v>100</v>
      </c>
    </row>
    <row r="14" spans="1:4" ht="14.25">
      <c r="A14" s="343" t="s">
        <v>168</v>
      </c>
      <c r="B14" s="378">
        <v>33900</v>
      </c>
      <c r="C14" s="378">
        <v>33900</v>
      </c>
      <c r="D14" s="433">
        <f t="shared" si="0"/>
        <v>100</v>
      </c>
    </row>
    <row r="15" spans="1:4" ht="14.25">
      <c r="A15" s="343" t="s">
        <v>109</v>
      </c>
      <c r="B15" s="378">
        <v>29400</v>
      </c>
      <c r="C15" s="378">
        <v>29400</v>
      </c>
      <c r="D15" s="433">
        <f t="shared" si="0"/>
        <v>100</v>
      </c>
    </row>
    <row r="16" spans="1:4" ht="14.25">
      <c r="A16" s="343" t="s">
        <v>169</v>
      </c>
      <c r="B16" s="378">
        <v>19100</v>
      </c>
      <c r="C16" s="378">
        <v>19100</v>
      </c>
      <c r="D16" s="433">
        <f t="shared" si="0"/>
        <v>100</v>
      </c>
    </row>
    <row r="17" spans="1:4" ht="28.5">
      <c r="A17" s="343" t="s">
        <v>1630</v>
      </c>
      <c r="B17" s="378">
        <v>36800</v>
      </c>
      <c r="C17" s="378">
        <v>36800</v>
      </c>
      <c r="D17" s="433">
        <f t="shared" si="0"/>
        <v>100</v>
      </c>
    </row>
    <row r="18" spans="1:4" ht="14.25">
      <c r="A18" s="343" t="s">
        <v>111</v>
      </c>
      <c r="B18" s="378">
        <v>49500</v>
      </c>
      <c r="C18" s="378">
        <v>49500</v>
      </c>
      <c r="D18" s="433">
        <f t="shared" si="0"/>
        <v>100</v>
      </c>
    </row>
    <row r="19" spans="1:4" ht="14.25">
      <c r="A19" s="343" t="s">
        <v>110</v>
      </c>
      <c r="B19" s="378">
        <v>29400</v>
      </c>
      <c r="C19" s="378">
        <v>29400</v>
      </c>
      <c r="D19" s="433">
        <f t="shared" si="0"/>
        <v>100</v>
      </c>
    </row>
    <row r="20" spans="1:4" ht="14.25">
      <c r="A20" s="343" t="s">
        <v>113</v>
      </c>
      <c r="B20" s="378">
        <v>24300</v>
      </c>
      <c r="C20" s="378">
        <v>24300</v>
      </c>
      <c r="D20" s="433">
        <f t="shared" si="0"/>
        <v>100</v>
      </c>
    </row>
    <row r="21" spans="1:4" ht="14.25">
      <c r="A21" s="343" t="s">
        <v>1631</v>
      </c>
      <c r="B21" s="378">
        <v>49500</v>
      </c>
      <c r="C21" s="378">
        <v>49500</v>
      </c>
      <c r="D21" s="433">
        <f t="shared" si="0"/>
        <v>100</v>
      </c>
    </row>
    <row r="22" spans="1:4" ht="14.25">
      <c r="A22" s="343" t="s">
        <v>171</v>
      </c>
      <c r="B22" s="378">
        <v>29400</v>
      </c>
      <c r="C22" s="378">
        <v>29400</v>
      </c>
      <c r="D22" s="433">
        <f t="shared" si="0"/>
        <v>100</v>
      </c>
    </row>
    <row r="23" spans="1:4" ht="14.25">
      <c r="A23" s="343" t="s">
        <v>172</v>
      </c>
      <c r="B23" s="378">
        <v>37200</v>
      </c>
      <c r="C23" s="378">
        <v>37200</v>
      </c>
      <c r="D23" s="433">
        <f t="shared" si="0"/>
        <v>100</v>
      </c>
    </row>
    <row r="24" spans="1:4" ht="14.25">
      <c r="A24" s="343" t="s">
        <v>114</v>
      </c>
      <c r="B24" s="378">
        <v>29400</v>
      </c>
      <c r="C24" s="378">
        <v>29400</v>
      </c>
      <c r="D24" s="433">
        <f t="shared" si="0"/>
        <v>100</v>
      </c>
    </row>
  </sheetData>
  <mergeCells count="3">
    <mergeCell ref="A1:B1"/>
    <mergeCell ref="A2:D2"/>
    <mergeCell ref="A3:D3"/>
  </mergeCell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sheetPr>
    <tabColor rgb="FF00B0F0"/>
  </sheetPr>
  <dimension ref="A1:D24"/>
  <sheetViews>
    <sheetView tabSelected="1" topLeftCell="A2" workbookViewId="0">
      <selection activeCell="K22" sqref="K22"/>
    </sheetView>
  </sheetViews>
  <sheetFormatPr defaultRowHeight="12.75"/>
  <cols>
    <col min="1" max="1" width="43.28515625" customWidth="1"/>
    <col min="2" max="2" width="14.7109375" customWidth="1"/>
    <col min="3" max="3" width="12.85546875" customWidth="1"/>
    <col min="4" max="4" width="11.7109375" customWidth="1"/>
  </cols>
  <sheetData>
    <row r="1" spans="1:4" ht="50.25" hidden="1" customHeight="1">
      <c r="A1" s="442" t="str">
        <f>"Приложение №"&amp;H2окл&amp;"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2"/>
    </row>
    <row r="2" spans="1:4" ht="61.5" customHeight="1">
      <c r="A2" s="442" t="str">
        <f>"Приложение "&amp;H1окл&amp;" к решению
Богучанского районного Совета депутатов
от "&amp;Р1дата&amp;" года №"&amp;Р1номер</f>
        <v>Приложение 23 к решению
Богучанского районного Совета депутатов
от 2020  года №</v>
      </c>
      <c r="B2" s="442"/>
      <c r="C2" s="442"/>
      <c r="D2" s="442"/>
    </row>
    <row r="3" spans="1:4" ht="201.75" customHeight="1">
      <c r="A3" s="462" t="s">
        <v>2061</v>
      </c>
      <c r="B3" s="462"/>
      <c r="C3" s="462"/>
      <c r="D3" s="462"/>
    </row>
    <row r="4" spans="1:4" ht="18.75" customHeight="1">
      <c r="A4" s="462" t="str">
        <f>"  за "&amp;год&amp;" год "</f>
        <v xml:space="preserve">  за 2019 год </v>
      </c>
      <c r="B4" s="462"/>
      <c r="C4" s="462"/>
      <c r="D4" s="462"/>
    </row>
    <row r="5" spans="1:4">
      <c r="A5" s="4"/>
      <c r="B5" s="10"/>
    </row>
    <row r="6" spans="1:4" ht="42.75">
      <c r="A6" s="24" t="s">
        <v>29</v>
      </c>
      <c r="B6" s="24" t="s">
        <v>2086</v>
      </c>
      <c r="C6" s="409" t="s">
        <v>2087</v>
      </c>
      <c r="D6" s="434" t="s">
        <v>2085</v>
      </c>
    </row>
    <row r="7" spans="1:4" ht="15">
      <c r="A7" s="383" t="s">
        <v>96</v>
      </c>
      <c r="B7" s="338">
        <f>SUM(B8:B27)</f>
        <v>222000</v>
      </c>
      <c r="C7" s="338">
        <f>SUM(C8:C27)</f>
        <v>222000</v>
      </c>
      <c r="D7" s="282">
        <f>C7/B7*100</f>
        <v>100</v>
      </c>
    </row>
    <row r="8" spans="1:4" ht="14.25">
      <c r="A8" s="43" t="s">
        <v>66</v>
      </c>
      <c r="B8" s="435">
        <v>10400</v>
      </c>
      <c r="C8" s="435">
        <v>10400</v>
      </c>
      <c r="D8" s="282">
        <f t="shared" ref="D8:D24" si="0">C8/B8*100</f>
        <v>100</v>
      </c>
    </row>
    <row r="9" spans="1:4" ht="28.5">
      <c r="A9" s="43" t="s">
        <v>107</v>
      </c>
      <c r="B9" s="435">
        <v>12200</v>
      </c>
      <c r="C9" s="435">
        <v>12200</v>
      </c>
      <c r="D9" s="282">
        <f t="shared" si="0"/>
        <v>100</v>
      </c>
    </row>
    <row r="10" spans="1:4" ht="14.25">
      <c r="A10" s="43" t="s">
        <v>199</v>
      </c>
      <c r="B10" s="435">
        <v>12200</v>
      </c>
      <c r="C10" s="435">
        <v>12200</v>
      </c>
      <c r="D10" s="282">
        <f t="shared" si="0"/>
        <v>100</v>
      </c>
    </row>
    <row r="11" spans="1:4" ht="28.5">
      <c r="A11" s="43" t="s">
        <v>68</v>
      </c>
      <c r="B11" s="435">
        <v>14800</v>
      </c>
      <c r="C11" s="435">
        <v>14800</v>
      </c>
      <c r="D11" s="282">
        <f t="shared" si="0"/>
        <v>100</v>
      </c>
    </row>
    <row r="12" spans="1:4" ht="28.5">
      <c r="A12" s="45" t="s">
        <v>275</v>
      </c>
      <c r="B12" s="435">
        <v>14800</v>
      </c>
      <c r="C12" s="435">
        <v>14800</v>
      </c>
      <c r="D12" s="282">
        <f t="shared" si="0"/>
        <v>100</v>
      </c>
    </row>
    <row r="13" spans="1:4" ht="14.25">
      <c r="A13" s="43" t="s">
        <v>2055</v>
      </c>
      <c r="B13" s="435">
        <v>7800</v>
      </c>
      <c r="C13" s="435">
        <v>7800</v>
      </c>
      <c r="D13" s="282">
        <f t="shared" si="0"/>
        <v>100</v>
      </c>
    </row>
    <row r="14" spans="1:4" ht="14.25">
      <c r="A14" s="43" t="s">
        <v>168</v>
      </c>
      <c r="B14" s="435">
        <v>20000</v>
      </c>
      <c r="C14" s="435">
        <v>20000</v>
      </c>
      <c r="D14" s="282">
        <f t="shared" si="0"/>
        <v>100</v>
      </c>
    </row>
    <row r="15" spans="1:4" ht="14.25">
      <c r="A15" s="43" t="s">
        <v>109</v>
      </c>
      <c r="B15" s="435">
        <v>13100</v>
      </c>
      <c r="C15" s="435">
        <v>13100</v>
      </c>
      <c r="D15" s="282">
        <f t="shared" si="0"/>
        <v>100</v>
      </c>
    </row>
    <row r="16" spans="1:4" ht="14.25">
      <c r="A16" s="44" t="s">
        <v>169</v>
      </c>
      <c r="B16" s="435">
        <v>11300</v>
      </c>
      <c r="C16" s="435">
        <v>11300</v>
      </c>
      <c r="D16" s="282">
        <f t="shared" si="0"/>
        <v>100</v>
      </c>
    </row>
    <row r="17" spans="1:4" ht="14.25">
      <c r="A17" s="44" t="s">
        <v>111</v>
      </c>
      <c r="B17" s="435">
        <v>18300</v>
      </c>
      <c r="C17" s="435">
        <v>18300</v>
      </c>
      <c r="D17" s="282">
        <f t="shared" si="0"/>
        <v>100</v>
      </c>
    </row>
    <row r="18" spans="1:4" ht="28.5">
      <c r="A18" s="43" t="s">
        <v>200</v>
      </c>
      <c r="B18" s="435">
        <v>15700</v>
      </c>
      <c r="C18" s="435">
        <v>15700</v>
      </c>
      <c r="D18" s="282">
        <f t="shared" si="0"/>
        <v>100</v>
      </c>
    </row>
    <row r="19" spans="1:4" ht="14.25">
      <c r="A19" s="43" t="s">
        <v>110</v>
      </c>
      <c r="B19" s="435">
        <v>12200</v>
      </c>
      <c r="C19" s="435">
        <v>12200</v>
      </c>
      <c r="D19" s="282">
        <f t="shared" si="0"/>
        <v>100</v>
      </c>
    </row>
    <row r="20" spans="1:4" ht="28.5">
      <c r="A20" s="43" t="s">
        <v>112</v>
      </c>
      <c r="B20" s="435">
        <v>7800</v>
      </c>
      <c r="C20" s="435">
        <v>7800</v>
      </c>
      <c r="D20" s="282">
        <f t="shared" si="0"/>
        <v>100</v>
      </c>
    </row>
    <row r="21" spans="1:4" ht="28.5">
      <c r="A21" s="43" t="s">
        <v>113</v>
      </c>
      <c r="B21" s="435">
        <v>10500</v>
      </c>
      <c r="C21" s="435">
        <v>10500</v>
      </c>
      <c r="D21" s="282">
        <f t="shared" si="0"/>
        <v>100</v>
      </c>
    </row>
    <row r="22" spans="1:4" ht="14.25">
      <c r="A22" s="43" t="s">
        <v>171</v>
      </c>
      <c r="B22" s="435">
        <v>7800</v>
      </c>
      <c r="C22" s="435">
        <v>7800</v>
      </c>
      <c r="D22" s="282">
        <f t="shared" si="0"/>
        <v>100</v>
      </c>
    </row>
    <row r="23" spans="1:4" ht="14.25">
      <c r="A23" s="43" t="s">
        <v>172</v>
      </c>
      <c r="B23" s="435">
        <v>13100</v>
      </c>
      <c r="C23" s="435">
        <v>13100</v>
      </c>
      <c r="D23" s="282">
        <f t="shared" si="0"/>
        <v>100</v>
      </c>
    </row>
    <row r="24" spans="1:4" ht="14.25">
      <c r="A24" s="43" t="s">
        <v>114</v>
      </c>
      <c r="B24" s="435">
        <v>20000</v>
      </c>
      <c r="C24" s="435">
        <v>20000</v>
      </c>
      <c r="D24" s="282">
        <f t="shared" si="0"/>
        <v>100</v>
      </c>
    </row>
  </sheetData>
  <mergeCells count="4">
    <mergeCell ref="A1:B1"/>
    <mergeCell ref="A2:D2"/>
    <mergeCell ref="A3:D3"/>
    <mergeCell ref="A4:D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codeName="Лист4">
    <tabColor rgb="FFFF0000"/>
  </sheetPr>
  <dimension ref="A1:E16"/>
  <sheetViews>
    <sheetView topLeftCell="A2" zoomScaleNormal="75" workbookViewId="0">
      <selection activeCell="A2" sqref="A1:XFD2"/>
    </sheetView>
  </sheetViews>
  <sheetFormatPr defaultRowHeight="15"/>
  <cols>
    <col min="1" max="2" width="8" style="78" customWidth="1"/>
    <col min="3" max="3" width="25.42578125" style="81" customWidth="1"/>
    <col min="4" max="4" width="61" style="79" customWidth="1"/>
    <col min="5" max="5" width="9.140625" style="80"/>
    <col min="6" max="6" width="14.5703125" style="80" customWidth="1"/>
    <col min="7" max="16384" width="9.140625" style="80"/>
  </cols>
  <sheetData>
    <row r="1" spans="1:5" ht="42.75" customHeight="1">
      <c r="A1" s="442" t="str">
        <f>"Приложение "&amp;Н2аист&amp;" к решению
Богучанского районного Совета депутатов
от "&amp;Р2дата&amp;" года №"&amp;Р2номер</f>
        <v>Приложение  к решению
Богучанского районного Совета депутатов
от  года №</v>
      </c>
      <c r="B1" s="442"/>
      <c r="C1" s="442"/>
      <c r="D1" s="442"/>
      <c r="E1" s="59"/>
    </row>
    <row r="2" spans="1:5" s="59" customFormat="1" ht="44.25" customHeight="1">
      <c r="A2" s="442" t="str">
        <f>"Приложение "&amp;Н1аист&amp;" к решению
Богучанского районного Совета депутатов
от "&amp;Р1дата&amp;" года №"&amp;Р1номер</f>
        <v>Приложение  к решению
Богучанского районного Совета депутатов
от 2020  года №</v>
      </c>
      <c r="B2" s="442"/>
      <c r="C2" s="442"/>
      <c r="D2" s="442"/>
    </row>
    <row r="3" spans="1:5" s="59" customFormat="1" ht="65.25" customHeight="1">
      <c r="A3" s="455" t="str">
        <f>"Главные администраторы 
источников внутреннего финансирования дефицита 
районного бюджета на "&amp;год&amp;" год и плановый период "&amp;ПлПер&amp;" годов"</f>
        <v>Главные администраторы 
источников внутреннего финансирования дефицита 
районного бюджета на 2019 год и плановый период  годов</v>
      </c>
      <c r="B3" s="455"/>
      <c r="C3" s="455"/>
      <c r="D3" s="455"/>
    </row>
    <row r="4" spans="1:5" s="59" customFormat="1" ht="13.5" customHeight="1">
      <c r="A4" s="57"/>
      <c r="B4" s="57"/>
      <c r="C4" s="57"/>
      <c r="D4" s="58"/>
    </row>
    <row r="5" spans="1:5" s="63" customFormat="1" ht="15.75" customHeight="1">
      <c r="A5" s="60"/>
      <c r="B5" s="60"/>
      <c r="C5" s="61"/>
      <c r="D5" s="62"/>
    </row>
    <row r="6" spans="1:5" s="65" customFormat="1" ht="42.75">
      <c r="A6" s="64" t="s">
        <v>198</v>
      </c>
      <c r="B6" s="64" t="s">
        <v>203</v>
      </c>
      <c r="C6" s="64" t="s">
        <v>204</v>
      </c>
      <c r="D6" s="64" t="s">
        <v>205</v>
      </c>
    </row>
    <row r="7" spans="1:5" s="60" customFormat="1" ht="30">
      <c r="A7" s="172">
        <v>1</v>
      </c>
      <c r="B7" s="67" t="s">
        <v>249</v>
      </c>
      <c r="C7" s="68"/>
      <c r="D7" s="69" t="s">
        <v>315</v>
      </c>
    </row>
    <row r="8" spans="1:5" s="74" customFormat="1" ht="28.5">
      <c r="A8" s="70">
        <v>2</v>
      </c>
      <c r="B8" s="71" t="s">
        <v>249</v>
      </c>
      <c r="C8" s="72" t="s">
        <v>207</v>
      </c>
      <c r="D8" s="73" t="s">
        <v>130</v>
      </c>
    </row>
    <row r="9" spans="1:5" s="74" customFormat="1" ht="28.5">
      <c r="A9" s="70">
        <v>3</v>
      </c>
      <c r="B9" s="71" t="s">
        <v>249</v>
      </c>
      <c r="C9" s="72" t="s">
        <v>131</v>
      </c>
      <c r="D9" s="73" t="s">
        <v>132</v>
      </c>
    </row>
    <row r="10" spans="1:5" s="74" customFormat="1" ht="42.75">
      <c r="A10" s="70">
        <v>4</v>
      </c>
      <c r="B10" s="71" t="s">
        <v>249</v>
      </c>
      <c r="C10" s="72" t="s">
        <v>1294</v>
      </c>
      <c r="D10" s="73" t="s">
        <v>83</v>
      </c>
    </row>
    <row r="11" spans="1:5" s="74" customFormat="1" ht="42.75">
      <c r="A11" s="70">
        <v>5</v>
      </c>
      <c r="B11" s="71" t="s">
        <v>249</v>
      </c>
      <c r="C11" s="72" t="s">
        <v>1295</v>
      </c>
      <c r="D11" s="73" t="s">
        <v>84</v>
      </c>
    </row>
    <row r="12" spans="1:5" s="74" customFormat="1" ht="28.5">
      <c r="A12" s="70">
        <v>6</v>
      </c>
      <c r="B12" s="71" t="s">
        <v>249</v>
      </c>
      <c r="C12" s="75" t="s">
        <v>85</v>
      </c>
      <c r="D12" s="73" t="s">
        <v>86</v>
      </c>
    </row>
    <row r="13" spans="1:5" s="74" customFormat="1" ht="28.5">
      <c r="A13" s="70">
        <v>7</v>
      </c>
      <c r="B13" s="71" t="s">
        <v>249</v>
      </c>
      <c r="C13" s="75" t="s">
        <v>87</v>
      </c>
      <c r="D13" s="73" t="s">
        <v>88</v>
      </c>
    </row>
    <row r="14" spans="1:5" s="74" customFormat="1" ht="30">
      <c r="A14" s="66">
        <v>8</v>
      </c>
      <c r="B14" s="67" t="s">
        <v>89</v>
      </c>
      <c r="C14" s="76"/>
      <c r="D14" s="77" t="s">
        <v>90</v>
      </c>
    </row>
    <row r="15" spans="1:5" s="74" customFormat="1" ht="42.75">
      <c r="A15" s="70">
        <v>9</v>
      </c>
      <c r="B15" s="71" t="s">
        <v>89</v>
      </c>
      <c r="C15" s="75" t="s">
        <v>91</v>
      </c>
      <c r="D15" s="73" t="s">
        <v>103</v>
      </c>
    </row>
    <row r="16" spans="1:5">
      <c r="C16" s="78"/>
    </row>
  </sheetData>
  <mergeCells count="3">
    <mergeCell ref="A3:D3"/>
    <mergeCell ref="A2:D2"/>
    <mergeCell ref="A1:D1"/>
  </mergeCells>
  <phoneticPr fontId="3" type="noConversion"/>
  <pageMargins left="0.78740157480314965" right="0.39370078740157483" top="0.78740157480314965" bottom="0.78740157480314965" header="0.39370078740157483" footer="0.39370078740157483"/>
  <pageSetup paperSize="9" scale="90" firstPageNumber="849" orientation="portrait" useFirstPageNumber="1" r:id="rId1"/>
  <headerFooter alignWithMargins="0"/>
</worksheet>
</file>

<file path=xl/worksheets/sheet30.xml><?xml version="1.0" encoding="utf-8"?>
<worksheet xmlns="http://schemas.openxmlformats.org/spreadsheetml/2006/main" xmlns:r="http://schemas.openxmlformats.org/officeDocument/2006/relationships">
  <sheetPr codeName="Лист26"/>
  <dimension ref="A1:G713"/>
  <sheetViews>
    <sheetView topLeftCell="A8" workbookViewId="0">
      <selection activeCell="A20" sqref="A20"/>
    </sheetView>
  </sheetViews>
  <sheetFormatPr defaultColWidth="8.7109375" defaultRowHeight="12.75"/>
  <cols>
    <col min="1" max="1" width="27.5703125" customWidth="1"/>
    <col min="2" max="2" width="22.42578125" style="1" customWidth="1"/>
    <col min="3" max="3" width="22.5703125" customWidth="1"/>
    <col min="7" max="7" width="10.140625" bestFit="1" customWidth="1"/>
  </cols>
  <sheetData>
    <row r="1" spans="1:7">
      <c r="A1" t="s">
        <v>134</v>
      </c>
      <c r="B1" s="1">
        <v>2019</v>
      </c>
    </row>
    <row r="2" spans="1:7">
      <c r="A2" t="s">
        <v>312</v>
      </c>
    </row>
    <row r="3" spans="1:7">
      <c r="A3" t="s">
        <v>302</v>
      </c>
      <c r="B3" s="2" t="s">
        <v>2105</v>
      </c>
    </row>
    <row r="4" spans="1:7">
      <c r="A4" t="s">
        <v>303</v>
      </c>
      <c r="B4" s="259"/>
    </row>
    <row r="5" spans="1:7">
      <c r="A5" t="s">
        <v>713</v>
      </c>
      <c r="B5" s="2"/>
    </row>
    <row r="6" spans="1:7">
      <c r="A6" t="s">
        <v>714</v>
      </c>
      <c r="B6" s="259"/>
    </row>
    <row r="8" spans="1:7">
      <c r="A8" s="4"/>
      <c r="B8" s="5"/>
      <c r="C8" s="4"/>
      <c r="D8" s="4"/>
      <c r="E8" s="4"/>
      <c r="G8" s="3"/>
    </row>
    <row r="9" spans="1:7">
      <c r="A9" s="6" t="s">
        <v>311</v>
      </c>
      <c r="B9" s="7" t="s">
        <v>310</v>
      </c>
      <c r="C9" s="167" t="s">
        <v>715</v>
      </c>
      <c r="D9" s="4"/>
      <c r="E9" s="4"/>
    </row>
    <row r="10" spans="1:7">
      <c r="A10" s="6" t="s">
        <v>135</v>
      </c>
      <c r="B10" s="341">
        <v>1</v>
      </c>
      <c r="C10" s="8"/>
      <c r="D10" s="4"/>
      <c r="E10" s="4"/>
    </row>
    <row r="11" spans="1:7">
      <c r="A11" s="6" t="s">
        <v>142</v>
      </c>
      <c r="B11" s="341"/>
      <c r="C11" s="8"/>
      <c r="D11" s="4"/>
      <c r="E11" s="4"/>
    </row>
    <row r="12" spans="1:7">
      <c r="A12" s="6" t="s">
        <v>143</v>
      </c>
      <c r="B12" s="8"/>
      <c r="C12" s="8"/>
      <c r="D12" s="4"/>
      <c r="E12" s="4"/>
    </row>
    <row r="13" spans="1:7">
      <c r="A13" s="6" t="s">
        <v>1157</v>
      </c>
      <c r="B13" s="8"/>
      <c r="C13" s="8"/>
      <c r="D13" s="4"/>
      <c r="E13" s="4"/>
    </row>
    <row r="14" spans="1:7">
      <c r="A14" s="6" t="s">
        <v>144</v>
      </c>
      <c r="B14" s="341">
        <v>2</v>
      </c>
      <c r="C14" s="8"/>
      <c r="D14" s="4"/>
      <c r="E14" s="4"/>
    </row>
    <row r="15" spans="1:7">
      <c r="A15" s="6" t="s">
        <v>2120</v>
      </c>
      <c r="B15" s="341">
        <v>3</v>
      </c>
      <c r="C15" s="8"/>
      <c r="D15" s="4"/>
      <c r="E15" s="4"/>
    </row>
    <row r="16" spans="1:7">
      <c r="A16" s="6" t="s">
        <v>1617</v>
      </c>
      <c r="B16" s="8"/>
      <c r="C16" s="8"/>
      <c r="D16" s="4"/>
      <c r="E16" s="4"/>
    </row>
    <row r="17" spans="1:5">
      <c r="A17" s="6" t="s">
        <v>2121</v>
      </c>
      <c r="B17" s="341">
        <v>4</v>
      </c>
      <c r="C17" s="8"/>
      <c r="D17" s="4"/>
      <c r="E17" s="4"/>
    </row>
    <row r="18" spans="1:5">
      <c r="A18" s="6" t="s">
        <v>1618</v>
      </c>
      <c r="B18" s="8"/>
      <c r="C18" s="8"/>
      <c r="D18" s="4"/>
      <c r="E18" s="4"/>
    </row>
    <row r="19" spans="1:5">
      <c r="A19" s="6" t="s">
        <v>2122</v>
      </c>
      <c r="B19" s="341">
        <v>5</v>
      </c>
      <c r="C19" s="8"/>
      <c r="D19" s="4"/>
      <c r="E19" s="4"/>
    </row>
    <row r="20" spans="1:5">
      <c r="A20" s="6" t="s">
        <v>1619</v>
      </c>
      <c r="B20" s="8"/>
      <c r="C20" s="8"/>
      <c r="D20" s="4"/>
      <c r="E20" s="4"/>
    </row>
    <row r="21" spans="1:5">
      <c r="A21" s="6" t="s">
        <v>16</v>
      </c>
      <c r="B21" s="341">
        <v>6</v>
      </c>
      <c r="C21" s="8"/>
      <c r="D21" s="4"/>
      <c r="E21" s="4"/>
    </row>
    <row r="22" spans="1:5">
      <c r="A22" s="6" t="s">
        <v>141</v>
      </c>
      <c r="B22" s="313">
        <v>7</v>
      </c>
      <c r="C22" s="8"/>
      <c r="D22" s="4"/>
      <c r="E22" s="4"/>
    </row>
    <row r="23" spans="1:5">
      <c r="A23" s="6" t="s">
        <v>138</v>
      </c>
      <c r="B23" s="341">
        <v>8</v>
      </c>
      <c r="C23" s="8"/>
      <c r="D23" s="4"/>
      <c r="E23" s="4"/>
    </row>
    <row r="24" spans="1:5">
      <c r="A24" s="6" t="s">
        <v>136</v>
      </c>
      <c r="B24" s="8">
        <v>9</v>
      </c>
      <c r="C24" s="8"/>
      <c r="D24" s="4"/>
      <c r="E24" s="4"/>
    </row>
    <row r="25" spans="1:5">
      <c r="A25" s="6" t="s">
        <v>137</v>
      </c>
      <c r="B25" s="8">
        <v>10</v>
      </c>
      <c r="C25" s="8"/>
      <c r="D25" s="4"/>
      <c r="E25" s="4"/>
    </row>
    <row r="26" spans="1:5">
      <c r="A26" s="6" t="s">
        <v>230</v>
      </c>
      <c r="B26" s="8">
        <v>11</v>
      </c>
      <c r="C26" s="8"/>
      <c r="D26" s="4"/>
      <c r="E26" s="4"/>
    </row>
    <row r="27" spans="1:5">
      <c r="A27" s="6" t="s">
        <v>195</v>
      </c>
      <c r="B27" s="8"/>
      <c r="C27" s="8"/>
      <c r="D27" s="4"/>
      <c r="E27" s="4"/>
    </row>
    <row r="28" spans="1:5">
      <c r="A28" s="6" t="s">
        <v>139</v>
      </c>
      <c r="B28" s="341">
        <v>12</v>
      </c>
      <c r="C28" s="8"/>
      <c r="D28" s="4"/>
      <c r="E28" s="4"/>
    </row>
    <row r="29" spans="1:5">
      <c r="A29" s="6" t="s">
        <v>140</v>
      </c>
      <c r="B29" s="8"/>
      <c r="C29" s="8"/>
      <c r="D29" s="4"/>
      <c r="E29" s="4"/>
    </row>
    <row r="30" spans="1:5">
      <c r="A30" s="9" t="s">
        <v>290</v>
      </c>
      <c r="B30" s="313">
        <v>13</v>
      </c>
      <c r="C30" s="8"/>
      <c r="D30" s="4"/>
      <c r="E30" s="4"/>
    </row>
    <row r="31" spans="1:5">
      <c r="A31" s="9" t="s">
        <v>590</v>
      </c>
      <c r="B31" s="313">
        <v>14</v>
      </c>
      <c r="C31" s="8"/>
      <c r="D31" s="4"/>
      <c r="E31" s="4"/>
    </row>
    <row r="32" spans="1:5">
      <c r="A32" s="8" t="s">
        <v>1992</v>
      </c>
      <c r="B32" s="8">
        <v>15</v>
      </c>
      <c r="C32" s="8"/>
      <c r="D32" s="4"/>
      <c r="E32" s="4"/>
    </row>
    <row r="33" spans="1:5">
      <c r="A33" s="9" t="s">
        <v>1417</v>
      </c>
      <c r="B33" s="313">
        <v>16</v>
      </c>
      <c r="C33" s="8"/>
      <c r="D33" s="4"/>
      <c r="E33" s="4"/>
    </row>
    <row r="34" spans="1:5">
      <c r="A34" s="8" t="s">
        <v>1418</v>
      </c>
      <c r="B34" s="313">
        <v>17</v>
      </c>
      <c r="C34" s="8"/>
      <c r="D34" s="4"/>
      <c r="E34" s="4"/>
    </row>
    <row r="35" spans="1:5">
      <c r="A35" s="6" t="s">
        <v>1235</v>
      </c>
      <c r="B35" s="313">
        <v>18</v>
      </c>
      <c r="C35" s="8"/>
      <c r="D35" s="4"/>
      <c r="E35" s="4"/>
    </row>
    <row r="36" spans="1:5">
      <c r="A36" s="8" t="s">
        <v>1419</v>
      </c>
      <c r="B36" s="313">
        <v>19</v>
      </c>
      <c r="C36" s="8"/>
      <c r="D36" s="4"/>
      <c r="E36" s="4"/>
    </row>
    <row r="37" spans="1:5">
      <c r="A37" s="6" t="s">
        <v>1443</v>
      </c>
      <c r="B37" s="313">
        <v>24</v>
      </c>
      <c r="C37" s="6"/>
      <c r="D37" s="4"/>
      <c r="E37" s="4"/>
    </row>
    <row r="38" spans="1:5">
      <c r="A38" s="6" t="s">
        <v>46</v>
      </c>
      <c r="B38" s="313">
        <v>20</v>
      </c>
      <c r="C38" s="6"/>
      <c r="D38" s="4"/>
      <c r="E38" s="4"/>
    </row>
    <row r="39" spans="1:5">
      <c r="A39" s="6" t="s">
        <v>1840</v>
      </c>
      <c r="B39" s="342">
        <v>21</v>
      </c>
      <c r="C39" s="6"/>
      <c r="D39" s="4"/>
      <c r="E39" s="4"/>
    </row>
    <row r="40" spans="1:5">
      <c r="A40" s="363" t="s">
        <v>1627</v>
      </c>
      <c r="B40" s="377">
        <v>22</v>
      </c>
      <c r="C40" s="363"/>
      <c r="D40" s="4"/>
      <c r="E40" s="4"/>
    </row>
    <row r="41" spans="1:5">
      <c r="A41" s="387" t="s">
        <v>2056</v>
      </c>
      <c r="B41" s="388">
        <v>23</v>
      </c>
      <c r="C41" s="389"/>
      <c r="D41" s="4"/>
      <c r="E41" s="4"/>
    </row>
    <row r="42" spans="1:5">
      <c r="A42" s="4"/>
      <c r="B42" s="5"/>
      <c r="C42" s="4"/>
      <c r="D42" s="4"/>
      <c r="E42" s="4"/>
    </row>
    <row r="43" spans="1:5">
      <c r="A43" s="4"/>
      <c r="B43" s="5"/>
      <c r="C43" s="4"/>
      <c r="D43" s="4"/>
      <c r="E43" s="4"/>
    </row>
    <row r="44" spans="1:5">
      <c r="A44" s="4"/>
      <c r="B44" s="5"/>
      <c r="C44" s="4"/>
      <c r="D44" s="4"/>
      <c r="E44" s="4"/>
    </row>
    <row r="45" spans="1:5">
      <c r="A45" s="4"/>
      <c r="B45" s="5"/>
      <c r="C45" s="4"/>
      <c r="D45" s="4"/>
      <c r="E45" s="4"/>
    </row>
    <row r="46" spans="1:5">
      <c r="A46" s="4"/>
      <c r="B46" s="5"/>
      <c r="C46" s="4"/>
      <c r="D46" s="4"/>
      <c r="E46" s="4"/>
    </row>
    <row r="47" spans="1:5">
      <c r="A47" s="4"/>
      <c r="B47" s="5"/>
      <c r="C47" s="4"/>
      <c r="D47" s="4"/>
      <c r="E47" s="4"/>
    </row>
    <row r="48" spans="1:5">
      <c r="A48" s="4"/>
      <c r="B48" s="5"/>
      <c r="C48" s="4"/>
      <c r="D48" s="4"/>
      <c r="E48" s="4"/>
    </row>
    <row r="49" spans="1:5">
      <c r="A49" s="4"/>
      <c r="B49" s="5"/>
      <c r="C49" s="4"/>
      <c r="D49" s="4"/>
      <c r="E49" s="4"/>
    </row>
    <row r="50" spans="1:5">
      <c r="A50" s="4"/>
      <c r="B50" s="5"/>
      <c r="C50" s="4"/>
      <c r="D50" s="4"/>
      <c r="E50" s="4"/>
    </row>
    <row r="51" spans="1:5">
      <c r="A51" s="4"/>
      <c r="B51" s="5"/>
      <c r="C51" s="4"/>
      <c r="D51" s="4"/>
      <c r="E51" s="4"/>
    </row>
    <row r="52" spans="1:5">
      <c r="A52" s="4"/>
      <c r="B52" s="5"/>
      <c r="C52" s="4"/>
      <c r="D52" s="4"/>
      <c r="E52" s="4"/>
    </row>
    <row r="53" spans="1:5">
      <c r="A53" s="4"/>
      <c r="B53" s="5"/>
      <c r="C53" s="4"/>
      <c r="D53" s="4"/>
      <c r="E53" s="4"/>
    </row>
    <row r="54" spans="1:5">
      <c r="A54" s="4"/>
      <c r="B54" s="5"/>
      <c r="C54" s="4"/>
      <c r="D54" s="4"/>
      <c r="E54" s="4"/>
    </row>
    <row r="55" spans="1:5">
      <c r="A55" s="4"/>
      <c r="B55" s="5"/>
      <c r="C55" s="4"/>
      <c r="D55" s="4"/>
      <c r="E55" s="4"/>
    </row>
    <row r="56" spans="1:5">
      <c r="A56" s="4"/>
      <c r="B56" s="5"/>
      <c r="C56" s="4"/>
      <c r="D56" s="4"/>
      <c r="E56" s="4"/>
    </row>
    <row r="57" spans="1:5">
      <c r="A57" s="4"/>
      <c r="B57" s="5"/>
      <c r="C57" s="4"/>
      <c r="D57" s="4"/>
      <c r="E57" s="4"/>
    </row>
    <row r="58" spans="1:5">
      <c r="A58" s="4"/>
      <c r="B58" s="5"/>
      <c r="C58" s="4"/>
      <c r="D58" s="4"/>
      <c r="E58" s="4"/>
    </row>
    <row r="59" spans="1:5">
      <c r="A59" s="4"/>
      <c r="B59" s="5"/>
      <c r="C59" s="4"/>
      <c r="D59" s="4"/>
      <c r="E59" s="4"/>
    </row>
    <row r="60" spans="1:5">
      <c r="A60" s="4"/>
      <c r="B60" s="5"/>
      <c r="C60" s="4"/>
      <c r="D60" s="4"/>
      <c r="E60" s="4"/>
    </row>
    <row r="61" spans="1:5">
      <c r="A61" s="4"/>
      <c r="B61" s="5"/>
      <c r="C61" s="4"/>
      <c r="D61" s="4"/>
      <c r="E61" s="4"/>
    </row>
    <row r="62" spans="1:5">
      <c r="A62" s="4"/>
      <c r="B62" s="5"/>
      <c r="C62" s="4"/>
      <c r="D62" s="4"/>
      <c r="E62" s="4"/>
    </row>
    <row r="63" spans="1:5">
      <c r="A63" s="4"/>
      <c r="B63" s="5"/>
      <c r="C63" s="4"/>
      <c r="D63" s="4"/>
      <c r="E63" s="4"/>
    </row>
    <row r="64" spans="1:5">
      <c r="A64" s="4"/>
      <c r="B64" s="5"/>
      <c r="C64" s="4"/>
      <c r="D64" s="4"/>
      <c r="E64" s="4"/>
    </row>
    <row r="65" spans="1:5">
      <c r="A65" s="4"/>
      <c r="B65" s="5"/>
      <c r="C65" s="4"/>
      <c r="D65" s="4"/>
      <c r="E65" s="4"/>
    </row>
    <row r="66" spans="1:5">
      <c r="A66" s="4"/>
      <c r="B66" s="5"/>
      <c r="C66" s="4"/>
      <c r="D66" s="4"/>
      <c r="E66" s="4"/>
    </row>
    <row r="67" spans="1:5">
      <c r="A67" s="4"/>
      <c r="B67" s="5"/>
      <c r="C67" s="4"/>
      <c r="D67" s="4"/>
      <c r="E67" s="4"/>
    </row>
    <row r="68" spans="1:5">
      <c r="A68" s="4"/>
      <c r="B68" s="5"/>
      <c r="C68" s="4"/>
      <c r="D68" s="4"/>
      <c r="E68" s="4"/>
    </row>
    <row r="69" spans="1:5">
      <c r="A69" s="4"/>
      <c r="B69" s="5"/>
      <c r="C69" s="4"/>
      <c r="D69" s="4"/>
      <c r="E69" s="4"/>
    </row>
    <row r="70" spans="1:5">
      <c r="A70" s="4"/>
      <c r="B70" s="5"/>
      <c r="C70" s="4"/>
      <c r="D70" s="4"/>
      <c r="E70" s="4"/>
    </row>
    <row r="71" spans="1:5">
      <c r="A71" s="4"/>
      <c r="B71" s="5"/>
      <c r="C71" s="4"/>
      <c r="D71" s="4"/>
      <c r="E71" s="4"/>
    </row>
    <row r="72" spans="1:5">
      <c r="A72" s="4"/>
      <c r="B72" s="5"/>
      <c r="C72" s="4"/>
      <c r="D72" s="4"/>
      <c r="E72" s="4"/>
    </row>
    <row r="73" spans="1:5">
      <c r="A73" s="4"/>
      <c r="B73" s="5"/>
      <c r="C73" s="4"/>
      <c r="D73" s="4"/>
      <c r="E73" s="4"/>
    </row>
    <row r="74" spans="1:5">
      <c r="A74" s="4"/>
      <c r="B74" s="5"/>
      <c r="C74" s="4"/>
      <c r="D74" s="4"/>
      <c r="E74" s="4"/>
    </row>
    <row r="75" spans="1:5">
      <c r="A75" s="4"/>
      <c r="B75" s="5"/>
      <c r="C75" s="4"/>
      <c r="D75" s="4"/>
      <c r="E75" s="4"/>
    </row>
    <row r="76" spans="1:5">
      <c r="A76" s="4"/>
      <c r="B76" s="5"/>
      <c r="C76" s="4"/>
      <c r="D76" s="4"/>
      <c r="E76" s="4"/>
    </row>
    <row r="77" spans="1:5">
      <c r="A77" s="4"/>
      <c r="B77" s="5"/>
      <c r="C77" s="4"/>
      <c r="D77" s="4"/>
      <c r="E77" s="4"/>
    </row>
    <row r="78" spans="1:5">
      <c r="A78" s="4"/>
      <c r="B78" s="5"/>
      <c r="C78" s="4"/>
      <c r="D78" s="4"/>
      <c r="E78" s="4"/>
    </row>
    <row r="79" spans="1:5">
      <c r="A79" s="4"/>
      <c r="B79" s="5"/>
      <c r="C79" s="4"/>
      <c r="D79" s="4"/>
      <c r="E79" s="4"/>
    </row>
    <row r="80" spans="1:5">
      <c r="A80" s="4"/>
      <c r="B80" s="5"/>
      <c r="C80" s="4"/>
      <c r="D80" s="4"/>
      <c r="E80" s="4"/>
    </row>
    <row r="81" spans="1:5">
      <c r="A81" s="4"/>
      <c r="B81" s="5"/>
      <c r="C81" s="4"/>
      <c r="D81" s="4"/>
      <c r="E81" s="4"/>
    </row>
    <row r="82" spans="1:5">
      <c r="A82" s="4"/>
      <c r="B82" s="5"/>
      <c r="C82" s="4"/>
      <c r="D82" s="4"/>
      <c r="E82" s="4"/>
    </row>
    <row r="83" spans="1:5">
      <c r="A83" s="4"/>
      <c r="B83" s="5"/>
      <c r="C83" s="4"/>
      <c r="D83" s="4"/>
      <c r="E83" s="4"/>
    </row>
    <row r="84" spans="1:5">
      <c r="A84" s="4"/>
      <c r="B84" s="5"/>
      <c r="C84" s="4"/>
      <c r="D84" s="4"/>
      <c r="E84" s="4"/>
    </row>
    <row r="85" spans="1:5">
      <c r="A85" s="4"/>
      <c r="B85" s="5"/>
      <c r="C85" s="4"/>
      <c r="D85" s="4"/>
      <c r="E85" s="4"/>
    </row>
    <row r="86" spans="1:5">
      <c r="A86" s="4"/>
      <c r="B86" s="5"/>
      <c r="C86" s="4"/>
      <c r="D86" s="4"/>
      <c r="E86" s="4"/>
    </row>
    <row r="87" spans="1:5">
      <c r="A87" s="4"/>
      <c r="B87" s="5"/>
      <c r="C87" s="4"/>
      <c r="D87" s="4"/>
      <c r="E87" s="4"/>
    </row>
    <row r="88" spans="1:5">
      <c r="A88" s="4"/>
      <c r="B88" s="5"/>
      <c r="C88" s="4"/>
      <c r="D88" s="4"/>
      <c r="E88" s="4"/>
    </row>
    <row r="89" spans="1:5">
      <c r="A89" s="4"/>
      <c r="B89" s="5"/>
      <c r="C89" s="4"/>
      <c r="D89" s="4"/>
      <c r="E89" s="4"/>
    </row>
    <row r="90" spans="1:5">
      <c r="A90" s="4"/>
      <c r="B90" s="5"/>
      <c r="C90" s="4"/>
      <c r="D90" s="4"/>
      <c r="E90" s="4"/>
    </row>
    <row r="91" spans="1:5">
      <c r="A91" s="4"/>
      <c r="B91" s="5"/>
      <c r="C91" s="4"/>
      <c r="D91" s="4"/>
      <c r="E91" s="4"/>
    </row>
    <row r="92" spans="1:5">
      <c r="A92" s="4"/>
      <c r="B92" s="5"/>
      <c r="C92" s="4"/>
      <c r="D92" s="4"/>
      <c r="E92" s="4"/>
    </row>
    <row r="93" spans="1:5">
      <c r="A93" s="4"/>
      <c r="B93" s="5"/>
      <c r="C93" s="4"/>
      <c r="D93" s="4"/>
      <c r="E93" s="4"/>
    </row>
    <row r="94" spans="1:5">
      <c r="A94" s="4"/>
      <c r="B94" s="5"/>
      <c r="C94" s="4"/>
      <c r="D94" s="4"/>
      <c r="E94" s="4"/>
    </row>
    <row r="95" spans="1:5">
      <c r="A95" s="4"/>
      <c r="B95" s="5"/>
      <c r="C95" s="4"/>
      <c r="D95" s="4"/>
      <c r="E95" s="4"/>
    </row>
    <row r="96" spans="1:5">
      <c r="A96" s="4"/>
      <c r="B96" s="5"/>
      <c r="C96" s="4"/>
      <c r="D96" s="4"/>
      <c r="E96" s="4"/>
    </row>
    <row r="97" spans="1:5">
      <c r="A97" s="4"/>
      <c r="B97" s="5"/>
      <c r="C97" s="4"/>
      <c r="D97" s="4"/>
      <c r="E97" s="4"/>
    </row>
    <row r="98" spans="1:5">
      <c r="A98" s="4"/>
      <c r="B98" s="5"/>
      <c r="C98" s="4"/>
      <c r="D98" s="4"/>
      <c r="E98" s="4"/>
    </row>
    <row r="99" spans="1:5">
      <c r="A99" s="4"/>
      <c r="B99" s="5"/>
      <c r="C99" s="4"/>
      <c r="D99" s="4"/>
      <c r="E99" s="4"/>
    </row>
    <row r="100" spans="1:5">
      <c r="A100" s="4"/>
      <c r="B100" s="5"/>
      <c r="C100" s="4"/>
      <c r="D100" s="4"/>
      <c r="E100" s="4"/>
    </row>
    <row r="101" spans="1:5">
      <c r="A101" s="4"/>
      <c r="B101" s="5"/>
      <c r="C101" s="4"/>
      <c r="D101" s="4"/>
      <c r="E101" s="4"/>
    </row>
    <row r="102" spans="1:5">
      <c r="A102" s="4"/>
      <c r="B102" s="5"/>
      <c r="C102" s="4"/>
      <c r="D102" s="4"/>
      <c r="E102" s="4"/>
    </row>
    <row r="103" spans="1:5">
      <c r="A103" s="4"/>
      <c r="B103" s="5"/>
      <c r="C103" s="4"/>
      <c r="D103" s="4"/>
      <c r="E103" s="4"/>
    </row>
    <row r="104" spans="1:5">
      <c r="A104" s="4"/>
      <c r="B104" s="5"/>
      <c r="C104" s="4"/>
      <c r="D104" s="4"/>
      <c r="E104" s="4"/>
    </row>
    <row r="105" spans="1:5">
      <c r="A105" s="4"/>
      <c r="B105" s="5"/>
      <c r="C105" s="4"/>
      <c r="D105" s="4"/>
      <c r="E105" s="4"/>
    </row>
    <row r="106" spans="1:5">
      <c r="A106" s="4"/>
      <c r="B106" s="5"/>
      <c r="C106" s="4"/>
      <c r="D106" s="4"/>
      <c r="E106" s="4"/>
    </row>
    <row r="107" spans="1:5">
      <c r="A107" s="4"/>
      <c r="B107" s="5"/>
      <c r="C107" s="4"/>
      <c r="D107" s="4"/>
      <c r="E107" s="4"/>
    </row>
    <row r="108" spans="1:5">
      <c r="A108" s="4"/>
      <c r="B108" s="5"/>
      <c r="C108" s="4"/>
      <c r="D108" s="4"/>
      <c r="E108" s="4"/>
    </row>
    <row r="109" spans="1:5">
      <c r="A109" s="4"/>
      <c r="B109" s="5"/>
      <c r="C109" s="4"/>
      <c r="D109" s="4"/>
      <c r="E109" s="4"/>
    </row>
    <row r="110" spans="1:5">
      <c r="A110" s="4"/>
      <c r="B110" s="5"/>
      <c r="C110" s="4"/>
      <c r="D110" s="4"/>
      <c r="E110" s="4"/>
    </row>
    <row r="111" spans="1:5">
      <c r="A111" s="4"/>
      <c r="B111" s="5"/>
      <c r="C111" s="4"/>
      <c r="D111" s="4"/>
      <c r="E111" s="4"/>
    </row>
    <row r="112" spans="1:5">
      <c r="A112" s="4"/>
      <c r="B112" s="5"/>
      <c r="C112" s="4"/>
      <c r="D112" s="4"/>
      <c r="E112" s="4"/>
    </row>
    <row r="113" spans="1:5">
      <c r="A113" s="4"/>
      <c r="B113" s="5"/>
      <c r="C113" s="4"/>
      <c r="D113" s="4"/>
      <c r="E113" s="4"/>
    </row>
    <row r="114" spans="1:5">
      <c r="A114" s="4"/>
      <c r="B114" s="5"/>
      <c r="C114" s="4"/>
      <c r="D114" s="4"/>
      <c r="E114" s="4"/>
    </row>
    <row r="115" spans="1:5">
      <c r="A115" s="4"/>
      <c r="B115" s="5"/>
      <c r="C115" s="4"/>
      <c r="D115" s="4"/>
      <c r="E115" s="4"/>
    </row>
    <row r="116" spans="1:5">
      <c r="A116" s="4"/>
      <c r="B116" s="5"/>
      <c r="C116" s="4"/>
      <c r="D116" s="4"/>
      <c r="E116" s="4"/>
    </row>
    <row r="117" spans="1:5">
      <c r="A117" s="4"/>
      <c r="B117" s="5"/>
      <c r="C117" s="4"/>
      <c r="D117" s="4"/>
      <c r="E117" s="4"/>
    </row>
    <row r="118" spans="1:5">
      <c r="A118" s="4"/>
      <c r="B118" s="5"/>
      <c r="C118" s="4"/>
      <c r="D118" s="4"/>
      <c r="E118" s="4"/>
    </row>
    <row r="119" spans="1:5">
      <c r="A119" s="4"/>
      <c r="B119" s="5"/>
      <c r="C119" s="4"/>
      <c r="D119" s="4"/>
      <c r="E119" s="4"/>
    </row>
    <row r="120" spans="1:5">
      <c r="A120" s="4"/>
      <c r="B120" s="5"/>
      <c r="C120" s="4"/>
      <c r="D120" s="4"/>
      <c r="E120" s="4"/>
    </row>
    <row r="121" spans="1:5">
      <c r="A121" s="4"/>
      <c r="B121" s="5"/>
      <c r="C121" s="4"/>
      <c r="D121" s="4"/>
      <c r="E121" s="4"/>
    </row>
    <row r="122" spans="1:5">
      <c r="A122" s="4"/>
      <c r="B122" s="5"/>
      <c r="C122" s="4"/>
      <c r="D122" s="4"/>
      <c r="E122" s="4"/>
    </row>
    <row r="123" spans="1:5">
      <c r="A123" s="4"/>
      <c r="B123" s="5"/>
      <c r="C123" s="4"/>
      <c r="D123" s="4"/>
      <c r="E123" s="4"/>
    </row>
    <row r="124" spans="1:5">
      <c r="A124" s="4"/>
      <c r="B124" s="5"/>
      <c r="C124" s="4"/>
      <c r="D124" s="4"/>
      <c r="E124" s="4"/>
    </row>
    <row r="125" spans="1:5">
      <c r="A125" s="4"/>
      <c r="B125" s="5"/>
      <c r="C125" s="4"/>
      <c r="D125" s="4"/>
      <c r="E125" s="4"/>
    </row>
    <row r="126" spans="1:5">
      <c r="A126" s="4"/>
      <c r="B126" s="5"/>
      <c r="C126" s="4"/>
      <c r="D126" s="4"/>
      <c r="E126" s="4"/>
    </row>
    <row r="127" spans="1:5">
      <c r="A127" s="4"/>
      <c r="B127" s="5"/>
      <c r="C127" s="4"/>
      <c r="D127" s="4"/>
      <c r="E127" s="4"/>
    </row>
    <row r="128" spans="1:5">
      <c r="A128" s="4"/>
      <c r="B128" s="5"/>
      <c r="C128" s="4"/>
      <c r="D128" s="4"/>
      <c r="E128" s="4"/>
    </row>
    <row r="129" spans="1:5">
      <c r="A129" s="4"/>
      <c r="B129" s="5"/>
      <c r="C129" s="4"/>
      <c r="D129" s="4"/>
      <c r="E129" s="4"/>
    </row>
    <row r="130" spans="1:5">
      <c r="A130" s="4"/>
      <c r="B130" s="5"/>
      <c r="C130" s="4"/>
      <c r="D130" s="4"/>
      <c r="E130" s="4"/>
    </row>
    <row r="131" spans="1:5">
      <c r="A131" s="4"/>
      <c r="B131" s="5"/>
      <c r="C131" s="4"/>
      <c r="D131" s="4"/>
      <c r="E131" s="4"/>
    </row>
    <row r="132" spans="1:5">
      <c r="A132" s="4"/>
      <c r="B132" s="5"/>
      <c r="C132" s="4"/>
      <c r="D132" s="4"/>
      <c r="E132" s="4"/>
    </row>
    <row r="133" spans="1:5">
      <c r="A133" s="4"/>
      <c r="B133" s="5"/>
      <c r="C133" s="4"/>
      <c r="D133" s="4"/>
      <c r="E133" s="4"/>
    </row>
    <row r="134" spans="1:5">
      <c r="A134" s="4"/>
      <c r="B134" s="5"/>
      <c r="C134" s="4"/>
      <c r="D134" s="4"/>
      <c r="E134" s="4"/>
    </row>
    <row r="135" spans="1:5">
      <c r="A135" s="4"/>
      <c r="B135" s="5"/>
      <c r="C135" s="4"/>
      <c r="D135" s="4"/>
      <c r="E135" s="4"/>
    </row>
    <row r="136" spans="1:5">
      <c r="A136" s="4"/>
      <c r="B136" s="5"/>
      <c r="C136" s="4"/>
      <c r="D136" s="4"/>
      <c r="E136" s="4"/>
    </row>
    <row r="137" spans="1:5">
      <c r="A137" s="4"/>
      <c r="B137" s="5"/>
      <c r="C137" s="4"/>
      <c r="D137" s="4"/>
      <c r="E137" s="4"/>
    </row>
    <row r="138" spans="1:5">
      <c r="A138" s="4"/>
      <c r="B138" s="5"/>
      <c r="C138" s="4"/>
      <c r="D138" s="4"/>
      <c r="E138" s="4"/>
    </row>
    <row r="139" spans="1:5">
      <c r="A139" s="4"/>
      <c r="B139" s="5"/>
      <c r="C139" s="4"/>
      <c r="D139" s="4"/>
      <c r="E139" s="4"/>
    </row>
    <row r="140" spans="1:5">
      <c r="A140" s="4"/>
      <c r="B140" s="5"/>
      <c r="C140" s="4"/>
      <c r="D140" s="4"/>
      <c r="E140" s="4"/>
    </row>
    <row r="141" spans="1:5">
      <c r="A141" s="4"/>
      <c r="B141" s="5"/>
      <c r="C141" s="4"/>
      <c r="D141" s="4"/>
      <c r="E141" s="4"/>
    </row>
    <row r="142" spans="1:5">
      <c r="A142" s="4"/>
      <c r="B142" s="5"/>
      <c r="C142" s="4"/>
      <c r="D142" s="4"/>
      <c r="E142" s="4"/>
    </row>
    <row r="143" spans="1:5">
      <c r="A143" s="4"/>
      <c r="B143" s="5"/>
      <c r="C143" s="4"/>
      <c r="D143" s="4"/>
      <c r="E143" s="4"/>
    </row>
    <row r="144" spans="1:5">
      <c r="A144" s="4"/>
      <c r="B144" s="5"/>
      <c r="C144" s="4"/>
      <c r="D144" s="4"/>
      <c r="E144" s="4"/>
    </row>
    <row r="145" spans="1:5">
      <c r="A145" s="4"/>
      <c r="B145" s="5"/>
      <c r="C145" s="4"/>
      <c r="D145" s="4"/>
      <c r="E145" s="4"/>
    </row>
    <row r="146" spans="1:5">
      <c r="A146" s="4"/>
      <c r="B146" s="5"/>
      <c r="C146" s="4"/>
      <c r="D146" s="4"/>
      <c r="E146" s="4"/>
    </row>
    <row r="147" spans="1:5">
      <c r="A147" s="4"/>
      <c r="B147" s="5"/>
      <c r="C147" s="4"/>
      <c r="D147" s="4"/>
      <c r="E147" s="4"/>
    </row>
    <row r="148" spans="1:5">
      <c r="A148" s="4"/>
      <c r="B148" s="5"/>
      <c r="C148" s="4"/>
      <c r="D148" s="4"/>
      <c r="E148" s="4"/>
    </row>
    <row r="149" spans="1:5">
      <c r="A149" s="4"/>
      <c r="B149" s="5"/>
      <c r="C149" s="4"/>
      <c r="D149" s="4"/>
      <c r="E149" s="4"/>
    </row>
    <row r="150" spans="1:5">
      <c r="A150" s="4"/>
      <c r="B150" s="5"/>
      <c r="C150" s="4"/>
      <c r="D150" s="4"/>
      <c r="E150" s="4"/>
    </row>
    <row r="151" spans="1:5">
      <c r="A151" s="4"/>
      <c r="B151" s="5"/>
      <c r="C151" s="4"/>
      <c r="D151" s="4"/>
      <c r="E151" s="4"/>
    </row>
    <row r="152" spans="1:5">
      <c r="A152" s="4"/>
      <c r="B152" s="5"/>
      <c r="C152" s="4"/>
      <c r="D152" s="4"/>
      <c r="E152" s="4"/>
    </row>
    <row r="153" spans="1:5">
      <c r="A153" s="4"/>
      <c r="B153" s="5"/>
      <c r="C153" s="4"/>
      <c r="D153" s="4"/>
      <c r="E153" s="4"/>
    </row>
    <row r="154" spans="1:5">
      <c r="A154" s="4"/>
      <c r="B154" s="5"/>
      <c r="C154" s="4"/>
      <c r="D154" s="4"/>
      <c r="E154" s="4"/>
    </row>
    <row r="155" spans="1:5">
      <c r="A155" s="4"/>
      <c r="B155" s="5"/>
      <c r="C155" s="4"/>
      <c r="D155" s="4"/>
      <c r="E155" s="4"/>
    </row>
    <row r="156" spans="1:5">
      <c r="A156" s="4"/>
      <c r="B156" s="5"/>
      <c r="C156" s="4"/>
      <c r="D156" s="4"/>
      <c r="E156" s="4"/>
    </row>
    <row r="157" spans="1:5">
      <c r="A157" s="4"/>
      <c r="B157" s="5"/>
      <c r="C157" s="4"/>
      <c r="D157" s="4"/>
      <c r="E157" s="4"/>
    </row>
    <row r="158" spans="1:5">
      <c r="A158" s="4"/>
      <c r="B158" s="5"/>
      <c r="C158" s="4"/>
      <c r="D158" s="4"/>
      <c r="E158" s="4"/>
    </row>
    <row r="159" spans="1:5">
      <c r="A159" s="4"/>
      <c r="B159" s="5"/>
      <c r="C159" s="4"/>
      <c r="D159" s="4"/>
      <c r="E159" s="4"/>
    </row>
    <row r="160" spans="1:5">
      <c r="A160" s="4"/>
      <c r="B160" s="5"/>
      <c r="C160" s="4"/>
      <c r="D160" s="4"/>
      <c r="E160" s="4"/>
    </row>
    <row r="161" spans="1:5">
      <c r="A161" s="4"/>
      <c r="B161" s="5"/>
      <c r="C161" s="4"/>
      <c r="D161" s="4"/>
      <c r="E161" s="4"/>
    </row>
    <row r="162" spans="1:5">
      <c r="A162" s="4"/>
      <c r="B162" s="5"/>
      <c r="C162" s="4"/>
      <c r="D162" s="4"/>
      <c r="E162" s="4"/>
    </row>
    <row r="163" spans="1:5">
      <c r="A163" s="4"/>
      <c r="B163" s="5"/>
      <c r="C163" s="4"/>
      <c r="D163" s="4"/>
      <c r="E163" s="4"/>
    </row>
    <row r="164" spans="1:5">
      <c r="A164" s="4"/>
      <c r="B164" s="5"/>
      <c r="C164" s="4"/>
      <c r="D164" s="4"/>
      <c r="E164" s="4"/>
    </row>
    <row r="165" spans="1:5">
      <c r="A165" s="4"/>
      <c r="B165" s="5"/>
      <c r="C165" s="4"/>
      <c r="D165" s="4"/>
      <c r="E165" s="4"/>
    </row>
    <row r="166" spans="1:5">
      <c r="A166" s="4"/>
      <c r="B166" s="5"/>
      <c r="C166" s="4"/>
      <c r="D166" s="4"/>
      <c r="E166" s="4"/>
    </row>
    <row r="167" spans="1:5">
      <c r="A167" s="4"/>
      <c r="B167" s="5"/>
      <c r="C167" s="4"/>
      <c r="D167" s="4"/>
      <c r="E167" s="4"/>
    </row>
    <row r="168" spans="1:5">
      <c r="A168" s="4"/>
      <c r="B168" s="5"/>
      <c r="C168" s="4"/>
      <c r="D168" s="4"/>
      <c r="E168" s="4"/>
    </row>
    <row r="169" spans="1:5">
      <c r="A169" s="4"/>
      <c r="B169" s="5"/>
      <c r="C169" s="4"/>
      <c r="D169" s="4"/>
      <c r="E169" s="4"/>
    </row>
    <row r="170" spans="1:5">
      <c r="A170" s="4"/>
      <c r="B170" s="5"/>
      <c r="C170" s="4"/>
      <c r="D170" s="4"/>
      <c r="E170" s="4"/>
    </row>
    <row r="171" spans="1:5">
      <c r="A171" s="4"/>
      <c r="B171" s="5"/>
      <c r="C171" s="4"/>
      <c r="D171" s="4"/>
      <c r="E171" s="4"/>
    </row>
    <row r="172" spans="1:5">
      <c r="A172" s="4"/>
      <c r="B172" s="5"/>
      <c r="C172" s="4"/>
      <c r="D172" s="4"/>
      <c r="E172" s="4"/>
    </row>
    <row r="173" spans="1:5">
      <c r="A173" s="4"/>
      <c r="B173" s="5"/>
      <c r="C173" s="4"/>
      <c r="D173" s="4"/>
      <c r="E173" s="4"/>
    </row>
    <row r="174" spans="1:5">
      <c r="A174" s="4"/>
      <c r="B174" s="5"/>
      <c r="C174" s="4"/>
      <c r="D174" s="4"/>
      <c r="E174" s="4"/>
    </row>
    <row r="175" spans="1:5">
      <c r="A175" s="4"/>
      <c r="B175" s="5"/>
      <c r="C175" s="4"/>
      <c r="D175" s="4"/>
      <c r="E175" s="4"/>
    </row>
    <row r="176" spans="1:5">
      <c r="A176" s="4"/>
      <c r="B176" s="5"/>
      <c r="C176" s="4"/>
      <c r="D176" s="4"/>
      <c r="E176" s="4"/>
    </row>
    <row r="177" spans="1:5">
      <c r="A177" s="4"/>
      <c r="B177" s="5"/>
      <c r="C177" s="4"/>
      <c r="D177" s="4"/>
      <c r="E177" s="4"/>
    </row>
    <row r="178" spans="1:5">
      <c r="A178" s="4"/>
      <c r="B178" s="5"/>
      <c r="C178" s="4"/>
      <c r="D178" s="4"/>
      <c r="E178" s="4"/>
    </row>
    <row r="179" spans="1:5">
      <c r="A179" s="4"/>
      <c r="B179" s="5"/>
      <c r="C179" s="4"/>
      <c r="D179" s="4"/>
      <c r="E179" s="4"/>
    </row>
    <row r="180" spans="1:5">
      <c r="A180" s="4"/>
      <c r="B180" s="5"/>
      <c r="C180" s="4"/>
      <c r="D180" s="4"/>
      <c r="E180" s="4"/>
    </row>
    <row r="181" spans="1:5">
      <c r="A181" s="4"/>
      <c r="B181" s="5"/>
      <c r="C181" s="4"/>
      <c r="D181" s="4"/>
      <c r="E181" s="4"/>
    </row>
    <row r="182" spans="1:5">
      <c r="A182" s="4"/>
      <c r="B182" s="5"/>
      <c r="C182" s="4"/>
      <c r="D182" s="4"/>
      <c r="E182" s="4"/>
    </row>
    <row r="183" spans="1:5">
      <c r="A183" s="4"/>
      <c r="B183" s="5"/>
      <c r="C183" s="4"/>
      <c r="D183" s="4"/>
      <c r="E183" s="4"/>
    </row>
    <row r="184" spans="1:5">
      <c r="A184" s="4"/>
      <c r="B184" s="5"/>
      <c r="C184" s="4"/>
      <c r="D184" s="4"/>
      <c r="E184" s="4"/>
    </row>
    <row r="185" spans="1:5">
      <c r="A185" s="4"/>
      <c r="B185" s="5"/>
      <c r="C185" s="4"/>
      <c r="D185" s="4"/>
      <c r="E185" s="4"/>
    </row>
    <row r="186" spans="1:5">
      <c r="A186" s="4"/>
      <c r="B186" s="5"/>
      <c r="C186" s="4"/>
      <c r="D186" s="4"/>
      <c r="E186" s="4"/>
    </row>
    <row r="187" spans="1:5">
      <c r="A187" s="4"/>
      <c r="B187" s="5"/>
      <c r="C187" s="4"/>
      <c r="D187" s="4"/>
      <c r="E187" s="4"/>
    </row>
    <row r="188" spans="1:5">
      <c r="A188" s="4"/>
      <c r="B188" s="5"/>
      <c r="C188" s="4"/>
      <c r="D188" s="4"/>
      <c r="E188" s="4"/>
    </row>
    <row r="189" spans="1:5">
      <c r="A189" s="4"/>
      <c r="B189" s="5"/>
      <c r="C189" s="4"/>
      <c r="D189" s="4"/>
      <c r="E189" s="4"/>
    </row>
    <row r="190" spans="1:5">
      <c r="A190" s="4"/>
      <c r="B190" s="5"/>
      <c r="C190" s="4"/>
      <c r="D190" s="4"/>
      <c r="E190" s="4"/>
    </row>
    <row r="191" spans="1:5">
      <c r="A191" s="4"/>
      <c r="B191" s="5"/>
      <c r="C191" s="4"/>
      <c r="D191" s="4"/>
      <c r="E191" s="4"/>
    </row>
    <row r="192" spans="1:5">
      <c r="A192" s="4"/>
      <c r="B192" s="5"/>
      <c r="C192" s="4"/>
      <c r="D192" s="4"/>
      <c r="E192" s="4"/>
    </row>
    <row r="193" spans="1:5">
      <c r="A193" s="4"/>
      <c r="B193" s="5"/>
      <c r="C193" s="4"/>
      <c r="D193" s="4"/>
      <c r="E193" s="4"/>
    </row>
    <row r="194" spans="1:5">
      <c r="A194" s="4"/>
      <c r="B194" s="5"/>
      <c r="C194" s="4"/>
      <c r="D194" s="4"/>
      <c r="E194" s="4"/>
    </row>
    <row r="195" spans="1:5">
      <c r="A195" s="4"/>
      <c r="B195" s="5"/>
      <c r="C195" s="4"/>
      <c r="D195" s="4"/>
      <c r="E195" s="4"/>
    </row>
    <row r="196" spans="1:5">
      <c r="A196" s="4"/>
      <c r="B196" s="5"/>
      <c r="C196" s="4"/>
      <c r="D196" s="4"/>
      <c r="E196" s="4"/>
    </row>
    <row r="197" spans="1:5">
      <c r="A197" s="4"/>
      <c r="B197" s="5"/>
      <c r="C197" s="4"/>
      <c r="D197" s="4"/>
      <c r="E197" s="4"/>
    </row>
    <row r="198" spans="1:5">
      <c r="A198" s="4"/>
      <c r="B198" s="5"/>
      <c r="C198" s="4"/>
      <c r="D198" s="4"/>
      <c r="E198" s="4"/>
    </row>
    <row r="199" spans="1:5">
      <c r="A199" s="4"/>
      <c r="B199" s="5"/>
      <c r="C199" s="4"/>
      <c r="D199" s="4"/>
      <c r="E199" s="4"/>
    </row>
    <row r="200" spans="1:5">
      <c r="A200" s="4"/>
      <c r="B200" s="5"/>
      <c r="C200" s="4"/>
      <c r="D200" s="4"/>
      <c r="E200" s="4"/>
    </row>
    <row r="201" spans="1:5">
      <c r="A201" s="4"/>
      <c r="B201" s="5"/>
      <c r="C201" s="4"/>
      <c r="D201" s="4"/>
      <c r="E201" s="4"/>
    </row>
    <row r="202" spans="1:5">
      <c r="A202" s="4"/>
      <c r="B202" s="5"/>
      <c r="C202" s="4"/>
      <c r="D202" s="4"/>
      <c r="E202" s="4"/>
    </row>
    <row r="203" spans="1:5">
      <c r="A203" s="4"/>
      <c r="B203" s="5"/>
      <c r="C203" s="4"/>
      <c r="D203" s="4"/>
      <c r="E203" s="4"/>
    </row>
    <row r="204" spans="1:5">
      <c r="A204" s="4"/>
      <c r="B204" s="5"/>
      <c r="C204" s="4"/>
      <c r="D204" s="4"/>
      <c r="E204" s="4"/>
    </row>
    <row r="205" spans="1:5">
      <c r="A205" s="4"/>
      <c r="B205" s="5"/>
      <c r="C205" s="4"/>
      <c r="D205" s="4"/>
      <c r="E205" s="4"/>
    </row>
    <row r="206" spans="1:5">
      <c r="A206" s="4"/>
      <c r="B206" s="5"/>
      <c r="C206" s="4"/>
      <c r="D206" s="4"/>
      <c r="E206" s="4"/>
    </row>
    <row r="207" spans="1:5">
      <c r="A207" s="4"/>
      <c r="B207" s="5"/>
      <c r="C207" s="4"/>
      <c r="D207" s="4"/>
      <c r="E207" s="4"/>
    </row>
    <row r="208" spans="1:5">
      <c r="A208" s="4"/>
      <c r="B208" s="5"/>
      <c r="C208" s="4"/>
      <c r="D208" s="4"/>
      <c r="E208" s="4"/>
    </row>
    <row r="209" spans="1:5">
      <c r="A209" s="4"/>
      <c r="B209" s="5"/>
      <c r="C209" s="4"/>
      <c r="D209" s="4"/>
      <c r="E209" s="4"/>
    </row>
    <row r="210" spans="1:5">
      <c r="A210" s="4"/>
      <c r="B210" s="5"/>
      <c r="C210" s="4"/>
      <c r="D210" s="4"/>
      <c r="E210" s="4"/>
    </row>
    <row r="211" spans="1:5">
      <c r="A211" s="4"/>
      <c r="B211" s="5"/>
      <c r="C211" s="4"/>
      <c r="D211" s="4"/>
      <c r="E211" s="4"/>
    </row>
    <row r="212" spans="1:5">
      <c r="A212" s="4"/>
      <c r="B212" s="5"/>
      <c r="C212" s="4"/>
      <c r="D212" s="4"/>
      <c r="E212" s="4"/>
    </row>
    <row r="213" spans="1:5">
      <c r="A213" s="4"/>
      <c r="B213" s="5"/>
      <c r="C213" s="4"/>
      <c r="D213" s="4"/>
      <c r="E213" s="4"/>
    </row>
    <row r="214" spans="1:5">
      <c r="A214" s="4"/>
      <c r="B214" s="5"/>
      <c r="C214" s="4"/>
      <c r="D214" s="4"/>
      <c r="E214" s="4"/>
    </row>
    <row r="215" spans="1:5">
      <c r="A215" s="4"/>
      <c r="B215" s="5"/>
      <c r="C215" s="4"/>
      <c r="D215" s="4"/>
      <c r="E215" s="4"/>
    </row>
    <row r="216" spans="1:5">
      <c r="A216" s="4"/>
      <c r="B216" s="5"/>
      <c r="C216" s="4"/>
      <c r="D216" s="4"/>
      <c r="E216" s="4"/>
    </row>
    <row r="217" spans="1:5">
      <c r="A217" s="4"/>
      <c r="B217" s="5"/>
      <c r="C217" s="4"/>
      <c r="D217" s="4"/>
      <c r="E217" s="4"/>
    </row>
    <row r="218" spans="1:5">
      <c r="A218" s="4"/>
      <c r="B218" s="5"/>
      <c r="C218" s="4"/>
      <c r="D218" s="4"/>
      <c r="E218" s="4"/>
    </row>
    <row r="219" spans="1:5">
      <c r="A219" s="4"/>
      <c r="B219" s="5"/>
      <c r="C219" s="4"/>
      <c r="D219" s="4"/>
      <c r="E219" s="4"/>
    </row>
    <row r="220" spans="1:5">
      <c r="A220" s="4"/>
      <c r="B220" s="5"/>
      <c r="C220" s="4"/>
      <c r="D220" s="4"/>
      <c r="E220" s="4"/>
    </row>
    <row r="221" spans="1:5">
      <c r="A221" s="4"/>
      <c r="B221" s="5"/>
      <c r="C221" s="4"/>
      <c r="D221" s="4"/>
      <c r="E221" s="4"/>
    </row>
    <row r="222" spans="1:5">
      <c r="A222" s="4"/>
      <c r="B222" s="5"/>
      <c r="C222" s="4"/>
      <c r="D222" s="4"/>
      <c r="E222" s="4"/>
    </row>
    <row r="223" spans="1:5">
      <c r="A223" s="4"/>
      <c r="B223" s="5"/>
      <c r="C223" s="4"/>
      <c r="D223" s="4"/>
      <c r="E223" s="4"/>
    </row>
    <row r="224" spans="1:5">
      <c r="A224" s="4"/>
      <c r="B224" s="5"/>
      <c r="C224" s="4"/>
      <c r="D224" s="4"/>
      <c r="E224" s="4"/>
    </row>
    <row r="225" spans="1:5">
      <c r="A225" s="4"/>
      <c r="B225" s="5"/>
      <c r="C225" s="4"/>
      <c r="D225" s="4"/>
      <c r="E225" s="4"/>
    </row>
    <row r="226" spans="1:5">
      <c r="A226" s="4"/>
      <c r="B226" s="5"/>
      <c r="C226" s="4"/>
      <c r="D226" s="4"/>
      <c r="E226" s="4"/>
    </row>
    <row r="227" spans="1:5">
      <c r="A227" s="4"/>
      <c r="B227" s="5"/>
      <c r="C227" s="4"/>
      <c r="D227" s="4"/>
      <c r="E227" s="4"/>
    </row>
    <row r="228" spans="1:5">
      <c r="A228" s="4"/>
      <c r="B228" s="5"/>
      <c r="C228" s="4"/>
      <c r="D228" s="4"/>
      <c r="E228" s="4"/>
    </row>
    <row r="229" spans="1:5">
      <c r="A229" s="4"/>
      <c r="B229" s="5"/>
      <c r="C229" s="4"/>
      <c r="D229" s="4"/>
      <c r="E229" s="4"/>
    </row>
    <row r="230" spans="1:5">
      <c r="A230" s="4"/>
      <c r="B230" s="5"/>
      <c r="C230" s="4"/>
      <c r="D230" s="4"/>
      <c r="E230" s="4"/>
    </row>
    <row r="231" spans="1:5">
      <c r="A231" s="4"/>
      <c r="B231" s="5"/>
      <c r="C231" s="4"/>
      <c r="D231" s="4"/>
      <c r="E231" s="4"/>
    </row>
    <row r="232" spans="1:5">
      <c r="A232" s="4"/>
      <c r="B232" s="5"/>
      <c r="C232" s="4"/>
      <c r="D232" s="4"/>
      <c r="E232" s="4"/>
    </row>
    <row r="233" spans="1:5">
      <c r="A233" s="4"/>
      <c r="B233" s="5"/>
      <c r="C233" s="4"/>
      <c r="D233" s="4"/>
      <c r="E233" s="4"/>
    </row>
    <row r="234" spans="1:5">
      <c r="A234" s="4"/>
      <c r="B234" s="5"/>
      <c r="C234" s="4"/>
      <c r="D234" s="4"/>
      <c r="E234" s="4"/>
    </row>
    <row r="235" spans="1:5">
      <c r="A235" s="4"/>
      <c r="B235" s="5"/>
      <c r="C235" s="4"/>
      <c r="D235" s="4"/>
      <c r="E235" s="4"/>
    </row>
    <row r="236" spans="1:5">
      <c r="A236" s="4"/>
      <c r="B236" s="5"/>
      <c r="C236" s="4"/>
      <c r="D236" s="4"/>
      <c r="E236" s="4"/>
    </row>
    <row r="237" spans="1:5">
      <c r="A237" s="4"/>
      <c r="B237" s="5"/>
      <c r="C237" s="4"/>
      <c r="D237" s="4"/>
      <c r="E237" s="4"/>
    </row>
    <row r="238" spans="1:5">
      <c r="A238" s="4"/>
      <c r="B238" s="5"/>
      <c r="C238" s="4"/>
      <c r="D238" s="4"/>
      <c r="E238" s="4"/>
    </row>
    <row r="239" spans="1:5">
      <c r="A239" s="4"/>
      <c r="B239" s="5"/>
      <c r="C239" s="4"/>
      <c r="D239" s="4"/>
      <c r="E239" s="4"/>
    </row>
    <row r="240" spans="1:5">
      <c r="A240" s="4"/>
      <c r="B240" s="5"/>
      <c r="C240" s="4"/>
      <c r="D240" s="4"/>
      <c r="E240" s="4"/>
    </row>
    <row r="241" spans="1:5">
      <c r="A241" s="4"/>
      <c r="B241" s="5"/>
      <c r="C241" s="4"/>
      <c r="D241" s="4"/>
      <c r="E241" s="4"/>
    </row>
    <row r="242" spans="1:5">
      <c r="A242" s="4"/>
      <c r="B242" s="5"/>
      <c r="C242" s="4"/>
      <c r="D242" s="4"/>
      <c r="E242" s="4"/>
    </row>
    <row r="243" spans="1:5">
      <c r="A243" s="4"/>
      <c r="B243" s="5"/>
      <c r="C243" s="4"/>
      <c r="D243" s="4"/>
      <c r="E243" s="4"/>
    </row>
    <row r="244" spans="1:5">
      <c r="A244" s="4"/>
      <c r="B244" s="5"/>
      <c r="C244" s="4"/>
      <c r="D244" s="4"/>
      <c r="E244" s="4"/>
    </row>
    <row r="245" spans="1:5">
      <c r="A245" s="4"/>
      <c r="B245" s="5"/>
      <c r="C245" s="4"/>
      <c r="D245" s="4"/>
      <c r="E245" s="4"/>
    </row>
    <row r="246" spans="1:5">
      <c r="A246" s="4"/>
      <c r="B246" s="5"/>
      <c r="C246" s="4"/>
      <c r="D246" s="4"/>
      <c r="E246" s="4"/>
    </row>
    <row r="247" spans="1:5">
      <c r="A247" s="4"/>
      <c r="B247" s="5"/>
      <c r="C247" s="4"/>
      <c r="D247" s="4"/>
      <c r="E247" s="4"/>
    </row>
    <row r="248" spans="1:5">
      <c r="A248" s="4"/>
      <c r="B248" s="5"/>
      <c r="C248" s="4"/>
      <c r="D248" s="4"/>
      <c r="E248" s="4"/>
    </row>
    <row r="249" spans="1:5">
      <c r="A249" s="4"/>
      <c r="B249" s="5"/>
      <c r="C249" s="4"/>
      <c r="D249" s="4"/>
      <c r="E249" s="4"/>
    </row>
    <row r="250" spans="1:5">
      <c r="A250" s="4"/>
      <c r="B250" s="5"/>
      <c r="C250" s="4"/>
      <c r="D250" s="4"/>
      <c r="E250" s="4"/>
    </row>
    <row r="251" spans="1:5">
      <c r="A251" s="4"/>
      <c r="B251" s="5"/>
      <c r="C251" s="4"/>
      <c r="D251" s="4"/>
      <c r="E251" s="4"/>
    </row>
    <row r="252" spans="1:5">
      <c r="A252" s="4"/>
      <c r="B252" s="5"/>
      <c r="C252" s="4"/>
      <c r="D252" s="4"/>
      <c r="E252" s="4"/>
    </row>
    <row r="253" spans="1:5">
      <c r="A253" s="4"/>
      <c r="B253" s="5"/>
      <c r="C253" s="4"/>
      <c r="D253" s="4"/>
      <c r="E253" s="4"/>
    </row>
    <row r="254" spans="1:5">
      <c r="A254" s="4"/>
      <c r="B254" s="5"/>
      <c r="C254" s="4"/>
      <c r="D254" s="4"/>
      <c r="E254" s="4"/>
    </row>
    <row r="255" spans="1:5">
      <c r="A255" s="4"/>
      <c r="B255" s="5"/>
      <c r="C255" s="4"/>
      <c r="D255" s="4"/>
      <c r="E255" s="4"/>
    </row>
    <row r="256" spans="1:5">
      <c r="A256" s="4"/>
      <c r="B256" s="5"/>
      <c r="C256" s="4"/>
      <c r="D256" s="4"/>
      <c r="E256" s="4"/>
    </row>
    <row r="257" spans="1:5">
      <c r="A257" s="4"/>
      <c r="B257" s="5"/>
      <c r="C257" s="4"/>
      <c r="D257" s="4"/>
      <c r="E257" s="4"/>
    </row>
    <row r="258" spans="1:5">
      <c r="A258" s="4"/>
      <c r="B258" s="5"/>
      <c r="C258" s="4"/>
      <c r="D258" s="4"/>
      <c r="E258" s="4"/>
    </row>
    <row r="259" spans="1:5">
      <c r="A259" s="4"/>
      <c r="B259" s="5"/>
      <c r="C259" s="4"/>
      <c r="D259" s="4"/>
      <c r="E259" s="4"/>
    </row>
    <row r="260" spans="1:5">
      <c r="A260" s="4"/>
      <c r="B260" s="5"/>
      <c r="C260" s="4"/>
      <c r="D260" s="4"/>
      <c r="E260" s="4"/>
    </row>
    <row r="261" spans="1:5">
      <c r="A261" s="4"/>
      <c r="B261" s="5"/>
      <c r="C261" s="4"/>
      <c r="D261" s="4"/>
      <c r="E261" s="4"/>
    </row>
    <row r="262" spans="1:5">
      <c r="A262" s="4"/>
      <c r="B262" s="5"/>
      <c r="C262" s="4"/>
      <c r="D262" s="4"/>
      <c r="E262" s="4"/>
    </row>
    <row r="263" spans="1:5">
      <c r="A263" s="4"/>
      <c r="B263" s="5"/>
      <c r="C263" s="4"/>
      <c r="D263" s="4"/>
      <c r="E263" s="4"/>
    </row>
    <row r="264" spans="1:5">
      <c r="A264" s="4"/>
      <c r="B264" s="5"/>
      <c r="C264" s="4"/>
      <c r="D264" s="4"/>
      <c r="E264" s="4"/>
    </row>
    <row r="265" spans="1:5">
      <c r="A265" s="4"/>
      <c r="B265" s="5"/>
      <c r="C265" s="4"/>
      <c r="D265" s="4"/>
      <c r="E265" s="4"/>
    </row>
    <row r="266" spans="1:5">
      <c r="A266" s="4"/>
      <c r="B266" s="5"/>
      <c r="C266" s="4"/>
      <c r="D266" s="4"/>
      <c r="E266" s="4"/>
    </row>
    <row r="267" spans="1:5">
      <c r="A267" s="4"/>
      <c r="B267" s="5"/>
      <c r="C267" s="4"/>
      <c r="D267" s="4"/>
      <c r="E267" s="4"/>
    </row>
    <row r="268" spans="1:5">
      <c r="A268" s="4"/>
      <c r="B268" s="5"/>
      <c r="C268" s="4"/>
      <c r="D268" s="4"/>
      <c r="E268" s="4"/>
    </row>
    <row r="269" spans="1:5">
      <c r="A269" s="4"/>
      <c r="B269" s="5"/>
      <c r="C269" s="4"/>
      <c r="D269" s="4"/>
      <c r="E269" s="4"/>
    </row>
    <row r="270" spans="1:5">
      <c r="A270" s="4"/>
      <c r="B270" s="5"/>
      <c r="C270" s="4"/>
      <c r="D270" s="4"/>
      <c r="E270" s="4"/>
    </row>
    <row r="271" spans="1:5">
      <c r="A271" s="4"/>
      <c r="B271" s="5"/>
      <c r="C271" s="4"/>
      <c r="D271" s="4"/>
      <c r="E271" s="4"/>
    </row>
    <row r="272" spans="1:5">
      <c r="A272" s="4"/>
      <c r="B272" s="5"/>
      <c r="C272" s="4"/>
      <c r="D272" s="4"/>
      <c r="E272" s="4"/>
    </row>
    <row r="273" spans="1:5">
      <c r="A273" s="4"/>
      <c r="B273" s="5"/>
      <c r="C273" s="4"/>
      <c r="D273" s="4"/>
      <c r="E273" s="4"/>
    </row>
    <row r="274" spans="1:5">
      <c r="A274" s="4"/>
      <c r="B274" s="5"/>
      <c r="C274" s="4"/>
      <c r="D274" s="4"/>
      <c r="E274" s="4"/>
    </row>
    <row r="275" spans="1:5">
      <c r="A275" s="4"/>
      <c r="B275" s="5"/>
      <c r="C275" s="4"/>
      <c r="D275" s="4"/>
      <c r="E275" s="4"/>
    </row>
    <row r="276" spans="1:5">
      <c r="A276" s="4"/>
      <c r="B276" s="5"/>
      <c r="C276" s="4"/>
      <c r="D276" s="4"/>
      <c r="E276" s="4"/>
    </row>
    <row r="277" spans="1:5">
      <c r="A277" s="4"/>
      <c r="B277" s="5"/>
      <c r="C277" s="4"/>
      <c r="D277" s="4"/>
      <c r="E277" s="4"/>
    </row>
    <row r="278" spans="1:5">
      <c r="A278" s="4"/>
      <c r="B278" s="5"/>
      <c r="C278" s="4"/>
      <c r="D278" s="4"/>
      <c r="E278" s="4"/>
    </row>
    <row r="279" spans="1:5">
      <c r="A279" s="4"/>
      <c r="B279" s="5"/>
      <c r="C279" s="4"/>
      <c r="D279" s="4"/>
      <c r="E279" s="4"/>
    </row>
    <row r="280" spans="1:5">
      <c r="A280" s="4"/>
      <c r="B280" s="5"/>
      <c r="C280" s="4"/>
      <c r="D280" s="4"/>
      <c r="E280" s="4"/>
    </row>
    <row r="281" spans="1:5">
      <c r="A281" s="4"/>
      <c r="B281" s="5"/>
      <c r="C281" s="4"/>
      <c r="D281" s="4"/>
      <c r="E281" s="4"/>
    </row>
    <row r="282" spans="1:5">
      <c r="A282" s="4"/>
      <c r="B282" s="5"/>
      <c r="C282" s="4"/>
      <c r="D282" s="4"/>
      <c r="E282" s="4"/>
    </row>
    <row r="283" spans="1:5">
      <c r="A283" s="4"/>
      <c r="B283" s="5"/>
      <c r="C283" s="4"/>
      <c r="D283" s="4"/>
      <c r="E283" s="4"/>
    </row>
    <row r="284" spans="1:5">
      <c r="A284" s="4"/>
      <c r="B284" s="5"/>
      <c r="C284" s="4"/>
      <c r="D284" s="4"/>
      <c r="E284" s="4"/>
    </row>
    <row r="285" spans="1:5">
      <c r="A285" s="4"/>
      <c r="B285" s="5"/>
      <c r="C285" s="4"/>
      <c r="D285" s="4"/>
      <c r="E285" s="4"/>
    </row>
    <row r="286" spans="1:5">
      <c r="A286" s="4"/>
      <c r="B286" s="5"/>
      <c r="C286" s="4"/>
      <c r="D286" s="4"/>
      <c r="E286" s="4"/>
    </row>
    <row r="287" spans="1:5">
      <c r="A287" s="4"/>
      <c r="B287" s="5"/>
      <c r="C287" s="4"/>
      <c r="D287" s="4"/>
      <c r="E287" s="4"/>
    </row>
    <row r="288" spans="1:5">
      <c r="A288" s="4"/>
      <c r="B288" s="5"/>
      <c r="C288" s="4"/>
      <c r="D288" s="4"/>
      <c r="E288" s="4"/>
    </row>
    <row r="289" spans="1:5">
      <c r="A289" s="4"/>
      <c r="B289" s="5"/>
      <c r="C289" s="4"/>
      <c r="D289" s="4"/>
      <c r="E289" s="4"/>
    </row>
    <row r="290" spans="1:5">
      <c r="A290" s="4"/>
      <c r="B290" s="5"/>
      <c r="C290" s="4"/>
      <c r="D290" s="4"/>
      <c r="E290" s="4"/>
    </row>
    <row r="291" spans="1:5">
      <c r="A291" s="4"/>
      <c r="B291" s="5"/>
      <c r="C291" s="4"/>
      <c r="D291" s="4"/>
      <c r="E291" s="4"/>
    </row>
    <row r="292" spans="1:5">
      <c r="A292" s="4"/>
      <c r="B292" s="5"/>
      <c r="C292" s="4"/>
      <c r="D292" s="4"/>
      <c r="E292" s="4"/>
    </row>
    <row r="293" spans="1:5">
      <c r="A293" s="4"/>
      <c r="B293" s="5"/>
      <c r="C293" s="4"/>
      <c r="D293" s="4"/>
      <c r="E293" s="4"/>
    </row>
    <row r="294" spans="1:5">
      <c r="A294" s="4"/>
      <c r="B294" s="5"/>
      <c r="C294" s="4"/>
      <c r="D294" s="4"/>
      <c r="E294" s="4"/>
    </row>
    <row r="295" spans="1:5">
      <c r="A295" s="4"/>
      <c r="B295" s="5"/>
      <c r="C295" s="4"/>
      <c r="D295" s="4"/>
      <c r="E295" s="4"/>
    </row>
    <row r="296" spans="1:5">
      <c r="A296" s="4"/>
      <c r="B296" s="5"/>
      <c r="C296" s="4"/>
      <c r="D296" s="4"/>
      <c r="E296" s="4"/>
    </row>
    <row r="297" spans="1:5">
      <c r="A297" s="4"/>
      <c r="B297" s="5"/>
      <c r="C297" s="4"/>
      <c r="D297" s="4"/>
      <c r="E297" s="4"/>
    </row>
    <row r="298" spans="1:5">
      <c r="A298" s="4"/>
      <c r="B298" s="5"/>
      <c r="C298" s="4"/>
      <c r="D298" s="4"/>
      <c r="E298" s="4"/>
    </row>
    <row r="299" spans="1:5">
      <c r="A299" s="4"/>
      <c r="B299" s="5"/>
      <c r="C299" s="4"/>
      <c r="D299" s="4"/>
      <c r="E299" s="4"/>
    </row>
    <row r="300" spans="1:5">
      <c r="A300" s="4"/>
      <c r="B300" s="5"/>
      <c r="C300" s="4"/>
      <c r="D300" s="4"/>
      <c r="E300" s="4"/>
    </row>
    <row r="301" spans="1:5">
      <c r="A301" s="4"/>
      <c r="B301" s="5"/>
      <c r="C301" s="4"/>
      <c r="D301" s="4"/>
      <c r="E301" s="4"/>
    </row>
    <row r="302" spans="1:5">
      <c r="A302" s="4"/>
      <c r="B302" s="5"/>
      <c r="C302" s="4"/>
      <c r="D302" s="4"/>
      <c r="E302" s="4"/>
    </row>
    <row r="303" spans="1:5">
      <c r="A303" s="4"/>
      <c r="B303" s="5"/>
      <c r="C303" s="4"/>
      <c r="D303" s="4"/>
      <c r="E303" s="4"/>
    </row>
    <row r="304" spans="1:5">
      <c r="A304" s="4"/>
      <c r="B304" s="5"/>
      <c r="C304" s="4"/>
      <c r="D304" s="4"/>
      <c r="E304" s="4"/>
    </row>
    <row r="305" spans="1:5">
      <c r="A305" s="4"/>
      <c r="B305" s="5"/>
      <c r="C305" s="4"/>
      <c r="D305" s="4"/>
      <c r="E305" s="4"/>
    </row>
    <row r="306" spans="1:5">
      <c r="A306" s="4"/>
      <c r="B306" s="5"/>
      <c r="C306" s="4"/>
      <c r="D306" s="4"/>
      <c r="E306" s="4"/>
    </row>
    <row r="307" spans="1:5">
      <c r="A307" s="4"/>
      <c r="B307" s="5"/>
      <c r="C307" s="4"/>
      <c r="D307" s="4"/>
      <c r="E307" s="4"/>
    </row>
    <row r="308" spans="1:5">
      <c r="A308" s="4"/>
      <c r="B308" s="5"/>
      <c r="C308" s="4"/>
      <c r="D308" s="4"/>
      <c r="E308" s="4"/>
    </row>
    <row r="309" spans="1:5">
      <c r="A309" s="4"/>
      <c r="B309" s="5"/>
      <c r="C309" s="4"/>
      <c r="D309" s="4"/>
      <c r="E309" s="4"/>
    </row>
    <row r="310" spans="1:5">
      <c r="A310" s="4"/>
      <c r="B310" s="5"/>
      <c r="C310" s="4"/>
      <c r="D310" s="4"/>
      <c r="E310" s="4"/>
    </row>
    <row r="311" spans="1:5">
      <c r="A311" s="4"/>
      <c r="B311" s="5"/>
      <c r="C311" s="4"/>
      <c r="D311" s="4"/>
      <c r="E311" s="4"/>
    </row>
    <row r="312" spans="1:5">
      <c r="A312" s="4"/>
      <c r="B312" s="5"/>
      <c r="C312" s="4"/>
      <c r="D312" s="4"/>
      <c r="E312" s="4"/>
    </row>
    <row r="313" spans="1:5">
      <c r="A313" s="4"/>
      <c r="B313" s="5"/>
      <c r="C313" s="4"/>
      <c r="D313" s="4"/>
      <c r="E313" s="4"/>
    </row>
    <row r="314" spans="1:5">
      <c r="A314" s="4"/>
      <c r="B314" s="5"/>
      <c r="C314" s="4"/>
      <c r="D314" s="4"/>
      <c r="E314" s="4"/>
    </row>
    <row r="315" spans="1:5">
      <c r="A315" s="4"/>
      <c r="B315" s="5"/>
      <c r="C315" s="4"/>
      <c r="D315" s="4"/>
      <c r="E315" s="4"/>
    </row>
    <row r="316" spans="1:5">
      <c r="A316" s="4"/>
      <c r="B316" s="5"/>
      <c r="C316" s="4"/>
      <c r="D316" s="4"/>
      <c r="E316" s="4"/>
    </row>
    <row r="317" spans="1:5">
      <c r="A317" s="4"/>
      <c r="B317" s="5"/>
      <c r="C317" s="4"/>
      <c r="D317" s="4"/>
      <c r="E317" s="4"/>
    </row>
    <row r="318" spans="1:5">
      <c r="A318" s="4"/>
      <c r="B318" s="5"/>
      <c r="C318" s="4"/>
      <c r="D318" s="4"/>
      <c r="E318" s="4"/>
    </row>
    <row r="319" spans="1:5">
      <c r="A319" s="4"/>
      <c r="B319" s="5"/>
      <c r="C319" s="4"/>
      <c r="D319" s="4"/>
      <c r="E319" s="4"/>
    </row>
    <row r="320" spans="1:5">
      <c r="A320" s="4"/>
      <c r="B320" s="5"/>
      <c r="C320" s="4"/>
      <c r="D320" s="4"/>
      <c r="E320" s="4"/>
    </row>
    <row r="321" spans="1:5">
      <c r="A321" s="4"/>
      <c r="B321" s="5"/>
      <c r="C321" s="4"/>
      <c r="D321" s="4"/>
      <c r="E321" s="4"/>
    </row>
    <row r="322" spans="1:5">
      <c r="A322" s="4"/>
      <c r="B322" s="5"/>
      <c r="C322" s="4"/>
      <c r="D322" s="4"/>
      <c r="E322" s="4"/>
    </row>
    <row r="323" spans="1:5">
      <c r="A323" s="4"/>
      <c r="B323" s="5"/>
      <c r="C323" s="4"/>
      <c r="D323" s="4"/>
      <c r="E323" s="4"/>
    </row>
    <row r="324" spans="1:5">
      <c r="A324" s="4"/>
      <c r="B324" s="5"/>
      <c r="C324" s="4"/>
      <c r="D324" s="4"/>
      <c r="E324" s="4"/>
    </row>
    <row r="325" spans="1:5">
      <c r="A325" s="4"/>
      <c r="B325" s="5"/>
      <c r="C325" s="4"/>
      <c r="D325" s="4"/>
      <c r="E325" s="4"/>
    </row>
    <row r="326" spans="1:5">
      <c r="A326" s="4"/>
      <c r="B326" s="5"/>
      <c r="C326" s="4"/>
      <c r="D326" s="4"/>
      <c r="E326" s="4"/>
    </row>
    <row r="327" spans="1:5">
      <c r="A327" s="4"/>
      <c r="B327" s="5"/>
      <c r="C327" s="4"/>
      <c r="D327" s="4"/>
      <c r="E327" s="4"/>
    </row>
    <row r="328" spans="1:5">
      <c r="A328" s="4"/>
      <c r="B328" s="5"/>
      <c r="C328" s="4"/>
      <c r="D328" s="4"/>
      <c r="E328" s="4"/>
    </row>
    <row r="329" spans="1:5">
      <c r="A329" s="4"/>
      <c r="B329" s="5"/>
      <c r="C329" s="4"/>
      <c r="D329" s="4"/>
      <c r="E329" s="4"/>
    </row>
    <row r="330" spans="1:5">
      <c r="A330" s="4"/>
      <c r="B330" s="5"/>
      <c r="C330" s="4"/>
      <c r="D330" s="4"/>
      <c r="E330" s="4"/>
    </row>
    <row r="331" spans="1:5">
      <c r="A331" s="4"/>
      <c r="B331" s="5"/>
      <c r="C331" s="4"/>
      <c r="D331" s="4"/>
      <c r="E331" s="4"/>
    </row>
    <row r="332" spans="1:5">
      <c r="A332" s="4"/>
      <c r="B332" s="5"/>
      <c r="C332" s="4"/>
      <c r="D332" s="4"/>
      <c r="E332" s="4"/>
    </row>
    <row r="333" spans="1:5">
      <c r="A333" s="4"/>
      <c r="B333" s="5"/>
      <c r="C333" s="4"/>
      <c r="D333" s="4"/>
      <c r="E333" s="4"/>
    </row>
    <row r="334" spans="1:5">
      <c r="A334" s="4"/>
      <c r="B334" s="5"/>
      <c r="C334" s="4"/>
      <c r="D334" s="4"/>
      <c r="E334" s="4"/>
    </row>
    <row r="335" spans="1:5">
      <c r="A335" s="4"/>
      <c r="B335" s="5"/>
      <c r="C335" s="4"/>
      <c r="D335" s="4"/>
      <c r="E335" s="4"/>
    </row>
    <row r="336" spans="1:5">
      <c r="A336" s="4"/>
      <c r="B336" s="5"/>
      <c r="C336" s="4"/>
      <c r="D336" s="4"/>
      <c r="E336" s="4"/>
    </row>
    <row r="337" spans="1:5">
      <c r="A337" s="4"/>
      <c r="B337" s="5"/>
      <c r="C337" s="4"/>
      <c r="D337" s="4"/>
      <c r="E337" s="4"/>
    </row>
    <row r="338" spans="1:5">
      <c r="A338" s="4"/>
      <c r="B338" s="5"/>
      <c r="C338" s="4"/>
      <c r="D338" s="4"/>
      <c r="E338" s="4"/>
    </row>
    <row r="339" spans="1:5">
      <c r="A339" s="4"/>
      <c r="B339" s="5"/>
      <c r="C339" s="4"/>
      <c r="D339" s="4"/>
      <c r="E339" s="4"/>
    </row>
    <row r="340" spans="1:5">
      <c r="A340" s="4"/>
      <c r="B340" s="5"/>
      <c r="C340" s="4"/>
      <c r="D340" s="4"/>
      <c r="E340" s="4"/>
    </row>
    <row r="341" spans="1:5">
      <c r="A341" s="4"/>
      <c r="B341" s="5"/>
      <c r="C341" s="4"/>
      <c r="D341" s="4"/>
      <c r="E341" s="4"/>
    </row>
    <row r="342" spans="1:5">
      <c r="A342" s="4"/>
      <c r="B342" s="5"/>
      <c r="C342" s="4"/>
      <c r="D342" s="4"/>
      <c r="E342" s="4"/>
    </row>
    <row r="343" spans="1:5">
      <c r="A343" s="4"/>
      <c r="B343" s="5"/>
      <c r="C343" s="4"/>
      <c r="D343" s="4"/>
      <c r="E343" s="4"/>
    </row>
    <row r="344" spans="1:5">
      <c r="A344" s="4"/>
      <c r="B344" s="5"/>
      <c r="C344" s="4"/>
      <c r="D344" s="4"/>
      <c r="E344" s="4"/>
    </row>
    <row r="345" spans="1:5">
      <c r="A345" s="4"/>
      <c r="B345" s="5"/>
      <c r="C345" s="4"/>
      <c r="D345" s="4"/>
      <c r="E345" s="4"/>
    </row>
    <row r="346" spans="1:5">
      <c r="A346" s="4"/>
      <c r="B346" s="5"/>
      <c r="C346" s="4"/>
      <c r="D346" s="4"/>
      <c r="E346" s="4"/>
    </row>
    <row r="347" spans="1:5">
      <c r="A347" s="4"/>
      <c r="B347" s="5"/>
      <c r="C347" s="4"/>
      <c r="D347" s="4"/>
      <c r="E347" s="4"/>
    </row>
    <row r="348" spans="1:5">
      <c r="A348" s="4"/>
      <c r="B348" s="5"/>
      <c r="C348" s="4"/>
      <c r="D348" s="4"/>
      <c r="E348" s="4"/>
    </row>
    <row r="349" spans="1:5">
      <c r="A349" s="4"/>
      <c r="B349" s="5"/>
      <c r="C349" s="4"/>
      <c r="D349" s="4"/>
      <c r="E349" s="4"/>
    </row>
    <row r="350" spans="1:5">
      <c r="A350" s="4"/>
      <c r="B350" s="5"/>
      <c r="C350" s="4"/>
      <c r="D350" s="4"/>
      <c r="E350" s="4"/>
    </row>
    <row r="351" spans="1:5">
      <c r="A351" s="4"/>
      <c r="B351" s="5"/>
      <c r="C351" s="4"/>
      <c r="D351" s="4"/>
      <c r="E351" s="4"/>
    </row>
    <row r="352" spans="1:5">
      <c r="A352" s="4"/>
      <c r="B352" s="5"/>
      <c r="C352" s="4"/>
      <c r="D352" s="4"/>
      <c r="E352" s="4"/>
    </row>
    <row r="353" spans="1:5">
      <c r="A353" s="4"/>
      <c r="B353" s="5"/>
      <c r="C353" s="4"/>
      <c r="D353" s="4"/>
      <c r="E353" s="4"/>
    </row>
    <row r="354" spans="1:5">
      <c r="A354" s="4"/>
      <c r="B354" s="5"/>
      <c r="C354" s="4"/>
      <c r="D354" s="4"/>
      <c r="E354" s="4"/>
    </row>
    <row r="355" spans="1:5">
      <c r="A355" s="4"/>
      <c r="B355" s="5"/>
      <c r="C355" s="4"/>
      <c r="D355" s="4"/>
      <c r="E355" s="4"/>
    </row>
    <row r="356" spans="1:5">
      <c r="A356" s="4"/>
      <c r="B356" s="5"/>
      <c r="C356" s="4"/>
      <c r="D356" s="4"/>
      <c r="E356" s="4"/>
    </row>
    <row r="357" spans="1:5">
      <c r="A357" s="4"/>
      <c r="B357" s="5"/>
      <c r="C357" s="4"/>
      <c r="D357" s="4"/>
      <c r="E357" s="4"/>
    </row>
    <row r="358" spans="1:5">
      <c r="A358" s="4"/>
      <c r="B358" s="5"/>
      <c r="C358" s="4"/>
      <c r="D358" s="4"/>
      <c r="E358" s="4"/>
    </row>
    <row r="359" spans="1:5">
      <c r="A359" s="4"/>
      <c r="B359" s="5"/>
      <c r="C359" s="4"/>
      <c r="D359" s="4"/>
      <c r="E359" s="4"/>
    </row>
    <row r="360" spans="1:5">
      <c r="A360" s="4"/>
      <c r="B360" s="5"/>
      <c r="C360" s="4"/>
      <c r="D360" s="4"/>
      <c r="E360" s="4"/>
    </row>
    <row r="361" spans="1:5">
      <c r="A361" s="4"/>
      <c r="B361" s="5"/>
      <c r="C361" s="4"/>
      <c r="D361" s="4"/>
      <c r="E361" s="4"/>
    </row>
    <row r="362" spans="1:5">
      <c r="A362" s="4"/>
      <c r="B362" s="5"/>
      <c r="C362" s="4"/>
      <c r="D362" s="4"/>
      <c r="E362" s="4"/>
    </row>
    <row r="363" spans="1:5">
      <c r="A363" s="4"/>
      <c r="B363" s="5"/>
      <c r="C363" s="4"/>
      <c r="D363" s="4"/>
      <c r="E363" s="4"/>
    </row>
    <row r="364" spans="1:5">
      <c r="A364" s="4"/>
      <c r="B364" s="5"/>
      <c r="C364" s="4"/>
      <c r="D364" s="4"/>
      <c r="E364" s="4"/>
    </row>
    <row r="365" spans="1:5">
      <c r="A365" s="4"/>
      <c r="B365" s="5"/>
      <c r="C365" s="4"/>
      <c r="D365" s="4"/>
      <c r="E365" s="4"/>
    </row>
    <row r="366" spans="1:5">
      <c r="A366" s="4"/>
      <c r="B366" s="5"/>
      <c r="C366" s="4"/>
      <c r="D366" s="4"/>
      <c r="E366" s="4"/>
    </row>
    <row r="367" spans="1:5">
      <c r="A367" s="4"/>
      <c r="B367" s="5"/>
      <c r="C367" s="4"/>
      <c r="D367" s="4"/>
      <c r="E367" s="4"/>
    </row>
    <row r="368" spans="1:5">
      <c r="A368" s="4"/>
      <c r="B368" s="5"/>
      <c r="C368" s="4"/>
      <c r="D368" s="4"/>
      <c r="E368" s="4"/>
    </row>
    <row r="369" spans="1:5">
      <c r="A369" s="4"/>
      <c r="B369" s="5"/>
      <c r="C369" s="4"/>
      <c r="D369" s="4"/>
      <c r="E369" s="4"/>
    </row>
    <row r="370" spans="1:5">
      <c r="A370" s="4"/>
      <c r="B370" s="5"/>
      <c r="C370" s="4"/>
      <c r="D370" s="4"/>
      <c r="E370" s="4"/>
    </row>
    <row r="371" spans="1:5">
      <c r="A371" s="4"/>
      <c r="B371" s="5"/>
      <c r="C371" s="4"/>
      <c r="D371" s="4"/>
      <c r="E371" s="4"/>
    </row>
    <row r="372" spans="1:5">
      <c r="A372" s="4"/>
      <c r="B372" s="5"/>
      <c r="C372" s="4"/>
      <c r="D372" s="4"/>
      <c r="E372" s="4"/>
    </row>
    <row r="373" spans="1:5">
      <c r="A373" s="4"/>
      <c r="B373" s="5"/>
      <c r="C373" s="4"/>
      <c r="D373" s="4"/>
      <c r="E373" s="4"/>
    </row>
    <row r="374" spans="1:5">
      <c r="A374" s="4"/>
      <c r="B374" s="5"/>
      <c r="C374" s="4"/>
      <c r="D374" s="4"/>
      <c r="E374" s="4"/>
    </row>
    <row r="375" spans="1:5">
      <c r="A375" s="4"/>
      <c r="B375" s="5"/>
      <c r="C375" s="4"/>
      <c r="D375" s="4"/>
      <c r="E375" s="4"/>
    </row>
    <row r="376" spans="1:5">
      <c r="A376" s="4"/>
      <c r="B376" s="5"/>
      <c r="C376" s="4"/>
      <c r="D376" s="4"/>
      <c r="E376" s="4"/>
    </row>
    <row r="377" spans="1:5">
      <c r="A377" s="4"/>
      <c r="B377" s="5"/>
      <c r="C377" s="4"/>
      <c r="D377" s="4"/>
      <c r="E377" s="4"/>
    </row>
    <row r="378" spans="1:5">
      <c r="A378" s="4"/>
      <c r="B378" s="5"/>
      <c r="C378" s="4"/>
      <c r="D378" s="4"/>
      <c r="E378" s="4"/>
    </row>
    <row r="379" spans="1:5">
      <c r="A379" s="4"/>
      <c r="B379" s="5"/>
      <c r="C379" s="4"/>
      <c r="D379" s="4"/>
      <c r="E379" s="4"/>
    </row>
    <row r="380" spans="1:5">
      <c r="A380" s="4"/>
      <c r="B380" s="5"/>
      <c r="C380" s="4"/>
      <c r="D380" s="4"/>
      <c r="E380" s="4"/>
    </row>
    <row r="381" spans="1:5">
      <c r="A381" s="4"/>
      <c r="B381" s="5"/>
      <c r="C381" s="4"/>
      <c r="D381" s="4"/>
      <c r="E381" s="4"/>
    </row>
    <row r="382" spans="1:5">
      <c r="A382" s="4"/>
      <c r="B382" s="5"/>
      <c r="C382" s="4"/>
      <c r="D382" s="4"/>
      <c r="E382" s="4"/>
    </row>
    <row r="383" spans="1:5">
      <c r="A383" s="4"/>
      <c r="B383" s="5"/>
      <c r="C383" s="4"/>
      <c r="D383" s="4"/>
      <c r="E383" s="4"/>
    </row>
    <row r="384" spans="1:5">
      <c r="A384" s="4"/>
      <c r="B384" s="5"/>
      <c r="C384" s="4"/>
      <c r="D384" s="4"/>
      <c r="E384" s="4"/>
    </row>
    <row r="385" spans="1:5">
      <c r="A385" s="4"/>
      <c r="B385" s="5"/>
      <c r="C385" s="4"/>
      <c r="D385" s="4"/>
      <c r="E385" s="4"/>
    </row>
    <row r="386" spans="1:5">
      <c r="A386" s="4"/>
      <c r="B386" s="5"/>
      <c r="C386" s="4"/>
      <c r="D386" s="4"/>
      <c r="E386" s="4"/>
    </row>
    <row r="387" spans="1:5">
      <c r="A387" s="4"/>
      <c r="B387" s="5"/>
      <c r="C387" s="4"/>
      <c r="D387" s="4"/>
      <c r="E387" s="4"/>
    </row>
    <row r="388" spans="1:5">
      <c r="A388" s="4"/>
      <c r="B388" s="5"/>
      <c r="C388" s="4"/>
      <c r="D388" s="4"/>
      <c r="E388" s="4"/>
    </row>
    <row r="389" spans="1:5">
      <c r="A389" s="4"/>
      <c r="B389" s="5"/>
      <c r="C389" s="4"/>
      <c r="D389" s="4"/>
      <c r="E389" s="4"/>
    </row>
    <row r="390" spans="1:5">
      <c r="A390" s="4"/>
      <c r="B390" s="5"/>
      <c r="C390" s="4"/>
      <c r="D390" s="4"/>
      <c r="E390" s="4"/>
    </row>
    <row r="391" spans="1:5">
      <c r="A391" s="4"/>
      <c r="B391" s="5"/>
      <c r="C391" s="4"/>
      <c r="D391" s="4"/>
      <c r="E391" s="4"/>
    </row>
    <row r="392" spans="1:5">
      <c r="A392" s="4"/>
      <c r="B392" s="5"/>
      <c r="C392" s="4"/>
      <c r="D392" s="4"/>
      <c r="E392" s="4"/>
    </row>
    <row r="393" spans="1:5">
      <c r="A393" s="4"/>
      <c r="B393" s="5"/>
      <c r="C393" s="4"/>
      <c r="D393" s="4"/>
      <c r="E393" s="4"/>
    </row>
    <row r="394" spans="1:5">
      <c r="A394" s="4"/>
      <c r="B394" s="5"/>
      <c r="C394" s="4"/>
      <c r="D394" s="4"/>
      <c r="E394" s="4"/>
    </row>
    <row r="395" spans="1:5">
      <c r="A395" s="4"/>
      <c r="B395" s="5"/>
      <c r="C395" s="4"/>
      <c r="D395" s="4"/>
      <c r="E395" s="4"/>
    </row>
    <row r="396" spans="1:5">
      <c r="A396" s="4"/>
      <c r="B396" s="5"/>
      <c r="C396" s="4"/>
      <c r="D396" s="4"/>
      <c r="E396" s="4"/>
    </row>
    <row r="397" spans="1:5">
      <c r="A397" s="4"/>
      <c r="B397" s="5"/>
      <c r="C397" s="4"/>
      <c r="D397" s="4"/>
      <c r="E397" s="4"/>
    </row>
    <row r="398" spans="1:5">
      <c r="A398" s="4"/>
      <c r="B398" s="5"/>
      <c r="C398" s="4"/>
      <c r="D398" s="4"/>
      <c r="E398" s="4"/>
    </row>
    <row r="399" spans="1:5">
      <c r="A399" s="4"/>
      <c r="B399" s="5"/>
      <c r="C399" s="4"/>
      <c r="D399" s="4"/>
      <c r="E399" s="4"/>
    </row>
    <row r="400" spans="1:5">
      <c r="A400" s="4"/>
      <c r="B400" s="5"/>
      <c r="C400" s="4"/>
      <c r="D400" s="4"/>
      <c r="E400" s="4"/>
    </row>
    <row r="401" spans="1:5">
      <c r="A401" s="4"/>
      <c r="B401" s="5"/>
      <c r="C401" s="4"/>
      <c r="D401" s="4"/>
      <c r="E401" s="4"/>
    </row>
    <row r="402" spans="1:5">
      <c r="A402" s="4"/>
      <c r="B402" s="5"/>
      <c r="C402" s="4"/>
      <c r="D402" s="4"/>
      <c r="E402" s="4"/>
    </row>
    <row r="403" spans="1:5">
      <c r="A403" s="4"/>
      <c r="B403" s="5"/>
      <c r="C403" s="4"/>
      <c r="D403" s="4"/>
      <c r="E403" s="4"/>
    </row>
    <row r="404" spans="1:5">
      <c r="A404" s="4"/>
      <c r="B404" s="5"/>
      <c r="C404" s="4"/>
      <c r="D404" s="4"/>
      <c r="E404" s="4"/>
    </row>
    <row r="405" spans="1:5">
      <c r="A405" s="4"/>
      <c r="B405" s="5"/>
      <c r="C405" s="4"/>
      <c r="D405" s="4"/>
      <c r="E405" s="4"/>
    </row>
    <row r="406" spans="1:5">
      <c r="A406" s="4"/>
      <c r="B406" s="5"/>
      <c r="C406" s="4"/>
      <c r="D406" s="4"/>
      <c r="E406" s="4"/>
    </row>
    <row r="407" spans="1:5">
      <c r="A407" s="4"/>
      <c r="B407" s="5"/>
      <c r="C407" s="4"/>
      <c r="D407" s="4"/>
      <c r="E407" s="4"/>
    </row>
    <row r="408" spans="1:5">
      <c r="A408" s="4"/>
      <c r="B408" s="5"/>
      <c r="C408" s="4"/>
      <c r="D408" s="4"/>
      <c r="E408" s="4"/>
    </row>
    <row r="409" spans="1:5">
      <c r="A409" s="4"/>
      <c r="B409" s="5"/>
      <c r="C409" s="4"/>
      <c r="D409" s="4"/>
      <c r="E409" s="4"/>
    </row>
    <row r="410" spans="1:5">
      <c r="A410" s="4"/>
      <c r="B410" s="5"/>
      <c r="C410" s="4"/>
      <c r="D410" s="4"/>
      <c r="E410" s="4"/>
    </row>
    <row r="411" spans="1:5">
      <c r="A411" s="4"/>
      <c r="B411" s="5"/>
      <c r="C411" s="4"/>
      <c r="D411" s="4"/>
      <c r="E411" s="4"/>
    </row>
    <row r="412" spans="1:5">
      <c r="A412" s="4"/>
      <c r="B412" s="5"/>
      <c r="C412" s="4"/>
      <c r="D412" s="4"/>
      <c r="E412" s="4"/>
    </row>
    <row r="413" spans="1:5">
      <c r="A413" s="4"/>
      <c r="B413" s="5"/>
      <c r="C413" s="4"/>
      <c r="D413" s="4"/>
      <c r="E413" s="4"/>
    </row>
    <row r="414" spans="1:5">
      <c r="A414" s="4"/>
      <c r="B414" s="5"/>
      <c r="C414" s="4"/>
      <c r="D414" s="4"/>
      <c r="E414" s="4"/>
    </row>
    <row r="415" spans="1:5">
      <c r="A415" s="4"/>
      <c r="B415" s="5"/>
      <c r="C415" s="4"/>
      <c r="D415" s="4"/>
      <c r="E415" s="4"/>
    </row>
    <row r="416" spans="1:5">
      <c r="A416" s="4"/>
      <c r="B416" s="5"/>
      <c r="C416" s="4"/>
      <c r="D416" s="4"/>
      <c r="E416" s="4"/>
    </row>
    <row r="417" spans="1:5">
      <c r="A417" s="4"/>
      <c r="B417" s="5"/>
      <c r="C417" s="4"/>
      <c r="D417" s="4"/>
      <c r="E417" s="4"/>
    </row>
    <row r="418" spans="1:5">
      <c r="A418" s="4"/>
      <c r="B418" s="5"/>
      <c r="C418" s="4"/>
      <c r="D418" s="4"/>
      <c r="E418" s="4"/>
    </row>
    <row r="419" spans="1:5">
      <c r="A419" s="4"/>
      <c r="B419" s="5"/>
      <c r="C419" s="4"/>
      <c r="D419" s="4"/>
      <c r="E419" s="4"/>
    </row>
    <row r="420" spans="1:5">
      <c r="A420" s="4"/>
      <c r="B420" s="5"/>
      <c r="C420" s="4"/>
      <c r="D420" s="4"/>
      <c r="E420" s="4"/>
    </row>
    <row r="421" spans="1:5">
      <c r="A421" s="4"/>
      <c r="B421" s="5"/>
      <c r="C421" s="4"/>
      <c r="D421" s="4"/>
      <c r="E421" s="4"/>
    </row>
    <row r="422" spans="1:5">
      <c r="A422" s="4"/>
      <c r="B422" s="5"/>
      <c r="C422" s="4"/>
      <c r="D422" s="4"/>
      <c r="E422" s="4"/>
    </row>
    <row r="423" spans="1:5">
      <c r="A423" s="4"/>
      <c r="B423" s="5"/>
      <c r="C423" s="4"/>
      <c r="D423" s="4"/>
      <c r="E423" s="4"/>
    </row>
    <row r="424" spans="1:5">
      <c r="A424" s="4"/>
      <c r="B424" s="5"/>
      <c r="C424" s="4"/>
      <c r="D424" s="4"/>
      <c r="E424" s="4"/>
    </row>
    <row r="425" spans="1:5">
      <c r="A425" s="4"/>
      <c r="B425" s="5"/>
      <c r="C425" s="4"/>
      <c r="D425" s="4"/>
      <c r="E425" s="4"/>
    </row>
    <row r="426" spans="1:5">
      <c r="A426" s="4"/>
      <c r="B426" s="5"/>
      <c r="C426" s="4"/>
      <c r="D426" s="4"/>
      <c r="E426" s="4"/>
    </row>
    <row r="427" spans="1:5">
      <c r="A427" s="4"/>
      <c r="B427" s="5"/>
      <c r="C427" s="4"/>
      <c r="D427" s="4"/>
      <c r="E427" s="4"/>
    </row>
    <row r="428" spans="1:5">
      <c r="A428" s="4"/>
      <c r="B428" s="5"/>
      <c r="C428" s="4"/>
      <c r="D428" s="4"/>
      <c r="E428" s="4"/>
    </row>
    <row r="429" spans="1:5">
      <c r="A429" s="4"/>
      <c r="B429" s="5"/>
      <c r="C429" s="4"/>
      <c r="D429" s="4"/>
      <c r="E429" s="4"/>
    </row>
    <row r="430" spans="1:5">
      <c r="A430" s="4"/>
      <c r="B430" s="5"/>
      <c r="C430" s="4"/>
      <c r="D430" s="4"/>
      <c r="E430" s="4"/>
    </row>
    <row r="431" spans="1:5">
      <c r="A431" s="4"/>
      <c r="B431" s="5"/>
      <c r="C431" s="4"/>
      <c r="D431" s="4"/>
      <c r="E431" s="4"/>
    </row>
    <row r="432" spans="1:5">
      <c r="A432" s="4"/>
      <c r="B432" s="5"/>
      <c r="C432" s="4"/>
      <c r="D432" s="4"/>
      <c r="E432" s="4"/>
    </row>
    <row r="433" spans="1:5">
      <c r="A433" s="4"/>
      <c r="B433" s="5"/>
      <c r="C433" s="4"/>
      <c r="D433" s="4"/>
      <c r="E433" s="4"/>
    </row>
    <row r="434" spans="1:5">
      <c r="A434" s="4"/>
      <c r="B434" s="5"/>
      <c r="C434" s="4"/>
      <c r="D434" s="4"/>
      <c r="E434" s="4"/>
    </row>
    <row r="435" spans="1:5">
      <c r="A435" s="4"/>
      <c r="B435" s="5"/>
      <c r="C435" s="4"/>
      <c r="D435" s="4"/>
      <c r="E435" s="4"/>
    </row>
    <row r="436" spans="1:5">
      <c r="A436" s="4"/>
      <c r="B436" s="5"/>
      <c r="C436" s="4"/>
      <c r="D436" s="4"/>
      <c r="E436" s="4"/>
    </row>
    <row r="437" spans="1:5">
      <c r="A437" s="4"/>
      <c r="B437" s="5"/>
      <c r="C437" s="4"/>
      <c r="D437" s="4"/>
      <c r="E437" s="4"/>
    </row>
    <row r="438" spans="1:5">
      <c r="A438" s="4"/>
      <c r="B438" s="5"/>
      <c r="C438" s="4"/>
      <c r="D438" s="4"/>
      <c r="E438" s="4"/>
    </row>
    <row r="439" spans="1:5">
      <c r="A439" s="4"/>
      <c r="B439" s="5"/>
      <c r="C439" s="4"/>
      <c r="D439" s="4"/>
      <c r="E439" s="4"/>
    </row>
    <row r="440" spans="1:5">
      <c r="A440" s="4"/>
      <c r="B440" s="5"/>
      <c r="C440" s="4"/>
      <c r="D440" s="4"/>
      <c r="E440" s="4"/>
    </row>
    <row r="441" spans="1:5">
      <c r="A441" s="4"/>
      <c r="B441" s="5"/>
      <c r="C441" s="4"/>
      <c r="D441" s="4"/>
      <c r="E441" s="4"/>
    </row>
    <row r="442" spans="1:5">
      <c r="A442" s="4"/>
      <c r="B442" s="5"/>
      <c r="C442" s="4"/>
      <c r="D442" s="4"/>
      <c r="E442" s="4"/>
    </row>
    <row r="443" spans="1:5">
      <c r="A443" s="4"/>
      <c r="B443" s="5"/>
      <c r="C443" s="4"/>
      <c r="D443" s="4"/>
      <c r="E443" s="4"/>
    </row>
    <row r="444" spans="1:5">
      <c r="A444" s="4"/>
      <c r="B444" s="5"/>
      <c r="C444" s="4"/>
      <c r="D444" s="4"/>
      <c r="E444" s="4"/>
    </row>
    <row r="445" spans="1:5">
      <c r="A445" s="4"/>
      <c r="B445" s="5"/>
      <c r="C445" s="4"/>
      <c r="D445" s="4"/>
      <c r="E445" s="4"/>
    </row>
    <row r="446" spans="1:5">
      <c r="A446" s="4"/>
      <c r="B446" s="5"/>
      <c r="C446" s="4"/>
      <c r="D446" s="4"/>
      <c r="E446" s="4"/>
    </row>
    <row r="447" spans="1:5">
      <c r="A447" s="4"/>
      <c r="B447" s="5"/>
      <c r="C447" s="4"/>
      <c r="D447" s="4"/>
      <c r="E447" s="4"/>
    </row>
    <row r="448" spans="1:5">
      <c r="A448" s="4"/>
      <c r="B448" s="5"/>
      <c r="C448" s="4"/>
      <c r="D448" s="4"/>
      <c r="E448" s="4"/>
    </row>
    <row r="449" spans="1:5">
      <c r="A449" s="4"/>
      <c r="B449" s="5"/>
      <c r="C449" s="4"/>
      <c r="D449" s="4"/>
      <c r="E449" s="4"/>
    </row>
    <row r="450" spans="1:5">
      <c r="A450" s="4"/>
      <c r="B450" s="5"/>
      <c r="C450" s="4"/>
      <c r="D450" s="4"/>
      <c r="E450" s="4"/>
    </row>
    <row r="451" spans="1:5">
      <c r="A451" s="4"/>
      <c r="B451" s="5"/>
      <c r="C451" s="4"/>
      <c r="D451" s="4"/>
      <c r="E451" s="4"/>
    </row>
    <row r="452" spans="1:5">
      <c r="A452" s="4"/>
      <c r="B452" s="5"/>
      <c r="C452" s="4"/>
      <c r="D452" s="4"/>
      <c r="E452" s="4"/>
    </row>
    <row r="453" spans="1:5">
      <c r="A453" s="4"/>
      <c r="B453" s="5"/>
      <c r="C453" s="4"/>
      <c r="D453" s="4"/>
      <c r="E453" s="4"/>
    </row>
    <row r="454" spans="1:5">
      <c r="A454" s="4"/>
      <c r="B454" s="5"/>
      <c r="C454" s="4"/>
      <c r="D454" s="4"/>
      <c r="E454" s="4"/>
    </row>
    <row r="455" spans="1:5">
      <c r="A455" s="4"/>
      <c r="B455" s="5"/>
      <c r="C455" s="4"/>
      <c r="D455" s="4"/>
      <c r="E455" s="4"/>
    </row>
    <row r="456" spans="1:5">
      <c r="A456" s="4"/>
      <c r="B456" s="5"/>
      <c r="C456" s="4"/>
      <c r="D456" s="4"/>
      <c r="E456" s="4"/>
    </row>
    <row r="457" spans="1:5">
      <c r="A457" s="4"/>
      <c r="B457" s="5"/>
      <c r="C457" s="4"/>
      <c r="D457" s="4"/>
      <c r="E457" s="4"/>
    </row>
    <row r="458" spans="1:5">
      <c r="A458" s="4"/>
      <c r="B458" s="5"/>
      <c r="C458" s="4"/>
      <c r="D458" s="4"/>
      <c r="E458" s="4"/>
    </row>
    <row r="459" spans="1:5">
      <c r="A459" s="4"/>
      <c r="B459" s="5"/>
      <c r="C459" s="4"/>
      <c r="D459" s="4"/>
      <c r="E459" s="4"/>
    </row>
    <row r="460" spans="1:5">
      <c r="A460" s="4"/>
      <c r="B460" s="5"/>
      <c r="C460" s="4"/>
      <c r="D460" s="4"/>
      <c r="E460" s="4"/>
    </row>
    <row r="461" spans="1:5">
      <c r="A461" s="4"/>
      <c r="B461" s="5"/>
      <c r="C461" s="4"/>
      <c r="D461" s="4"/>
      <c r="E461" s="4"/>
    </row>
    <row r="462" spans="1:5">
      <c r="A462" s="4"/>
      <c r="B462" s="5"/>
      <c r="C462" s="4"/>
      <c r="D462" s="4"/>
      <c r="E462" s="4"/>
    </row>
    <row r="463" spans="1:5">
      <c r="A463" s="4"/>
      <c r="B463" s="5"/>
      <c r="C463" s="4"/>
      <c r="D463" s="4"/>
      <c r="E463" s="4"/>
    </row>
    <row r="464" spans="1:5">
      <c r="A464" s="4"/>
      <c r="B464" s="5"/>
      <c r="C464" s="4"/>
      <c r="D464" s="4"/>
      <c r="E464" s="4"/>
    </row>
    <row r="465" spans="1:5">
      <c r="A465" s="4"/>
      <c r="B465" s="5"/>
      <c r="C465" s="4"/>
      <c r="D465" s="4"/>
      <c r="E465" s="4"/>
    </row>
    <row r="466" spans="1:5">
      <c r="A466" s="4"/>
      <c r="B466" s="5"/>
      <c r="C466" s="4"/>
      <c r="D466" s="4"/>
      <c r="E466" s="4"/>
    </row>
    <row r="467" spans="1:5">
      <c r="A467" s="4"/>
      <c r="B467" s="5"/>
      <c r="C467" s="4"/>
      <c r="D467" s="4"/>
      <c r="E467" s="4"/>
    </row>
    <row r="468" spans="1:5">
      <c r="A468" s="4"/>
      <c r="B468" s="5"/>
      <c r="C468" s="4"/>
      <c r="D468" s="4"/>
      <c r="E468" s="4"/>
    </row>
    <row r="469" spans="1:5">
      <c r="A469" s="4"/>
      <c r="B469" s="5"/>
      <c r="C469" s="4"/>
      <c r="D469" s="4"/>
      <c r="E469" s="4"/>
    </row>
    <row r="470" spans="1:5">
      <c r="A470" s="4"/>
      <c r="B470" s="5"/>
      <c r="C470" s="4"/>
      <c r="D470" s="4"/>
      <c r="E470" s="4"/>
    </row>
    <row r="471" spans="1:5">
      <c r="A471" s="4"/>
      <c r="B471" s="5"/>
      <c r="C471" s="4"/>
      <c r="D471" s="4"/>
      <c r="E471" s="4"/>
    </row>
    <row r="472" spans="1:5">
      <c r="A472" s="4"/>
      <c r="B472" s="5"/>
      <c r="C472" s="4"/>
      <c r="D472" s="4"/>
      <c r="E472" s="4"/>
    </row>
    <row r="473" spans="1:5">
      <c r="A473" s="4"/>
      <c r="B473" s="5"/>
      <c r="C473" s="4"/>
      <c r="D473" s="4"/>
      <c r="E473" s="4"/>
    </row>
    <row r="474" spans="1:5">
      <c r="A474" s="4"/>
      <c r="B474" s="5"/>
      <c r="C474" s="4"/>
      <c r="D474" s="4"/>
      <c r="E474" s="4"/>
    </row>
    <row r="475" spans="1:5">
      <c r="A475" s="4"/>
      <c r="B475" s="5"/>
      <c r="C475" s="4"/>
      <c r="D475" s="4"/>
      <c r="E475" s="4"/>
    </row>
    <row r="476" spans="1:5">
      <c r="A476" s="4"/>
      <c r="B476" s="5"/>
      <c r="C476" s="4"/>
      <c r="D476" s="4"/>
      <c r="E476" s="4"/>
    </row>
    <row r="477" spans="1:5">
      <c r="A477" s="4"/>
      <c r="B477" s="5"/>
      <c r="C477" s="4"/>
      <c r="D477" s="4"/>
      <c r="E477" s="4"/>
    </row>
    <row r="478" spans="1:5">
      <c r="A478" s="4"/>
      <c r="B478" s="5"/>
      <c r="C478" s="4"/>
      <c r="D478" s="4"/>
      <c r="E478" s="4"/>
    </row>
    <row r="479" spans="1:5">
      <c r="A479" s="4"/>
      <c r="B479" s="5"/>
      <c r="C479" s="4"/>
      <c r="D479" s="4"/>
      <c r="E479" s="4"/>
    </row>
    <row r="480" spans="1:5">
      <c r="A480" s="4"/>
      <c r="B480" s="5"/>
      <c r="C480" s="4"/>
      <c r="D480" s="4"/>
      <c r="E480" s="4"/>
    </row>
    <row r="481" spans="1:5">
      <c r="A481" s="4"/>
      <c r="B481" s="5"/>
      <c r="C481" s="4"/>
      <c r="D481" s="4"/>
      <c r="E481" s="4"/>
    </row>
    <row r="482" spans="1:5">
      <c r="A482" s="4"/>
      <c r="B482" s="5"/>
      <c r="C482" s="4"/>
      <c r="D482" s="4"/>
      <c r="E482" s="4"/>
    </row>
    <row r="483" spans="1:5">
      <c r="A483" s="4"/>
      <c r="B483" s="5"/>
      <c r="C483" s="4"/>
      <c r="D483" s="4"/>
      <c r="E483" s="4"/>
    </row>
    <row r="484" spans="1:5">
      <c r="A484" s="4"/>
      <c r="B484" s="5"/>
      <c r="C484" s="4"/>
      <c r="D484" s="4"/>
      <c r="E484" s="4"/>
    </row>
    <row r="485" spans="1:5">
      <c r="A485" s="4"/>
      <c r="B485" s="5"/>
      <c r="C485" s="4"/>
      <c r="D485" s="4"/>
      <c r="E485" s="4"/>
    </row>
    <row r="486" spans="1:5">
      <c r="A486" s="4"/>
      <c r="B486" s="5"/>
      <c r="C486" s="4"/>
      <c r="D486" s="4"/>
      <c r="E486" s="4"/>
    </row>
    <row r="487" spans="1:5">
      <c r="A487" s="4"/>
      <c r="B487" s="5"/>
      <c r="C487" s="4"/>
      <c r="D487" s="4"/>
      <c r="E487" s="4"/>
    </row>
    <row r="488" spans="1:5">
      <c r="A488" s="4"/>
      <c r="B488" s="5"/>
      <c r="C488" s="4"/>
      <c r="D488" s="4"/>
      <c r="E488" s="4"/>
    </row>
    <row r="489" spans="1:5">
      <c r="A489" s="4"/>
      <c r="B489" s="5"/>
      <c r="C489" s="4"/>
      <c r="D489" s="4"/>
      <c r="E489" s="4"/>
    </row>
    <row r="490" spans="1:5">
      <c r="A490" s="4"/>
      <c r="B490" s="5"/>
      <c r="C490" s="4"/>
      <c r="D490" s="4"/>
      <c r="E490" s="4"/>
    </row>
    <row r="491" spans="1:5">
      <c r="A491" s="4"/>
      <c r="B491" s="5"/>
      <c r="C491" s="4"/>
      <c r="D491" s="4"/>
      <c r="E491" s="4"/>
    </row>
    <row r="492" spans="1:5">
      <c r="A492" s="4"/>
      <c r="B492" s="5"/>
      <c r="C492" s="4"/>
      <c r="D492" s="4"/>
      <c r="E492" s="4"/>
    </row>
    <row r="493" spans="1:5">
      <c r="A493" s="4"/>
      <c r="B493" s="5"/>
      <c r="C493" s="4"/>
      <c r="D493" s="4"/>
      <c r="E493" s="4"/>
    </row>
    <row r="494" spans="1:5">
      <c r="A494" s="4"/>
      <c r="B494" s="5"/>
      <c r="C494" s="4"/>
      <c r="D494" s="4"/>
      <c r="E494" s="4"/>
    </row>
    <row r="495" spans="1:5">
      <c r="A495" s="4"/>
      <c r="B495" s="5"/>
      <c r="C495" s="4"/>
      <c r="D495" s="4"/>
      <c r="E495" s="4"/>
    </row>
    <row r="496" spans="1:5">
      <c r="A496" s="4"/>
      <c r="B496" s="5"/>
      <c r="C496" s="4"/>
      <c r="D496" s="4"/>
      <c r="E496" s="4"/>
    </row>
    <row r="497" spans="1:5">
      <c r="A497" s="4"/>
      <c r="B497" s="5"/>
      <c r="C497" s="4"/>
      <c r="D497" s="4"/>
      <c r="E497" s="4"/>
    </row>
    <row r="498" spans="1:5">
      <c r="A498" s="4"/>
      <c r="B498" s="5"/>
      <c r="C498" s="4"/>
      <c r="D498" s="4"/>
      <c r="E498" s="4"/>
    </row>
    <row r="499" spans="1:5">
      <c r="A499" s="4"/>
      <c r="B499" s="5"/>
      <c r="C499" s="4"/>
      <c r="D499" s="4"/>
      <c r="E499" s="4"/>
    </row>
    <row r="500" spans="1:5">
      <c r="A500" s="4"/>
      <c r="B500" s="5"/>
      <c r="C500" s="4"/>
      <c r="D500" s="4"/>
      <c r="E500" s="4"/>
    </row>
    <row r="501" spans="1:5">
      <c r="A501" s="4"/>
      <c r="B501" s="5"/>
      <c r="C501" s="4"/>
      <c r="D501" s="4"/>
      <c r="E501" s="4"/>
    </row>
    <row r="502" spans="1:5">
      <c r="A502" s="4"/>
      <c r="B502" s="5"/>
      <c r="C502" s="4"/>
      <c r="D502" s="4"/>
      <c r="E502" s="4"/>
    </row>
    <row r="503" spans="1:5">
      <c r="A503" s="4"/>
      <c r="B503" s="5"/>
      <c r="C503" s="4"/>
      <c r="D503" s="4"/>
      <c r="E503" s="4"/>
    </row>
    <row r="504" spans="1:5">
      <c r="A504" s="4"/>
      <c r="B504" s="5"/>
      <c r="C504" s="4"/>
      <c r="D504" s="4"/>
      <c r="E504" s="4"/>
    </row>
    <row r="505" spans="1:5">
      <c r="A505" s="4"/>
      <c r="B505" s="5"/>
      <c r="C505" s="4"/>
      <c r="D505" s="4"/>
      <c r="E505" s="4"/>
    </row>
    <row r="506" spans="1:5">
      <c r="A506" s="4"/>
      <c r="B506" s="5"/>
      <c r="C506" s="4"/>
      <c r="D506" s="4"/>
      <c r="E506" s="4"/>
    </row>
    <row r="507" spans="1:5">
      <c r="A507" s="4"/>
      <c r="B507" s="5"/>
      <c r="C507" s="4"/>
      <c r="D507" s="4"/>
      <c r="E507" s="4"/>
    </row>
    <row r="508" spans="1:5">
      <c r="A508" s="4"/>
      <c r="B508" s="5"/>
      <c r="C508" s="4"/>
      <c r="D508" s="4"/>
      <c r="E508" s="4"/>
    </row>
    <row r="509" spans="1:5">
      <c r="A509" s="4"/>
      <c r="B509" s="5"/>
      <c r="C509" s="4"/>
      <c r="D509" s="4"/>
      <c r="E509" s="4"/>
    </row>
    <row r="510" spans="1:5">
      <c r="A510" s="4"/>
      <c r="B510" s="5"/>
      <c r="C510" s="4"/>
      <c r="D510" s="4"/>
      <c r="E510" s="4"/>
    </row>
    <row r="511" spans="1:5">
      <c r="A511" s="4"/>
      <c r="B511" s="5"/>
      <c r="C511" s="4"/>
      <c r="D511" s="4"/>
      <c r="E511" s="4"/>
    </row>
    <row r="512" spans="1:5">
      <c r="A512" s="4"/>
      <c r="B512" s="5"/>
      <c r="C512" s="4"/>
      <c r="D512" s="4"/>
      <c r="E512" s="4"/>
    </row>
    <row r="513" spans="1:5">
      <c r="A513" s="4"/>
      <c r="B513" s="5"/>
      <c r="C513" s="4"/>
      <c r="D513" s="4"/>
      <c r="E513" s="4"/>
    </row>
    <row r="514" spans="1:5">
      <c r="A514" s="4"/>
      <c r="B514" s="5"/>
      <c r="C514" s="4"/>
      <c r="D514" s="4"/>
      <c r="E514" s="4"/>
    </row>
    <row r="515" spans="1:5">
      <c r="A515" s="4"/>
      <c r="B515" s="5"/>
      <c r="C515" s="4"/>
      <c r="D515" s="4"/>
      <c r="E515" s="4"/>
    </row>
    <row r="516" spans="1:5">
      <c r="A516" s="4"/>
      <c r="B516" s="5"/>
      <c r="C516" s="4"/>
      <c r="D516" s="4"/>
      <c r="E516" s="4"/>
    </row>
    <row r="517" spans="1:5">
      <c r="A517" s="4"/>
      <c r="B517" s="5"/>
      <c r="C517" s="4"/>
      <c r="D517" s="4"/>
      <c r="E517" s="4"/>
    </row>
    <row r="518" spans="1:5">
      <c r="A518" s="4"/>
      <c r="B518" s="5"/>
      <c r="C518" s="4"/>
      <c r="D518" s="4"/>
      <c r="E518" s="4"/>
    </row>
    <row r="519" spans="1:5">
      <c r="A519" s="4"/>
      <c r="B519" s="5"/>
      <c r="C519" s="4"/>
      <c r="D519" s="4"/>
      <c r="E519" s="4"/>
    </row>
    <row r="520" spans="1:5">
      <c r="A520" s="4"/>
      <c r="B520" s="5"/>
      <c r="C520" s="4"/>
      <c r="D520" s="4"/>
      <c r="E520" s="4"/>
    </row>
    <row r="521" spans="1:5">
      <c r="A521" s="4"/>
      <c r="B521" s="5"/>
      <c r="C521" s="4"/>
      <c r="D521" s="4"/>
      <c r="E521" s="4"/>
    </row>
    <row r="522" spans="1:5">
      <c r="A522" s="4"/>
      <c r="B522" s="5"/>
      <c r="C522" s="4"/>
      <c r="D522" s="4"/>
      <c r="E522" s="4"/>
    </row>
    <row r="523" spans="1:5">
      <c r="A523" s="4"/>
      <c r="B523" s="5"/>
      <c r="C523" s="4"/>
      <c r="D523" s="4"/>
      <c r="E523" s="4"/>
    </row>
    <row r="524" spans="1:5">
      <c r="A524" s="4"/>
      <c r="B524" s="5"/>
      <c r="C524" s="4"/>
      <c r="D524" s="4"/>
      <c r="E524" s="4"/>
    </row>
    <row r="525" spans="1:5">
      <c r="A525" s="4"/>
      <c r="B525" s="5"/>
      <c r="C525" s="4"/>
      <c r="D525" s="4"/>
      <c r="E525" s="4"/>
    </row>
    <row r="526" spans="1:5">
      <c r="A526" s="4"/>
      <c r="B526" s="5"/>
      <c r="C526" s="4"/>
      <c r="D526" s="4"/>
      <c r="E526" s="4"/>
    </row>
    <row r="527" spans="1:5">
      <c r="A527" s="4"/>
      <c r="B527" s="5"/>
      <c r="C527" s="4"/>
      <c r="D527" s="4"/>
      <c r="E527" s="4"/>
    </row>
    <row r="528" spans="1:5">
      <c r="A528" s="4"/>
      <c r="B528" s="5"/>
      <c r="C528" s="4"/>
      <c r="D528" s="4"/>
      <c r="E528" s="4"/>
    </row>
    <row r="529" spans="1:5">
      <c r="A529" s="4"/>
      <c r="B529" s="5"/>
      <c r="C529" s="4"/>
      <c r="D529" s="4"/>
      <c r="E529" s="4"/>
    </row>
    <row r="530" spans="1:5">
      <c r="A530" s="4"/>
      <c r="B530" s="5"/>
      <c r="C530" s="4"/>
      <c r="D530" s="4"/>
      <c r="E530" s="4"/>
    </row>
    <row r="531" spans="1:5">
      <c r="A531" s="4"/>
      <c r="B531" s="5"/>
      <c r="C531" s="4"/>
      <c r="D531" s="4"/>
      <c r="E531" s="4"/>
    </row>
    <row r="532" spans="1:5">
      <c r="A532" s="4"/>
      <c r="B532" s="5"/>
      <c r="C532" s="4"/>
      <c r="D532" s="4"/>
      <c r="E532" s="4"/>
    </row>
    <row r="533" spans="1:5">
      <c r="A533" s="4"/>
      <c r="B533" s="5"/>
      <c r="C533" s="4"/>
      <c r="D533" s="4"/>
      <c r="E533" s="4"/>
    </row>
    <row r="534" spans="1:5">
      <c r="A534" s="4"/>
      <c r="B534" s="5"/>
      <c r="C534" s="4"/>
      <c r="D534" s="4"/>
      <c r="E534" s="4"/>
    </row>
    <row r="535" spans="1:5">
      <c r="A535" s="4"/>
      <c r="B535" s="5"/>
      <c r="C535" s="4"/>
      <c r="D535" s="4"/>
      <c r="E535" s="4"/>
    </row>
    <row r="536" spans="1:5">
      <c r="A536" s="4"/>
      <c r="B536" s="5"/>
      <c r="C536" s="4"/>
      <c r="D536" s="4"/>
      <c r="E536" s="4"/>
    </row>
    <row r="537" spans="1:5">
      <c r="A537" s="4"/>
      <c r="B537" s="5"/>
      <c r="C537" s="4"/>
      <c r="D537" s="4"/>
      <c r="E537" s="4"/>
    </row>
    <row r="538" spans="1:5">
      <c r="A538" s="4"/>
      <c r="B538" s="5"/>
      <c r="C538" s="4"/>
      <c r="D538" s="4"/>
      <c r="E538" s="4"/>
    </row>
    <row r="539" spans="1:5">
      <c r="A539" s="4"/>
      <c r="B539" s="5"/>
      <c r="C539" s="4"/>
      <c r="D539" s="4"/>
      <c r="E539" s="4"/>
    </row>
    <row r="540" spans="1:5">
      <c r="A540" s="4"/>
      <c r="B540" s="5"/>
      <c r="C540" s="4"/>
      <c r="D540" s="4"/>
      <c r="E540" s="4"/>
    </row>
    <row r="541" spans="1:5">
      <c r="A541" s="4"/>
      <c r="B541" s="5"/>
      <c r="C541" s="4"/>
      <c r="D541" s="4"/>
      <c r="E541" s="4"/>
    </row>
    <row r="542" spans="1:5">
      <c r="A542" s="4"/>
      <c r="B542" s="5"/>
      <c r="C542" s="4"/>
      <c r="D542" s="4"/>
      <c r="E542" s="4"/>
    </row>
    <row r="543" spans="1:5">
      <c r="A543" s="4"/>
      <c r="B543" s="5"/>
      <c r="C543" s="4"/>
      <c r="D543" s="4"/>
      <c r="E543" s="4"/>
    </row>
    <row r="544" spans="1:5">
      <c r="A544" s="4"/>
      <c r="B544" s="5"/>
      <c r="C544" s="4"/>
      <c r="D544" s="4"/>
      <c r="E544" s="4"/>
    </row>
    <row r="545" spans="1:5">
      <c r="A545" s="4"/>
      <c r="B545" s="5"/>
      <c r="C545" s="4"/>
      <c r="D545" s="4"/>
      <c r="E545" s="4"/>
    </row>
    <row r="546" spans="1:5">
      <c r="A546" s="4"/>
      <c r="B546" s="5"/>
      <c r="C546" s="4"/>
      <c r="D546" s="4"/>
      <c r="E546" s="4"/>
    </row>
    <row r="547" spans="1:5">
      <c r="A547" s="4"/>
      <c r="B547" s="5"/>
      <c r="C547" s="4"/>
      <c r="D547" s="4"/>
      <c r="E547" s="4"/>
    </row>
    <row r="548" spans="1:5">
      <c r="A548" s="4"/>
      <c r="B548" s="5"/>
      <c r="C548" s="4"/>
      <c r="D548" s="4"/>
      <c r="E548" s="4"/>
    </row>
    <row r="549" spans="1:5">
      <c r="A549" s="4"/>
      <c r="B549" s="5"/>
      <c r="C549" s="4"/>
      <c r="D549" s="4"/>
      <c r="E549" s="4"/>
    </row>
    <row r="550" spans="1:5">
      <c r="A550" s="4"/>
      <c r="B550" s="5"/>
      <c r="C550" s="4"/>
      <c r="D550" s="4"/>
      <c r="E550" s="4"/>
    </row>
    <row r="551" spans="1:5">
      <c r="A551" s="4"/>
      <c r="B551" s="5"/>
      <c r="C551" s="4"/>
      <c r="D551" s="4"/>
      <c r="E551" s="4"/>
    </row>
    <row r="552" spans="1:5">
      <c r="A552" s="4"/>
      <c r="B552" s="5"/>
      <c r="C552" s="4"/>
      <c r="D552" s="4"/>
      <c r="E552" s="4"/>
    </row>
    <row r="553" spans="1:5">
      <c r="A553" s="4"/>
      <c r="B553" s="5"/>
      <c r="C553" s="4"/>
      <c r="D553" s="4"/>
      <c r="E553" s="4"/>
    </row>
    <row r="554" spans="1:5">
      <c r="A554" s="4"/>
      <c r="B554" s="5"/>
      <c r="C554" s="4"/>
      <c r="D554" s="4"/>
      <c r="E554" s="4"/>
    </row>
    <row r="555" spans="1:5">
      <c r="A555" s="4"/>
      <c r="B555" s="5"/>
      <c r="C555" s="4"/>
      <c r="D555" s="4"/>
      <c r="E555" s="4"/>
    </row>
    <row r="556" spans="1:5">
      <c r="A556" s="4"/>
      <c r="B556" s="5"/>
      <c r="C556" s="4"/>
      <c r="D556" s="4"/>
      <c r="E556" s="4"/>
    </row>
    <row r="557" spans="1:5">
      <c r="A557" s="4"/>
      <c r="B557" s="5"/>
      <c r="C557" s="4"/>
      <c r="D557" s="4"/>
      <c r="E557" s="4"/>
    </row>
    <row r="558" spans="1:5">
      <c r="A558" s="4"/>
      <c r="B558" s="5"/>
      <c r="C558" s="4"/>
      <c r="D558" s="4"/>
      <c r="E558" s="4"/>
    </row>
    <row r="559" spans="1:5">
      <c r="A559" s="4"/>
      <c r="B559" s="5"/>
      <c r="C559" s="4"/>
      <c r="D559" s="4"/>
      <c r="E559" s="4"/>
    </row>
    <row r="560" spans="1:5">
      <c r="A560" s="4"/>
      <c r="B560" s="5"/>
      <c r="C560" s="4"/>
      <c r="D560" s="4"/>
      <c r="E560" s="4"/>
    </row>
    <row r="561" spans="1:5">
      <c r="A561" s="4"/>
      <c r="B561" s="5"/>
      <c r="C561" s="4"/>
      <c r="D561" s="4"/>
      <c r="E561" s="4"/>
    </row>
    <row r="562" spans="1:5">
      <c r="A562" s="4"/>
      <c r="B562" s="5"/>
      <c r="C562" s="4"/>
      <c r="D562" s="4"/>
      <c r="E562" s="4"/>
    </row>
    <row r="563" spans="1:5">
      <c r="A563" s="4"/>
      <c r="B563" s="5"/>
      <c r="C563" s="4"/>
      <c r="D563" s="4"/>
      <c r="E563" s="4"/>
    </row>
    <row r="564" spans="1:5">
      <c r="A564" s="4"/>
      <c r="B564" s="5"/>
      <c r="C564" s="4"/>
      <c r="D564" s="4"/>
      <c r="E564" s="4"/>
    </row>
    <row r="565" spans="1:5">
      <c r="A565" s="4"/>
      <c r="B565" s="5"/>
      <c r="C565" s="4"/>
      <c r="D565" s="4"/>
      <c r="E565" s="4"/>
    </row>
    <row r="566" spans="1:5">
      <c r="A566" s="4"/>
      <c r="B566" s="5"/>
      <c r="C566" s="4"/>
      <c r="D566" s="4"/>
      <c r="E566" s="4"/>
    </row>
    <row r="567" spans="1:5">
      <c r="A567" s="4"/>
      <c r="B567" s="5"/>
      <c r="C567" s="4"/>
      <c r="D567" s="4"/>
      <c r="E567" s="4"/>
    </row>
    <row r="568" spans="1:5">
      <c r="A568" s="4"/>
      <c r="B568" s="5"/>
      <c r="C568" s="4"/>
      <c r="D568" s="4"/>
      <c r="E568" s="4"/>
    </row>
    <row r="569" spans="1:5">
      <c r="A569" s="4"/>
      <c r="B569" s="5"/>
      <c r="C569" s="4"/>
      <c r="D569" s="4"/>
      <c r="E569" s="4"/>
    </row>
    <row r="570" spans="1:5">
      <c r="A570" s="4"/>
      <c r="B570" s="5"/>
      <c r="C570" s="4"/>
      <c r="D570" s="4"/>
      <c r="E570" s="4"/>
    </row>
    <row r="571" spans="1:5">
      <c r="A571" s="4"/>
      <c r="B571" s="5"/>
      <c r="C571" s="4"/>
      <c r="D571" s="4"/>
      <c r="E571" s="4"/>
    </row>
    <row r="572" spans="1:5">
      <c r="A572" s="4"/>
      <c r="B572" s="5"/>
      <c r="C572" s="4"/>
      <c r="D572" s="4"/>
      <c r="E572" s="4"/>
    </row>
    <row r="573" spans="1:5">
      <c r="A573" s="4"/>
      <c r="B573" s="5"/>
      <c r="C573" s="4"/>
      <c r="D573" s="4"/>
      <c r="E573" s="4"/>
    </row>
    <row r="574" spans="1:5">
      <c r="A574" s="4"/>
      <c r="B574" s="5"/>
      <c r="C574" s="4"/>
      <c r="D574" s="4"/>
      <c r="E574" s="4"/>
    </row>
    <row r="575" spans="1:5">
      <c r="A575" s="4"/>
      <c r="B575" s="5"/>
      <c r="C575" s="4"/>
      <c r="D575" s="4"/>
      <c r="E575" s="4"/>
    </row>
    <row r="576" spans="1:5">
      <c r="A576" s="4"/>
      <c r="B576" s="5"/>
      <c r="C576" s="4"/>
      <c r="D576" s="4"/>
      <c r="E576" s="4"/>
    </row>
    <row r="577" spans="1:5">
      <c r="A577" s="4"/>
      <c r="B577" s="5"/>
      <c r="C577" s="4"/>
      <c r="D577" s="4"/>
      <c r="E577" s="4"/>
    </row>
    <row r="578" spans="1:5">
      <c r="A578" s="4"/>
      <c r="B578" s="5"/>
      <c r="C578" s="4"/>
      <c r="D578" s="4"/>
      <c r="E578" s="4"/>
    </row>
    <row r="579" spans="1:5">
      <c r="A579" s="4"/>
      <c r="B579" s="5"/>
      <c r="C579" s="4"/>
      <c r="D579" s="4"/>
      <c r="E579" s="4"/>
    </row>
    <row r="580" spans="1:5">
      <c r="A580" s="4"/>
      <c r="B580" s="5"/>
      <c r="C580" s="4"/>
      <c r="D580" s="4"/>
      <c r="E580" s="4"/>
    </row>
    <row r="581" spans="1:5">
      <c r="A581" s="4"/>
      <c r="B581" s="5"/>
      <c r="C581" s="4"/>
      <c r="D581" s="4"/>
      <c r="E581" s="4"/>
    </row>
    <row r="582" spans="1:5">
      <c r="A582" s="4"/>
      <c r="B582" s="5"/>
      <c r="C582" s="4"/>
      <c r="D582" s="4"/>
      <c r="E582" s="4"/>
    </row>
    <row r="583" spans="1:5">
      <c r="A583" s="4"/>
      <c r="B583" s="5"/>
      <c r="C583" s="4"/>
      <c r="D583" s="4"/>
      <c r="E583" s="4"/>
    </row>
    <row r="584" spans="1:5">
      <c r="A584" s="4"/>
      <c r="B584" s="5"/>
      <c r="C584" s="4"/>
      <c r="D584" s="4"/>
      <c r="E584" s="4"/>
    </row>
    <row r="585" spans="1:5">
      <c r="A585" s="4"/>
      <c r="B585" s="5"/>
      <c r="C585" s="4"/>
      <c r="D585" s="4"/>
      <c r="E585" s="4"/>
    </row>
    <row r="586" spans="1:5">
      <c r="A586" s="4"/>
      <c r="B586" s="5"/>
      <c r="C586" s="4"/>
      <c r="D586" s="4"/>
      <c r="E586" s="4"/>
    </row>
    <row r="587" spans="1:5">
      <c r="A587" s="4"/>
      <c r="B587" s="5"/>
      <c r="C587" s="4"/>
      <c r="D587" s="4"/>
      <c r="E587" s="4"/>
    </row>
    <row r="588" spans="1:5">
      <c r="A588" s="4"/>
      <c r="B588" s="5"/>
      <c r="C588" s="4"/>
      <c r="D588" s="4"/>
      <c r="E588" s="4"/>
    </row>
    <row r="589" spans="1:5">
      <c r="A589" s="4"/>
      <c r="B589" s="5"/>
      <c r="C589" s="4"/>
      <c r="D589" s="4"/>
      <c r="E589" s="4"/>
    </row>
    <row r="590" spans="1:5">
      <c r="A590" s="4"/>
      <c r="B590" s="5"/>
      <c r="C590" s="4"/>
      <c r="D590" s="4"/>
      <c r="E590" s="4"/>
    </row>
    <row r="591" spans="1:5">
      <c r="A591" s="4"/>
      <c r="B591" s="5"/>
      <c r="C591" s="4"/>
      <c r="D591" s="4"/>
      <c r="E591" s="4"/>
    </row>
    <row r="592" spans="1:5">
      <c r="A592" s="4"/>
      <c r="B592" s="5"/>
      <c r="C592" s="4"/>
      <c r="D592" s="4"/>
      <c r="E592" s="4"/>
    </row>
    <row r="593" spans="1:5">
      <c r="A593" s="4"/>
      <c r="B593" s="5"/>
      <c r="C593" s="4"/>
      <c r="D593" s="4"/>
      <c r="E593" s="4"/>
    </row>
    <row r="594" spans="1:5">
      <c r="A594" s="4"/>
      <c r="B594" s="5"/>
      <c r="C594" s="4"/>
      <c r="D594" s="4"/>
      <c r="E594" s="4"/>
    </row>
    <row r="595" spans="1:5">
      <c r="A595" s="4"/>
      <c r="B595" s="5"/>
      <c r="C595" s="4"/>
      <c r="D595" s="4"/>
      <c r="E595" s="4"/>
    </row>
    <row r="596" spans="1:5">
      <c r="A596" s="4"/>
      <c r="B596" s="5"/>
      <c r="C596" s="4"/>
      <c r="D596" s="4"/>
      <c r="E596" s="4"/>
    </row>
    <row r="597" spans="1:5">
      <c r="A597" s="4"/>
      <c r="B597" s="5"/>
      <c r="C597" s="4"/>
      <c r="D597" s="4"/>
      <c r="E597" s="4"/>
    </row>
    <row r="598" spans="1:5">
      <c r="A598" s="4"/>
      <c r="B598" s="5"/>
      <c r="C598" s="4"/>
      <c r="D598" s="4"/>
      <c r="E598" s="4"/>
    </row>
    <row r="599" spans="1:5">
      <c r="A599" s="4"/>
      <c r="B599" s="5"/>
      <c r="C599" s="4"/>
      <c r="D599" s="4"/>
      <c r="E599" s="4"/>
    </row>
    <row r="600" spans="1:5">
      <c r="A600" s="4"/>
      <c r="B600" s="5"/>
      <c r="C600" s="4"/>
      <c r="D600" s="4"/>
      <c r="E600" s="4"/>
    </row>
    <row r="601" spans="1:5">
      <c r="A601" s="4"/>
      <c r="B601" s="5"/>
      <c r="C601" s="4"/>
      <c r="D601" s="4"/>
      <c r="E601" s="4"/>
    </row>
    <row r="602" spans="1:5">
      <c r="A602" s="4"/>
      <c r="B602" s="5"/>
      <c r="C602" s="4"/>
      <c r="D602" s="4"/>
      <c r="E602" s="4"/>
    </row>
    <row r="603" spans="1:5">
      <c r="A603" s="4"/>
      <c r="B603" s="5"/>
      <c r="C603" s="4"/>
      <c r="D603" s="4"/>
      <c r="E603" s="4"/>
    </row>
    <row r="604" spans="1:5">
      <c r="A604" s="4"/>
      <c r="B604" s="5"/>
      <c r="C604" s="4"/>
      <c r="D604" s="4"/>
      <c r="E604" s="4"/>
    </row>
    <row r="605" spans="1:5">
      <c r="A605" s="4"/>
      <c r="B605" s="5"/>
      <c r="C605" s="4"/>
      <c r="D605" s="4"/>
      <c r="E605" s="4"/>
    </row>
    <row r="606" spans="1:5">
      <c r="A606" s="4"/>
      <c r="B606" s="5"/>
      <c r="C606" s="4"/>
      <c r="D606" s="4"/>
      <c r="E606" s="4"/>
    </row>
    <row r="607" spans="1:5">
      <c r="A607" s="4"/>
      <c r="B607" s="5"/>
      <c r="C607" s="4"/>
      <c r="D607" s="4"/>
      <c r="E607" s="4"/>
    </row>
    <row r="608" spans="1:5">
      <c r="A608" s="4"/>
      <c r="B608" s="5"/>
      <c r="C608" s="4"/>
      <c r="D608" s="4"/>
      <c r="E608" s="4"/>
    </row>
    <row r="609" spans="1:5">
      <c r="A609" s="4"/>
      <c r="B609" s="5"/>
      <c r="C609" s="4"/>
      <c r="D609" s="4"/>
      <c r="E609" s="4"/>
    </row>
    <row r="610" spans="1:5">
      <c r="A610" s="4"/>
      <c r="B610" s="5"/>
      <c r="C610" s="4"/>
      <c r="D610" s="4"/>
      <c r="E610" s="4"/>
    </row>
    <row r="611" spans="1:5">
      <c r="A611" s="4"/>
      <c r="B611" s="5"/>
      <c r="C611" s="4"/>
      <c r="D611" s="4"/>
      <c r="E611" s="4"/>
    </row>
    <row r="612" spans="1:5">
      <c r="A612" s="4"/>
      <c r="B612" s="5"/>
      <c r="C612" s="4"/>
      <c r="D612" s="4"/>
      <c r="E612" s="4"/>
    </row>
    <row r="613" spans="1:5">
      <c r="A613" s="4"/>
      <c r="B613" s="5"/>
      <c r="C613" s="4"/>
      <c r="D613" s="4"/>
      <c r="E613" s="4"/>
    </row>
    <row r="614" spans="1:5">
      <c r="A614" s="4"/>
      <c r="B614" s="5"/>
      <c r="C614" s="4"/>
      <c r="D614" s="4"/>
      <c r="E614" s="4"/>
    </row>
    <row r="615" spans="1:5">
      <c r="A615" s="4"/>
      <c r="B615" s="5"/>
      <c r="C615" s="4"/>
      <c r="D615" s="4"/>
      <c r="E615" s="4"/>
    </row>
    <row r="616" spans="1:5">
      <c r="A616" s="4"/>
      <c r="B616" s="5"/>
      <c r="C616" s="4"/>
      <c r="D616" s="4"/>
      <c r="E616" s="4"/>
    </row>
    <row r="617" spans="1:5">
      <c r="A617" s="4"/>
      <c r="B617" s="5"/>
      <c r="C617" s="4"/>
      <c r="D617" s="4"/>
      <c r="E617" s="4"/>
    </row>
    <row r="618" spans="1:5">
      <c r="A618" s="4"/>
      <c r="B618" s="5"/>
      <c r="C618" s="4"/>
      <c r="D618" s="4"/>
      <c r="E618" s="4"/>
    </row>
    <row r="619" spans="1:5">
      <c r="A619" s="4"/>
      <c r="B619" s="5"/>
      <c r="C619" s="4"/>
      <c r="D619" s="4"/>
      <c r="E619" s="4"/>
    </row>
    <row r="620" spans="1:5">
      <c r="A620" s="4"/>
      <c r="B620" s="5"/>
      <c r="C620" s="4"/>
      <c r="D620" s="4"/>
      <c r="E620" s="4"/>
    </row>
    <row r="621" spans="1:5">
      <c r="A621" s="4"/>
      <c r="B621" s="5"/>
      <c r="C621" s="4"/>
      <c r="D621" s="4"/>
      <c r="E621" s="4"/>
    </row>
    <row r="622" spans="1:5">
      <c r="A622" s="4"/>
      <c r="B622" s="5"/>
      <c r="C622" s="4"/>
      <c r="D622" s="4"/>
      <c r="E622" s="4"/>
    </row>
    <row r="623" spans="1:5">
      <c r="A623" s="4"/>
      <c r="B623" s="5"/>
      <c r="C623" s="4"/>
      <c r="D623" s="4"/>
      <c r="E623" s="4"/>
    </row>
    <row r="624" spans="1:5">
      <c r="A624" s="4"/>
      <c r="B624" s="5"/>
      <c r="C624" s="4"/>
      <c r="D624" s="4"/>
      <c r="E624" s="4"/>
    </row>
    <row r="625" spans="1:5">
      <c r="A625" s="4"/>
      <c r="B625" s="5"/>
      <c r="C625" s="4"/>
      <c r="D625" s="4"/>
      <c r="E625" s="4"/>
    </row>
    <row r="626" spans="1:5">
      <c r="A626" s="4"/>
      <c r="B626" s="5"/>
      <c r="C626" s="4"/>
      <c r="D626" s="4"/>
      <c r="E626" s="4"/>
    </row>
    <row r="627" spans="1:5">
      <c r="A627" s="4"/>
      <c r="B627" s="5"/>
      <c r="C627" s="4"/>
      <c r="D627" s="4"/>
      <c r="E627" s="4"/>
    </row>
    <row r="628" spans="1:5">
      <c r="A628" s="4"/>
      <c r="B628" s="5"/>
      <c r="C628" s="4"/>
      <c r="D628" s="4"/>
      <c r="E628" s="4"/>
    </row>
    <row r="629" spans="1:5">
      <c r="A629" s="4"/>
      <c r="B629" s="5"/>
      <c r="C629" s="4"/>
      <c r="D629" s="4"/>
      <c r="E629" s="4"/>
    </row>
    <row r="630" spans="1:5">
      <c r="A630" s="4"/>
      <c r="B630" s="5"/>
      <c r="C630" s="4"/>
      <c r="D630" s="4"/>
      <c r="E630" s="4"/>
    </row>
    <row r="631" spans="1:5">
      <c r="A631" s="4"/>
      <c r="B631" s="5"/>
      <c r="C631" s="4"/>
      <c r="D631" s="4"/>
      <c r="E631" s="4"/>
    </row>
    <row r="632" spans="1:5">
      <c r="A632" s="4"/>
      <c r="B632" s="5"/>
      <c r="C632" s="4"/>
      <c r="D632" s="4"/>
      <c r="E632" s="4"/>
    </row>
    <row r="633" spans="1:5">
      <c r="A633" s="4"/>
      <c r="B633" s="5"/>
      <c r="C633" s="4"/>
      <c r="D633" s="4"/>
      <c r="E633" s="4"/>
    </row>
    <row r="634" spans="1:5">
      <c r="A634" s="4"/>
      <c r="B634" s="5"/>
      <c r="C634" s="4"/>
      <c r="D634" s="4"/>
      <c r="E634" s="4"/>
    </row>
    <row r="635" spans="1:5">
      <c r="A635" s="4"/>
      <c r="B635" s="5"/>
      <c r="C635" s="4"/>
      <c r="D635" s="4"/>
      <c r="E635" s="4"/>
    </row>
    <row r="636" spans="1:5">
      <c r="A636" s="4"/>
      <c r="B636" s="5"/>
      <c r="C636" s="4"/>
      <c r="D636" s="4"/>
      <c r="E636" s="4"/>
    </row>
    <row r="637" spans="1:5">
      <c r="A637" s="4"/>
      <c r="B637" s="5"/>
      <c r="C637" s="4"/>
      <c r="D637" s="4"/>
      <c r="E637" s="4"/>
    </row>
    <row r="638" spans="1:5">
      <c r="A638" s="4"/>
      <c r="B638" s="5"/>
      <c r="C638" s="4"/>
      <c r="D638" s="4"/>
      <c r="E638" s="4"/>
    </row>
    <row r="639" spans="1:5">
      <c r="A639" s="4"/>
      <c r="B639" s="5"/>
      <c r="C639" s="4"/>
      <c r="D639" s="4"/>
      <c r="E639" s="4"/>
    </row>
    <row r="640" spans="1:5">
      <c r="A640" s="4"/>
      <c r="B640" s="5"/>
      <c r="C640" s="4"/>
      <c r="D640" s="4"/>
      <c r="E640" s="4"/>
    </row>
    <row r="641" spans="1:5">
      <c r="A641" s="4"/>
      <c r="B641" s="5"/>
      <c r="C641" s="4"/>
      <c r="D641" s="4"/>
      <c r="E641" s="4"/>
    </row>
    <row r="642" spans="1:5">
      <c r="A642" s="4"/>
      <c r="B642" s="5"/>
      <c r="C642" s="4"/>
      <c r="D642" s="4"/>
      <c r="E642" s="4"/>
    </row>
    <row r="643" spans="1:5">
      <c r="A643" s="4"/>
      <c r="B643" s="5"/>
      <c r="C643" s="4"/>
      <c r="D643" s="4"/>
      <c r="E643" s="4"/>
    </row>
    <row r="644" spans="1:5">
      <c r="A644" s="4"/>
      <c r="B644" s="5"/>
      <c r="C644" s="4"/>
      <c r="D644" s="4"/>
      <c r="E644" s="4"/>
    </row>
    <row r="645" spans="1:5">
      <c r="A645" s="4"/>
      <c r="B645" s="5"/>
      <c r="C645" s="4"/>
      <c r="D645" s="4"/>
      <c r="E645" s="4"/>
    </row>
    <row r="646" spans="1:5">
      <c r="A646" s="4"/>
      <c r="B646" s="5"/>
      <c r="C646" s="4"/>
      <c r="D646" s="4"/>
      <c r="E646" s="4"/>
    </row>
    <row r="647" spans="1:5">
      <c r="A647" s="4"/>
      <c r="B647" s="5"/>
      <c r="C647" s="4"/>
      <c r="D647" s="4"/>
      <c r="E647" s="4"/>
    </row>
    <row r="648" spans="1:5">
      <c r="A648" s="4"/>
      <c r="B648" s="5"/>
      <c r="C648" s="4"/>
      <c r="D648" s="4"/>
      <c r="E648" s="4"/>
    </row>
    <row r="649" spans="1:5">
      <c r="A649" s="4"/>
      <c r="B649" s="5"/>
      <c r="C649" s="4"/>
      <c r="D649" s="4"/>
      <c r="E649" s="4"/>
    </row>
    <row r="650" spans="1:5">
      <c r="A650" s="4"/>
      <c r="B650" s="5"/>
      <c r="C650" s="4"/>
      <c r="D650" s="4"/>
      <c r="E650" s="4"/>
    </row>
    <row r="651" spans="1:5">
      <c r="A651" s="4"/>
      <c r="B651" s="5"/>
      <c r="C651" s="4"/>
      <c r="D651" s="4"/>
      <c r="E651" s="4"/>
    </row>
    <row r="652" spans="1:5">
      <c r="A652" s="4"/>
      <c r="B652" s="5"/>
      <c r="C652" s="4"/>
      <c r="D652" s="4"/>
      <c r="E652" s="4"/>
    </row>
    <row r="653" spans="1:5">
      <c r="A653" s="4"/>
      <c r="B653" s="5"/>
      <c r="C653" s="4"/>
      <c r="D653" s="4"/>
      <c r="E653" s="4"/>
    </row>
    <row r="654" spans="1:5">
      <c r="A654" s="4"/>
      <c r="B654" s="5"/>
      <c r="C654" s="4"/>
      <c r="D654" s="4"/>
      <c r="E654" s="4"/>
    </row>
    <row r="655" spans="1:5">
      <c r="A655" s="4"/>
      <c r="B655" s="5"/>
      <c r="C655" s="4"/>
      <c r="D655" s="4"/>
      <c r="E655" s="4"/>
    </row>
    <row r="656" spans="1:5">
      <c r="A656" s="4"/>
      <c r="B656" s="5"/>
      <c r="C656" s="4"/>
      <c r="D656" s="4"/>
      <c r="E656" s="4"/>
    </row>
    <row r="657" spans="1:5">
      <c r="A657" s="4"/>
      <c r="B657" s="5"/>
      <c r="C657" s="4"/>
      <c r="D657" s="4"/>
      <c r="E657" s="4"/>
    </row>
    <row r="658" spans="1:5">
      <c r="A658" s="4"/>
      <c r="B658" s="5"/>
      <c r="C658" s="4"/>
      <c r="D658" s="4"/>
      <c r="E658" s="4"/>
    </row>
    <row r="659" spans="1:5">
      <c r="A659" s="4"/>
      <c r="B659" s="5"/>
      <c r="C659" s="4"/>
      <c r="D659" s="4"/>
      <c r="E659" s="4"/>
    </row>
    <row r="660" spans="1:5">
      <c r="A660" s="4"/>
      <c r="B660" s="5"/>
      <c r="C660" s="4"/>
      <c r="D660" s="4"/>
      <c r="E660" s="4"/>
    </row>
    <row r="661" spans="1:5">
      <c r="A661" s="4"/>
      <c r="B661" s="5"/>
      <c r="C661" s="4"/>
      <c r="D661" s="4"/>
      <c r="E661" s="4"/>
    </row>
    <row r="662" spans="1:5">
      <c r="A662" s="4"/>
      <c r="B662" s="5"/>
      <c r="C662" s="4"/>
      <c r="D662" s="4"/>
      <c r="E662" s="4"/>
    </row>
    <row r="663" spans="1:5">
      <c r="A663" s="4"/>
      <c r="B663" s="5"/>
      <c r="C663" s="4"/>
      <c r="D663" s="4"/>
      <c r="E663" s="4"/>
    </row>
    <row r="664" spans="1:5">
      <c r="A664" s="4"/>
      <c r="B664" s="5"/>
      <c r="C664" s="4"/>
      <c r="D664" s="4"/>
      <c r="E664" s="4"/>
    </row>
    <row r="665" spans="1:5">
      <c r="A665" s="4"/>
      <c r="B665" s="5"/>
      <c r="C665" s="4"/>
      <c r="D665" s="4"/>
      <c r="E665" s="4"/>
    </row>
    <row r="666" spans="1:5">
      <c r="A666" s="4"/>
      <c r="B666" s="5"/>
      <c r="C666" s="4"/>
      <c r="D666" s="4"/>
      <c r="E666" s="4"/>
    </row>
    <row r="667" spans="1:5">
      <c r="A667" s="4"/>
      <c r="B667" s="5"/>
      <c r="C667" s="4"/>
      <c r="D667" s="4"/>
      <c r="E667" s="4"/>
    </row>
    <row r="668" spans="1:5">
      <c r="A668" s="4"/>
      <c r="B668" s="5"/>
      <c r="C668" s="4"/>
      <c r="D668" s="4"/>
      <c r="E668" s="4"/>
    </row>
    <row r="669" spans="1:5">
      <c r="A669" s="4"/>
      <c r="B669" s="5"/>
      <c r="C669" s="4"/>
      <c r="D669" s="4"/>
      <c r="E669" s="4"/>
    </row>
    <row r="670" spans="1:5">
      <c r="A670" s="4"/>
      <c r="B670" s="5"/>
      <c r="C670" s="4"/>
      <c r="D670" s="4"/>
      <c r="E670" s="4"/>
    </row>
    <row r="671" spans="1:5">
      <c r="A671" s="4"/>
      <c r="B671" s="5"/>
      <c r="C671" s="4"/>
      <c r="D671" s="4"/>
      <c r="E671" s="4"/>
    </row>
    <row r="672" spans="1:5">
      <c r="A672" s="4"/>
      <c r="B672" s="5"/>
      <c r="C672" s="4"/>
      <c r="D672" s="4"/>
      <c r="E672" s="4"/>
    </row>
    <row r="673" spans="1:5">
      <c r="A673" s="4"/>
      <c r="B673" s="5"/>
      <c r="C673" s="4"/>
      <c r="D673" s="4"/>
      <c r="E673" s="4"/>
    </row>
    <row r="674" spans="1:5">
      <c r="A674" s="4"/>
      <c r="B674" s="5"/>
      <c r="C674" s="4"/>
      <c r="D674" s="4"/>
      <c r="E674" s="4"/>
    </row>
    <row r="675" spans="1:5">
      <c r="A675" s="4"/>
      <c r="B675" s="5"/>
      <c r="C675" s="4"/>
      <c r="D675" s="4"/>
      <c r="E675" s="4"/>
    </row>
    <row r="676" spans="1:5">
      <c r="A676" s="4"/>
      <c r="B676" s="5"/>
      <c r="C676" s="4"/>
      <c r="D676" s="4"/>
      <c r="E676" s="4"/>
    </row>
    <row r="677" spans="1:5">
      <c r="A677" s="4"/>
      <c r="B677" s="5"/>
      <c r="C677" s="4"/>
      <c r="D677" s="4"/>
      <c r="E677" s="4"/>
    </row>
    <row r="678" spans="1:5">
      <c r="A678" s="4"/>
      <c r="B678" s="5"/>
      <c r="C678" s="4"/>
      <c r="D678" s="4"/>
      <c r="E678" s="4"/>
    </row>
    <row r="679" spans="1:5">
      <c r="A679" s="4"/>
      <c r="B679" s="5"/>
      <c r="C679" s="4"/>
      <c r="D679" s="4"/>
      <c r="E679" s="4"/>
    </row>
    <row r="680" spans="1:5">
      <c r="A680" s="4"/>
      <c r="B680" s="5"/>
      <c r="C680" s="4"/>
      <c r="D680" s="4"/>
      <c r="E680" s="4"/>
    </row>
    <row r="681" spans="1:5">
      <c r="A681" s="4"/>
      <c r="B681" s="5"/>
      <c r="C681" s="4"/>
      <c r="D681" s="4"/>
      <c r="E681" s="4"/>
    </row>
    <row r="682" spans="1:5">
      <c r="A682" s="4"/>
      <c r="B682" s="5"/>
      <c r="C682" s="4"/>
      <c r="D682" s="4"/>
      <c r="E682" s="4"/>
    </row>
    <row r="683" spans="1:5">
      <c r="A683" s="4"/>
      <c r="B683" s="5"/>
      <c r="C683" s="4"/>
      <c r="D683" s="4"/>
      <c r="E683" s="4"/>
    </row>
    <row r="684" spans="1:5">
      <c r="A684" s="4"/>
      <c r="B684" s="5"/>
      <c r="C684" s="4"/>
      <c r="D684" s="4"/>
      <c r="E684" s="4"/>
    </row>
    <row r="685" spans="1:5">
      <c r="A685" s="4"/>
      <c r="B685" s="5"/>
      <c r="C685" s="4"/>
      <c r="D685" s="4"/>
      <c r="E685" s="4"/>
    </row>
    <row r="686" spans="1:5">
      <c r="A686" s="4"/>
      <c r="B686" s="5"/>
      <c r="C686" s="4"/>
      <c r="D686" s="4"/>
      <c r="E686" s="4"/>
    </row>
    <row r="687" spans="1:5">
      <c r="A687" s="4"/>
      <c r="B687" s="5"/>
      <c r="C687" s="4"/>
      <c r="D687" s="4"/>
      <c r="E687" s="4"/>
    </row>
    <row r="688" spans="1:5">
      <c r="A688" s="4"/>
      <c r="B688" s="5"/>
      <c r="C688" s="4"/>
      <c r="D688" s="4"/>
      <c r="E688" s="4"/>
    </row>
    <row r="689" spans="1:5">
      <c r="A689" s="4"/>
      <c r="B689" s="5"/>
      <c r="C689" s="4"/>
      <c r="D689" s="4"/>
      <c r="E689" s="4"/>
    </row>
    <row r="690" spans="1:5">
      <c r="A690" s="4"/>
      <c r="B690" s="5"/>
      <c r="C690" s="4"/>
      <c r="D690" s="4"/>
      <c r="E690" s="4"/>
    </row>
    <row r="691" spans="1:5">
      <c r="A691" s="4"/>
      <c r="B691" s="5"/>
      <c r="C691" s="4"/>
      <c r="D691" s="4"/>
      <c r="E691" s="4"/>
    </row>
    <row r="692" spans="1:5">
      <c r="A692" s="4"/>
      <c r="B692" s="5"/>
      <c r="C692" s="4"/>
      <c r="D692" s="4"/>
      <c r="E692" s="4"/>
    </row>
    <row r="693" spans="1:5">
      <c r="A693" s="4"/>
      <c r="B693" s="5"/>
      <c r="C693" s="4"/>
      <c r="D693" s="4"/>
      <c r="E693" s="4"/>
    </row>
    <row r="694" spans="1:5">
      <c r="A694" s="4"/>
      <c r="B694" s="5"/>
      <c r="C694" s="4"/>
      <c r="D694" s="4"/>
      <c r="E694" s="4"/>
    </row>
    <row r="695" spans="1:5">
      <c r="A695" s="4"/>
      <c r="B695" s="5"/>
      <c r="C695" s="4"/>
      <c r="D695" s="4"/>
      <c r="E695" s="4"/>
    </row>
    <row r="696" spans="1:5">
      <c r="A696" s="4"/>
      <c r="B696" s="5"/>
      <c r="C696" s="4"/>
      <c r="D696" s="4"/>
      <c r="E696" s="4"/>
    </row>
    <row r="697" spans="1:5">
      <c r="A697" s="4"/>
      <c r="B697" s="5"/>
      <c r="C697" s="4"/>
      <c r="D697" s="4"/>
      <c r="E697" s="4"/>
    </row>
    <row r="698" spans="1:5">
      <c r="A698" s="4"/>
      <c r="B698" s="5"/>
      <c r="C698" s="4"/>
      <c r="D698" s="4"/>
      <c r="E698" s="4"/>
    </row>
    <row r="699" spans="1:5">
      <c r="A699" s="4"/>
      <c r="B699" s="5"/>
      <c r="C699" s="4"/>
      <c r="D699" s="4"/>
      <c r="E699" s="4"/>
    </row>
    <row r="700" spans="1:5">
      <c r="A700" s="4"/>
      <c r="B700" s="5"/>
      <c r="C700" s="4"/>
      <c r="D700" s="4"/>
      <c r="E700" s="4"/>
    </row>
    <row r="701" spans="1:5">
      <c r="A701" s="4"/>
      <c r="B701" s="5"/>
      <c r="C701" s="4"/>
      <c r="D701" s="4"/>
      <c r="E701" s="4"/>
    </row>
    <row r="702" spans="1:5">
      <c r="A702" s="4"/>
      <c r="B702" s="5"/>
      <c r="C702" s="4"/>
      <c r="D702" s="4"/>
      <c r="E702" s="4"/>
    </row>
    <row r="703" spans="1:5">
      <c r="A703" s="4"/>
      <c r="B703" s="5"/>
      <c r="C703" s="4"/>
      <c r="D703" s="4"/>
      <c r="E703" s="4"/>
    </row>
    <row r="704" spans="1:5">
      <c r="A704" s="4"/>
      <c r="B704" s="5"/>
      <c r="C704" s="4"/>
      <c r="D704" s="4"/>
      <c r="E704" s="4"/>
    </row>
    <row r="705" spans="1:5">
      <c r="A705" s="4"/>
      <c r="B705" s="5"/>
      <c r="C705" s="4"/>
      <c r="D705" s="4"/>
      <c r="E705" s="4"/>
    </row>
    <row r="706" spans="1:5">
      <c r="A706" s="4"/>
      <c r="B706" s="5"/>
      <c r="C706" s="4"/>
      <c r="D706" s="4"/>
      <c r="E706" s="4"/>
    </row>
    <row r="707" spans="1:5">
      <c r="A707" s="4"/>
      <c r="B707" s="5"/>
      <c r="C707" s="4"/>
      <c r="D707" s="4"/>
      <c r="E707" s="4"/>
    </row>
    <row r="708" spans="1:5">
      <c r="A708" s="4"/>
      <c r="B708" s="5"/>
      <c r="C708" s="4"/>
      <c r="D708" s="4"/>
      <c r="E708" s="4"/>
    </row>
    <row r="709" spans="1:5">
      <c r="A709" s="4"/>
      <c r="B709" s="5"/>
      <c r="C709" s="4"/>
      <c r="D709" s="4"/>
      <c r="E709" s="4"/>
    </row>
    <row r="710" spans="1:5">
      <c r="A710" s="4"/>
      <c r="B710" s="5"/>
      <c r="C710" s="4"/>
      <c r="D710" s="4"/>
      <c r="E710" s="4"/>
    </row>
    <row r="711" spans="1:5">
      <c r="A711" s="4"/>
      <c r="B711" s="5"/>
      <c r="C711" s="4"/>
      <c r="D711" s="4"/>
      <c r="E711" s="4"/>
    </row>
    <row r="712" spans="1:5">
      <c r="A712" s="4"/>
      <c r="B712" s="5"/>
      <c r="C712" s="4"/>
      <c r="D712" s="4"/>
      <c r="E712" s="4"/>
    </row>
    <row r="713" spans="1:5">
      <c r="A713" s="4"/>
      <c r="B713" s="5"/>
      <c r="C713" s="4"/>
      <c r="D713" s="4"/>
      <c r="E713" s="4"/>
    </row>
  </sheetData>
  <autoFilter ref="A8:B33"/>
  <phoneticPr fontId="3" type="noConversion"/>
  <pageMargins left="0.7" right="0.7"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dimension ref="A2:B288"/>
  <sheetViews>
    <sheetView topLeftCell="A188" workbookViewId="0">
      <selection activeCell="N31" sqref="N31"/>
    </sheetView>
  </sheetViews>
  <sheetFormatPr defaultRowHeight="12.75"/>
  <cols>
    <col min="1" max="1" width="25.42578125" customWidth="1"/>
    <col min="2" max="2" width="63.28515625" customWidth="1"/>
  </cols>
  <sheetData>
    <row r="2" spans="1:2" ht="21">
      <c r="A2" s="223" t="s">
        <v>163</v>
      </c>
      <c r="B2" s="224" t="s">
        <v>535</v>
      </c>
    </row>
    <row r="3" spans="1:2" ht="21">
      <c r="A3" s="223" t="s">
        <v>537</v>
      </c>
      <c r="B3" s="224" t="s">
        <v>536</v>
      </c>
    </row>
    <row r="4" spans="1:2" ht="56.25">
      <c r="A4" s="225" t="s">
        <v>955</v>
      </c>
      <c r="B4" s="226" t="s">
        <v>956</v>
      </c>
    </row>
    <row r="5" spans="1:2" ht="67.5">
      <c r="A5" s="225" t="s">
        <v>870</v>
      </c>
      <c r="B5" s="226" t="s">
        <v>499</v>
      </c>
    </row>
    <row r="6" spans="1:2" ht="67.5">
      <c r="A6" s="225" t="s">
        <v>878</v>
      </c>
      <c r="B6" s="226" t="s">
        <v>502</v>
      </c>
    </row>
    <row r="7" spans="1:2" ht="67.5">
      <c r="A7" s="225" t="s">
        <v>882</v>
      </c>
      <c r="B7" s="226" t="s">
        <v>503</v>
      </c>
    </row>
    <row r="8" spans="1:2" ht="67.5">
      <c r="A8" s="225" t="s">
        <v>895</v>
      </c>
      <c r="B8" s="226" t="s">
        <v>506</v>
      </c>
    </row>
    <row r="9" spans="1:2" ht="78.75">
      <c r="A9" s="225" t="s">
        <v>871</v>
      </c>
      <c r="B9" s="226" t="s">
        <v>681</v>
      </c>
    </row>
    <row r="10" spans="1:2" ht="90">
      <c r="A10" s="225" t="s">
        <v>879</v>
      </c>
      <c r="B10" s="226" t="s">
        <v>504</v>
      </c>
    </row>
    <row r="11" spans="1:2" ht="90">
      <c r="A11" s="225" t="s">
        <v>883</v>
      </c>
      <c r="B11" s="226" t="s">
        <v>685</v>
      </c>
    </row>
    <row r="12" spans="1:2" ht="90">
      <c r="A12" s="225" t="s">
        <v>896</v>
      </c>
      <c r="B12" s="226" t="s">
        <v>507</v>
      </c>
    </row>
    <row r="13" spans="1:2" ht="78.75">
      <c r="A13" s="225" t="s">
        <v>957</v>
      </c>
      <c r="B13" s="226" t="s">
        <v>958</v>
      </c>
    </row>
    <row r="14" spans="1:2" ht="78.75">
      <c r="A14" s="225" t="s">
        <v>885</v>
      </c>
      <c r="B14" s="226" t="s">
        <v>624</v>
      </c>
    </row>
    <row r="15" spans="1:2" ht="78.75">
      <c r="A15" s="225" t="s">
        <v>959</v>
      </c>
      <c r="B15" s="226" t="s">
        <v>960</v>
      </c>
    </row>
    <row r="16" spans="1:2" ht="67.5">
      <c r="A16" s="225" t="s">
        <v>884</v>
      </c>
      <c r="B16" s="226" t="s">
        <v>686</v>
      </c>
    </row>
    <row r="17" spans="1:2" ht="67.5">
      <c r="A17" s="225" t="s">
        <v>872</v>
      </c>
      <c r="B17" s="226" t="s">
        <v>682</v>
      </c>
    </row>
    <row r="18" spans="1:2" ht="67.5">
      <c r="A18" s="225" t="s">
        <v>880</v>
      </c>
      <c r="B18" s="226" t="s">
        <v>687</v>
      </c>
    </row>
    <row r="19" spans="1:2" ht="67.5">
      <c r="A19" s="225" t="s">
        <v>887</v>
      </c>
      <c r="B19" s="226" t="s">
        <v>688</v>
      </c>
    </row>
    <row r="20" spans="1:2" ht="67.5">
      <c r="A20" s="225" t="s">
        <v>898</v>
      </c>
      <c r="B20" s="226" t="s">
        <v>897</v>
      </c>
    </row>
    <row r="21" spans="1:2" ht="67.5">
      <c r="A21" s="225" t="s">
        <v>873</v>
      </c>
      <c r="B21" s="226" t="s">
        <v>683</v>
      </c>
    </row>
    <row r="22" spans="1:2" ht="78.75">
      <c r="A22" s="225" t="s">
        <v>881</v>
      </c>
      <c r="B22" s="226" t="s">
        <v>689</v>
      </c>
    </row>
    <row r="23" spans="1:2" ht="67.5">
      <c r="A23" s="225" t="s">
        <v>888</v>
      </c>
      <c r="B23" s="226" t="s">
        <v>690</v>
      </c>
    </row>
    <row r="24" spans="1:2" ht="56.25">
      <c r="A24" s="225" t="s">
        <v>874</v>
      </c>
      <c r="B24" s="226" t="s">
        <v>684</v>
      </c>
    </row>
    <row r="25" spans="1:2" ht="67.5">
      <c r="A25" s="225" t="s">
        <v>886</v>
      </c>
      <c r="B25" s="226" t="s">
        <v>691</v>
      </c>
    </row>
    <row r="26" spans="1:2" ht="45">
      <c r="A26" s="225" t="s">
        <v>961</v>
      </c>
      <c r="B26" s="226" t="s">
        <v>962</v>
      </c>
    </row>
    <row r="27" spans="1:2" ht="56.25">
      <c r="A27" s="225" t="s">
        <v>963</v>
      </c>
      <c r="B27" s="226" t="s">
        <v>964</v>
      </c>
    </row>
    <row r="28" spans="1:2" ht="56.25">
      <c r="A28" s="225" t="s">
        <v>965</v>
      </c>
      <c r="B28" s="226" t="s">
        <v>966</v>
      </c>
    </row>
    <row r="29" spans="1:2" ht="90">
      <c r="A29" s="225" t="s">
        <v>913</v>
      </c>
      <c r="B29" s="226" t="s">
        <v>628</v>
      </c>
    </row>
    <row r="30" spans="1:2" ht="67.5">
      <c r="A30" s="225" t="s">
        <v>915</v>
      </c>
      <c r="B30" s="226" t="s">
        <v>513</v>
      </c>
    </row>
    <row r="31" spans="1:2" ht="67.5">
      <c r="A31" s="225" t="s">
        <v>967</v>
      </c>
      <c r="B31" s="226" t="s">
        <v>968</v>
      </c>
    </row>
    <row r="32" spans="1:2" ht="56.25">
      <c r="A32" s="225" t="s">
        <v>969</v>
      </c>
      <c r="B32" s="226" t="s">
        <v>970</v>
      </c>
    </row>
    <row r="33" spans="1:2" ht="90">
      <c r="A33" s="225" t="s">
        <v>875</v>
      </c>
      <c r="B33" s="226" t="s">
        <v>501</v>
      </c>
    </row>
    <row r="34" spans="1:2" ht="67.5">
      <c r="A34" s="225" t="s">
        <v>914</v>
      </c>
      <c r="B34" s="226" t="s">
        <v>511</v>
      </c>
    </row>
    <row r="35" spans="1:2" ht="67.5">
      <c r="A35" s="225" t="s">
        <v>971</v>
      </c>
      <c r="B35" s="226" t="s">
        <v>972</v>
      </c>
    </row>
    <row r="36" spans="1:2" ht="45">
      <c r="A36" s="225" t="s">
        <v>973</v>
      </c>
      <c r="B36" s="226" t="s">
        <v>974</v>
      </c>
    </row>
    <row r="37" spans="1:2" ht="78.75">
      <c r="A37" s="225" t="s">
        <v>867</v>
      </c>
      <c r="B37" s="226" t="s">
        <v>498</v>
      </c>
    </row>
    <row r="38" spans="1:2" ht="56.25">
      <c r="A38" s="225" t="s">
        <v>975</v>
      </c>
      <c r="B38" s="226" t="s">
        <v>976</v>
      </c>
    </row>
    <row r="39" spans="1:2" ht="45">
      <c r="A39" s="225" t="s">
        <v>977</v>
      </c>
      <c r="B39" s="227" t="s">
        <v>978</v>
      </c>
    </row>
    <row r="40" spans="1:2" ht="33.75">
      <c r="A40" s="225" t="s">
        <v>889</v>
      </c>
      <c r="B40" s="227" t="s">
        <v>500</v>
      </c>
    </row>
    <row r="41" spans="1:2" ht="33.75">
      <c r="A41" s="225" t="s">
        <v>904</v>
      </c>
      <c r="B41" s="227" t="s">
        <v>482</v>
      </c>
    </row>
    <row r="42" spans="1:2" ht="67.5">
      <c r="A42" s="225" t="s">
        <v>979</v>
      </c>
      <c r="B42" s="226" t="s">
        <v>980</v>
      </c>
    </row>
    <row r="43" spans="1:2" ht="56.25">
      <c r="A43" s="225" t="s">
        <v>981</v>
      </c>
      <c r="B43" s="226" t="s">
        <v>716</v>
      </c>
    </row>
    <row r="44" spans="1:2" ht="56.25">
      <c r="A44" s="225" t="s">
        <v>982</v>
      </c>
      <c r="B44" s="226" t="s">
        <v>983</v>
      </c>
    </row>
    <row r="45" spans="1:2" ht="56.25">
      <c r="A45" s="225" t="s">
        <v>984</v>
      </c>
      <c r="B45" s="226" t="s">
        <v>985</v>
      </c>
    </row>
    <row r="46" spans="1:2" ht="67.5">
      <c r="A46" s="225" t="s">
        <v>986</v>
      </c>
      <c r="B46" s="226" t="s">
        <v>987</v>
      </c>
    </row>
    <row r="47" spans="1:2" ht="56.25">
      <c r="A47" s="225" t="s">
        <v>824</v>
      </c>
      <c r="B47" s="226" t="s">
        <v>600</v>
      </c>
    </row>
    <row r="48" spans="1:2" ht="33.75">
      <c r="A48" s="225" t="s">
        <v>891</v>
      </c>
      <c r="B48" s="227" t="s">
        <v>693</v>
      </c>
    </row>
    <row r="49" spans="1:2" ht="56.25">
      <c r="A49" s="225" t="s">
        <v>899</v>
      </c>
      <c r="B49" s="226" t="s">
        <v>508</v>
      </c>
    </row>
    <row r="50" spans="1:2" ht="56.25">
      <c r="A50" s="225" t="s">
        <v>900</v>
      </c>
      <c r="B50" s="226" t="s">
        <v>505</v>
      </c>
    </row>
    <row r="51" spans="1:2" ht="56.25">
      <c r="A51" s="225" t="s">
        <v>988</v>
      </c>
      <c r="B51" s="226" t="s">
        <v>989</v>
      </c>
    </row>
    <row r="52" spans="1:2" ht="21">
      <c r="A52" s="223" t="s">
        <v>539</v>
      </c>
      <c r="B52" s="224" t="s">
        <v>538</v>
      </c>
    </row>
    <row r="53" spans="1:2" ht="56.25">
      <c r="A53" s="225" t="s">
        <v>905</v>
      </c>
      <c r="B53" s="226" t="s">
        <v>510</v>
      </c>
    </row>
    <row r="54" spans="1:2" ht="21">
      <c r="A54" s="223" t="s">
        <v>541</v>
      </c>
      <c r="B54" s="224" t="s">
        <v>725</v>
      </c>
    </row>
    <row r="55" spans="1:2" ht="45">
      <c r="A55" s="225" t="s">
        <v>906</v>
      </c>
      <c r="B55" s="227" t="s">
        <v>719</v>
      </c>
    </row>
    <row r="56" spans="1:2" ht="67.5">
      <c r="A56" s="225" t="s">
        <v>907</v>
      </c>
      <c r="B56" s="226" t="s">
        <v>732</v>
      </c>
    </row>
    <row r="57" spans="1:2" ht="45">
      <c r="A57" s="225" t="s">
        <v>903</v>
      </c>
      <c r="B57" s="227" t="s">
        <v>717</v>
      </c>
    </row>
    <row r="58" spans="1:2" ht="45">
      <c r="A58" s="225" t="s">
        <v>934</v>
      </c>
      <c r="B58" s="226" t="s">
        <v>718</v>
      </c>
    </row>
    <row r="59" spans="1:2" ht="21">
      <c r="A59" s="223" t="s">
        <v>267</v>
      </c>
      <c r="B59" s="224" t="s">
        <v>696</v>
      </c>
    </row>
    <row r="60" spans="1:2">
      <c r="A60" s="223" t="s">
        <v>935</v>
      </c>
      <c r="B60" s="224" t="s">
        <v>698</v>
      </c>
    </row>
    <row r="61" spans="1:2" ht="45">
      <c r="A61" s="225" t="s">
        <v>826</v>
      </c>
      <c r="B61" s="227" t="s">
        <v>673</v>
      </c>
    </row>
    <row r="62" spans="1:2" ht="42">
      <c r="A62" s="223" t="s">
        <v>936</v>
      </c>
      <c r="B62" s="224" t="s">
        <v>699</v>
      </c>
    </row>
    <row r="63" spans="1:2" ht="78.75">
      <c r="A63" s="225" t="s">
        <v>829</v>
      </c>
      <c r="B63" s="226" t="s">
        <v>674</v>
      </c>
    </row>
    <row r="64" spans="1:2">
      <c r="A64" s="223" t="s">
        <v>990</v>
      </c>
      <c r="B64" s="224" t="s">
        <v>991</v>
      </c>
    </row>
    <row r="65" spans="1:2" ht="101.25">
      <c r="A65" s="225" t="s">
        <v>992</v>
      </c>
      <c r="B65" s="226" t="s">
        <v>993</v>
      </c>
    </row>
    <row r="66" spans="1:2" ht="45">
      <c r="A66" s="225" t="s">
        <v>994</v>
      </c>
      <c r="B66" s="227" t="s">
        <v>995</v>
      </c>
    </row>
    <row r="67" spans="1:2" ht="112.5">
      <c r="A67" s="225" t="s">
        <v>996</v>
      </c>
      <c r="B67" s="226" t="s">
        <v>997</v>
      </c>
    </row>
    <row r="68" spans="1:2" ht="31.5">
      <c r="A68" s="223" t="s">
        <v>279</v>
      </c>
      <c r="B68" s="224" t="s">
        <v>545</v>
      </c>
    </row>
    <row r="69" spans="1:2" ht="21">
      <c r="A69" s="223" t="s">
        <v>949</v>
      </c>
      <c r="B69" s="224" t="s">
        <v>948</v>
      </c>
    </row>
    <row r="70" spans="1:2" ht="123.75">
      <c r="A70" s="225" t="s">
        <v>998</v>
      </c>
      <c r="B70" s="226" t="s">
        <v>999</v>
      </c>
    </row>
    <row r="71" spans="1:2" ht="123.75">
      <c r="A71" s="225" t="s">
        <v>932</v>
      </c>
      <c r="B71" s="226" t="s">
        <v>599</v>
      </c>
    </row>
    <row r="72" spans="1:2" ht="21">
      <c r="A72" s="223" t="s">
        <v>546</v>
      </c>
      <c r="B72" s="224" t="s">
        <v>700</v>
      </c>
    </row>
    <row r="73" spans="1:2" ht="78.75">
      <c r="A73" s="225" t="s">
        <v>807</v>
      </c>
      <c r="B73" s="226" t="s">
        <v>671</v>
      </c>
    </row>
    <row r="74" spans="1:2" ht="90">
      <c r="A74" s="225" t="s">
        <v>806</v>
      </c>
      <c r="B74" s="226" t="s">
        <v>596</v>
      </c>
    </row>
    <row r="75" spans="1:2" ht="31.5">
      <c r="A75" s="223" t="s">
        <v>637</v>
      </c>
      <c r="B75" s="224" t="s">
        <v>701</v>
      </c>
    </row>
    <row r="76" spans="1:2" ht="56.25">
      <c r="A76" s="225" t="s">
        <v>865</v>
      </c>
      <c r="B76" s="226" t="s">
        <v>623</v>
      </c>
    </row>
    <row r="77" spans="1:2" ht="21">
      <c r="A77" s="223" t="s">
        <v>548</v>
      </c>
      <c r="B77" s="224" t="s">
        <v>547</v>
      </c>
    </row>
    <row r="78" spans="1:2" ht="45">
      <c r="A78" s="225" t="s">
        <v>893</v>
      </c>
      <c r="B78" s="226" t="s">
        <v>485</v>
      </c>
    </row>
    <row r="79" spans="1:2" ht="31.5">
      <c r="A79" s="223" t="s">
        <v>937</v>
      </c>
      <c r="B79" s="224" t="s">
        <v>702</v>
      </c>
    </row>
    <row r="80" spans="1:2" ht="56.25">
      <c r="A80" s="225" t="s">
        <v>1000</v>
      </c>
      <c r="B80" s="226" t="s">
        <v>1001</v>
      </c>
    </row>
    <row r="81" spans="1:2" ht="56.25">
      <c r="A81" s="225" t="s">
        <v>821</v>
      </c>
      <c r="B81" s="226" t="s">
        <v>475</v>
      </c>
    </row>
    <row r="82" spans="1:2" ht="67.5">
      <c r="A82" s="225" t="s">
        <v>1002</v>
      </c>
      <c r="B82" s="226" t="s">
        <v>1003</v>
      </c>
    </row>
    <row r="83" spans="1:2" ht="21">
      <c r="A83" s="223" t="s">
        <v>951</v>
      </c>
      <c r="B83" s="224" t="s">
        <v>950</v>
      </c>
    </row>
    <row r="84" spans="1:2" ht="56.25">
      <c r="A84" s="225" t="s">
        <v>1004</v>
      </c>
      <c r="B84" s="226" t="s">
        <v>954</v>
      </c>
    </row>
    <row r="85" spans="1:2" ht="45">
      <c r="A85" s="225" t="s">
        <v>1005</v>
      </c>
      <c r="B85" s="227" t="s">
        <v>1006</v>
      </c>
    </row>
    <row r="86" spans="1:2" ht="56.25">
      <c r="A86" s="225" t="s">
        <v>1007</v>
      </c>
      <c r="B86" s="226" t="s">
        <v>1008</v>
      </c>
    </row>
    <row r="87" spans="1:2" ht="31.5">
      <c r="A87" s="223" t="s">
        <v>281</v>
      </c>
      <c r="B87" s="224" t="s">
        <v>549</v>
      </c>
    </row>
    <row r="88" spans="1:2" ht="42">
      <c r="A88" s="223" t="s">
        <v>551</v>
      </c>
      <c r="B88" s="224" t="s">
        <v>550</v>
      </c>
    </row>
    <row r="89" spans="1:2" ht="78.75">
      <c r="A89" s="225" t="s">
        <v>784</v>
      </c>
      <c r="B89" s="226" t="s">
        <v>429</v>
      </c>
    </row>
    <row r="90" spans="1:2" ht="90">
      <c r="A90" s="225" t="s">
        <v>785</v>
      </c>
      <c r="B90" s="226" t="s">
        <v>736</v>
      </c>
    </row>
    <row r="91" spans="1:2" ht="67.5">
      <c r="A91" s="225" t="s">
        <v>795</v>
      </c>
      <c r="B91" s="226" t="s">
        <v>439</v>
      </c>
    </row>
    <row r="92" spans="1:2" ht="21">
      <c r="A92" s="223" t="s">
        <v>553</v>
      </c>
      <c r="B92" s="224" t="s">
        <v>552</v>
      </c>
    </row>
    <row r="93" spans="1:2" ht="56.25">
      <c r="A93" s="225" t="s">
        <v>789</v>
      </c>
      <c r="B93" s="226" t="s">
        <v>437</v>
      </c>
    </row>
    <row r="94" spans="1:2" ht="56.25">
      <c r="A94" s="225" t="s">
        <v>790</v>
      </c>
      <c r="B94" s="226" t="s">
        <v>438</v>
      </c>
    </row>
    <row r="95" spans="1:2" ht="56.25">
      <c r="A95" s="225" t="s">
        <v>773</v>
      </c>
      <c r="B95" s="226" t="s">
        <v>421</v>
      </c>
    </row>
    <row r="96" spans="1:2" ht="52.5">
      <c r="A96" s="223" t="s">
        <v>1009</v>
      </c>
      <c r="B96" s="228" t="s">
        <v>1010</v>
      </c>
    </row>
    <row r="97" spans="1:2" ht="45">
      <c r="A97" s="225" t="s">
        <v>1009</v>
      </c>
      <c r="B97" s="226" t="s">
        <v>1010</v>
      </c>
    </row>
    <row r="98" spans="1:2" ht="63">
      <c r="A98" s="223" t="s">
        <v>1011</v>
      </c>
      <c r="B98" s="228" t="s">
        <v>1012</v>
      </c>
    </row>
    <row r="99" spans="1:2" ht="56.25">
      <c r="A99" s="225" t="s">
        <v>1011</v>
      </c>
      <c r="B99" s="226" t="s">
        <v>1012</v>
      </c>
    </row>
    <row r="100" spans="1:2">
      <c r="A100" s="223" t="s">
        <v>271</v>
      </c>
      <c r="B100" s="224" t="s">
        <v>554</v>
      </c>
    </row>
    <row r="101" spans="1:2">
      <c r="A101" s="223" t="s">
        <v>556</v>
      </c>
      <c r="B101" s="224" t="s">
        <v>555</v>
      </c>
    </row>
    <row r="102" spans="1:2" ht="63">
      <c r="A102" s="223" t="s">
        <v>836</v>
      </c>
      <c r="B102" s="228" t="s">
        <v>486</v>
      </c>
    </row>
    <row r="103" spans="1:2" ht="56.25">
      <c r="A103" s="225" t="s">
        <v>836</v>
      </c>
      <c r="B103" s="226" t="s">
        <v>486</v>
      </c>
    </row>
    <row r="104" spans="1:2" ht="67.5">
      <c r="A104" s="225" t="s">
        <v>837</v>
      </c>
      <c r="B104" s="226" t="s">
        <v>487</v>
      </c>
    </row>
    <row r="105" spans="1:2" ht="56.25">
      <c r="A105" s="225" t="s">
        <v>839</v>
      </c>
      <c r="B105" s="226" t="s">
        <v>677</v>
      </c>
    </row>
    <row r="106" spans="1:2" ht="45">
      <c r="A106" s="225" t="s">
        <v>1013</v>
      </c>
      <c r="B106" s="227" t="s">
        <v>1014</v>
      </c>
    </row>
    <row r="107" spans="1:2" ht="33.75">
      <c r="A107" s="225" t="s">
        <v>1015</v>
      </c>
      <c r="B107" s="227" t="s">
        <v>1016</v>
      </c>
    </row>
    <row r="108" spans="1:2" ht="33.75">
      <c r="A108" s="225" t="s">
        <v>845</v>
      </c>
      <c r="B108" s="227" t="s">
        <v>489</v>
      </c>
    </row>
    <row r="109" spans="1:2" ht="56.25">
      <c r="A109" s="225" t="s">
        <v>1017</v>
      </c>
      <c r="B109" s="226" t="s">
        <v>1018</v>
      </c>
    </row>
    <row r="110" spans="1:2" ht="33.75">
      <c r="A110" s="225" t="s">
        <v>847</v>
      </c>
      <c r="B110" s="227" t="s">
        <v>726</v>
      </c>
    </row>
    <row r="111" spans="1:2" ht="33.75">
      <c r="A111" s="225" t="s">
        <v>841</v>
      </c>
      <c r="B111" s="227" t="s">
        <v>488</v>
      </c>
    </row>
    <row r="112" spans="1:2" ht="67.5">
      <c r="A112" s="225" t="s">
        <v>842</v>
      </c>
      <c r="B112" s="226" t="s">
        <v>737</v>
      </c>
    </row>
    <row r="113" spans="1:2">
      <c r="A113" s="223" t="s">
        <v>557</v>
      </c>
      <c r="B113" s="224" t="s">
        <v>703</v>
      </c>
    </row>
    <row r="114" spans="1:2" ht="56.25">
      <c r="A114" s="225" t="s">
        <v>848</v>
      </c>
      <c r="B114" s="226" t="s">
        <v>610</v>
      </c>
    </row>
    <row r="115" spans="1:2" ht="78.75">
      <c r="A115" s="225" t="s">
        <v>849</v>
      </c>
      <c r="B115" s="226" t="s">
        <v>611</v>
      </c>
    </row>
    <row r="116" spans="1:2" ht="56.25">
      <c r="A116" s="225" t="s">
        <v>852</v>
      </c>
      <c r="B116" s="226" t="s">
        <v>679</v>
      </c>
    </row>
    <row r="117" spans="1:2" ht="33.75">
      <c r="A117" s="225" t="s">
        <v>830</v>
      </c>
      <c r="B117" s="227" t="s">
        <v>602</v>
      </c>
    </row>
    <row r="118" spans="1:2" ht="45">
      <c r="A118" s="225" t="s">
        <v>853</v>
      </c>
      <c r="B118" s="227" t="s">
        <v>614</v>
      </c>
    </row>
    <row r="119" spans="1:2" ht="33.75">
      <c r="A119" s="225" t="s">
        <v>1019</v>
      </c>
      <c r="B119" s="227" t="s">
        <v>1020</v>
      </c>
    </row>
    <row r="120" spans="1:2" ht="78.75">
      <c r="A120" s="225" t="s">
        <v>854</v>
      </c>
      <c r="B120" s="226" t="s">
        <v>615</v>
      </c>
    </row>
    <row r="121" spans="1:2" ht="21">
      <c r="A121" s="223" t="s">
        <v>558</v>
      </c>
      <c r="B121" s="224" t="s">
        <v>704</v>
      </c>
    </row>
    <row r="122" spans="1:2" ht="67.5">
      <c r="A122" s="225" t="s">
        <v>831</v>
      </c>
      <c r="B122" s="226" t="s">
        <v>603</v>
      </c>
    </row>
    <row r="123" spans="1:2" ht="78.75">
      <c r="A123" s="225" t="s">
        <v>832</v>
      </c>
      <c r="B123" s="226" t="s">
        <v>604</v>
      </c>
    </row>
    <row r="124" spans="1:2" ht="67.5">
      <c r="A124" s="225" t="s">
        <v>833</v>
      </c>
      <c r="B124" s="226" t="s">
        <v>675</v>
      </c>
    </row>
    <row r="125" spans="1:2" ht="56.25">
      <c r="A125" s="225" t="s">
        <v>834</v>
      </c>
      <c r="B125" s="226" t="s">
        <v>605</v>
      </c>
    </row>
    <row r="126" spans="1:2" ht="56.25">
      <c r="A126" s="225" t="s">
        <v>835</v>
      </c>
      <c r="B126" s="226" t="s">
        <v>676</v>
      </c>
    </row>
    <row r="127" spans="1:2" ht="56.25">
      <c r="A127" s="225" t="s">
        <v>861</v>
      </c>
      <c r="B127" s="226" t="s">
        <v>620</v>
      </c>
    </row>
    <row r="128" spans="1:2" ht="45">
      <c r="A128" s="225" t="s">
        <v>1021</v>
      </c>
      <c r="B128" s="227" t="s">
        <v>1022</v>
      </c>
    </row>
    <row r="129" spans="1:2" ht="56.25">
      <c r="A129" s="225" t="s">
        <v>1023</v>
      </c>
      <c r="B129" s="226" t="s">
        <v>1024</v>
      </c>
    </row>
    <row r="130" spans="1:2" ht="45">
      <c r="A130" s="225" t="s">
        <v>1025</v>
      </c>
      <c r="B130" s="227" t="s">
        <v>1026</v>
      </c>
    </row>
    <row r="131" spans="1:2" ht="33.75">
      <c r="A131" s="225" t="s">
        <v>1027</v>
      </c>
      <c r="B131" s="227" t="s">
        <v>1028</v>
      </c>
    </row>
    <row r="132" spans="1:2" ht="67.5">
      <c r="A132" s="225" t="s">
        <v>1029</v>
      </c>
      <c r="B132" s="226" t="s">
        <v>618</v>
      </c>
    </row>
    <row r="133" spans="1:2" ht="45">
      <c r="A133" s="225" t="s">
        <v>859</v>
      </c>
      <c r="B133" s="227" t="s">
        <v>606</v>
      </c>
    </row>
    <row r="134" spans="1:2" ht="56.25">
      <c r="A134" s="225" t="s">
        <v>860</v>
      </c>
      <c r="B134" s="226" t="s">
        <v>619</v>
      </c>
    </row>
    <row r="135" spans="1:2">
      <c r="A135" s="223" t="s">
        <v>272</v>
      </c>
      <c r="B135" s="224" t="s">
        <v>559</v>
      </c>
    </row>
    <row r="136" spans="1:2" ht="21">
      <c r="A136" s="223" t="s">
        <v>561</v>
      </c>
      <c r="B136" s="224" t="s">
        <v>560</v>
      </c>
    </row>
    <row r="137" spans="1:2" ht="45">
      <c r="A137" s="225" t="s">
        <v>927</v>
      </c>
      <c r="B137" s="227" t="s">
        <v>525</v>
      </c>
    </row>
    <row r="138" spans="1:2" ht="21">
      <c r="A138" s="223" t="s">
        <v>565</v>
      </c>
      <c r="B138" s="224" t="s">
        <v>564</v>
      </c>
    </row>
    <row r="139" spans="1:2" ht="45">
      <c r="A139" s="225" t="s">
        <v>1030</v>
      </c>
      <c r="B139" s="227" t="s">
        <v>1031</v>
      </c>
    </row>
    <row r="140" spans="1:2" ht="33.75">
      <c r="A140" s="225" t="s">
        <v>1032</v>
      </c>
      <c r="B140" s="227" t="s">
        <v>1033</v>
      </c>
    </row>
    <row r="141" spans="1:2" ht="21">
      <c r="A141" s="223" t="s">
        <v>566</v>
      </c>
      <c r="B141" s="224" t="s">
        <v>540</v>
      </c>
    </row>
    <row r="142" spans="1:2" ht="56.25">
      <c r="A142" s="225" t="s">
        <v>813</v>
      </c>
      <c r="B142" s="226" t="s">
        <v>459</v>
      </c>
    </row>
    <row r="143" spans="1:2" ht="78.75">
      <c r="A143" s="225" t="s">
        <v>814</v>
      </c>
      <c r="B143" s="226" t="s">
        <v>460</v>
      </c>
    </row>
    <row r="144" spans="1:2" ht="56.25">
      <c r="A144" s="225" t="s">
        <v>1034</v>
      </c>
      <c r="B144" s="226" t="s">
        <v>1035</v>
      </c>
    </row>
    <row r="145" spans="1:2" ht="45">
      <c r="A145" s="225" t="s">
        <v>816</v>
      </c>
      <c r="B145" s="227" t="s">
        <v>470</v>
      </c>
    </row>
    <row r="146" spans="1:2" ht="45">
      <c r="A146" s="225" t="s">
        <v>817</v>
      </c>
      <c r="B146" s="227" t="s">
        <v>471</v>
      </c>
    </row>
    <row r="147" spans="1:2" ht="31.5">
      <c r="A147" s="223" t="s">
        <v>40</v>
      </c>
      <c r="B147" s="224" t="s">
        <v>572</v>
      </c>
    </row>
    <row r="148" spans="1:2" ht="21">
      <c r="A148" s="223" t="s">
        <v>574</v>
      </c>
      <c r="B148" s="224" t="s">
        <v>573</v>
      </c>
    </row>
    <row r="149" spans="1:2" ht="67.5">
      <c r="A149" s="225" t="s">
        <v>1036</v>
      </c>
      <c r="B149" s="226" t="s">
        <v>1037</v>
      </c>
    </row>
    <row r="150" spans="1:2" ht="21">
      <c r="A150" s="223" t="s">
        <v>35</v>
      </c>
      <c r="B150" s="224" t="s">
        <v>576</v>
      </c>
    </row>
    <row r="151" spans="1:2">
      <c r="A151" s="223" t="s">
        <v>578</v>
      </c>
      <c r="B151" s="224" t="s">
        <v>577</v>
      </c>
    </row>
    <row r="152" spans="1:2" ht="56.25">
      <c r="A152" s="225" t="s">
        <v>1038</v>
      </c>
      <c r="B152" s="226" t="s">
        <v>1039</v>
      </c>
    </row>
    <row r="153" spans="1:2" ht="67.5">
      <c r="A153" s="225" t="s">
        <v>1040</v>
      </c>
      <c r="B153" s="226" t="s">
        <v>1041</v>
      </c>
    </row>
    <row r="154" spans="1:2" ht="33.75">
      <c r="A154" s="225" t="s">
        <v>799</v>
      </c>
      <c r="B154" s="227" t="s">
        <v>447</v>
      </c>
    </row>
    <row r="155" spans="1:2" ht="21">
      <c r="A155" s="223" t="s">
        <v>582</v>
      </c>
      <c r="B155" s="224" t="s">
        <v>581</v>
      </c>
    </row>
    <row r="156" spans="1:2" ht="33.75">
      <c r="A156" s="225" t="s">
        <v>894</v>
      </c>
      <c r="B156" s="227" t="s">
        <v>496</v>
      </c>
    </row>
    <row r="157" spans="1:2" ht="21">
      <c r="A157" s="223" t="s">
        <v>233</v>
      </c>
      <c r="B157" s="224" t="s">
        <v>705</v>
      </c>
    </row>
    <row r="158" spans="1:2" ht="21">
      <c r="A158" s="223" t="s">
        <v>1042</v>
      </c>
      <c r="B158" s="224" t="s">
        <v>1043</v>
      </c>
    </row>
    <row r="159" spans="1:2" ht="56.25">
      <c r="A159" s="225" t="s">
        <v>1044</v>
      </c>
      <c r="B159" s="226" t="s">
        <v>1045</v>
      </c>
    </row>
    <row r="160" spans="1:2" ht="21">
      <c r="A160" s="223" t="s">
        <v>1046</v>
      </c>
      <c r="B160" s="224" t="s">
        <v>1047</v>
      </c>
    </row>
    <row r="161" spans="1:2" ht="90">
      <c r="A161" s="225" t="s">
        <v>1048</v>
      </c>
      <c r="B161" s="226" t="s">
        <v>1049</v>
      </c>
    </row>
    <row r="162" spans="1:2" ht="45">
      <c r="A162" s="225" t="s">
        <v>1050</v>
      </c>
      <c r="B162" s="227" t="s">
        <v>1051</v>
      </c>
    </row>
    <row r="163" spans="1:2" ht="101.25">
      <c r="A163" s="225" t="s">
        <v>1052</v>
      </c>
      <c r="B163" s="226" t="s">
        <v>1053</v>
      </c>
    </row>
    <row r="164" spans="1:2" ht="21">
      <c r="A164" s="223" t="s">
        <v>583</v>
      </c>
      <c r="B164" s="224" t="s">
        <v>706</v>
      </c>
    </row>
    <row r="165" spans="1:2" ht="45">
      <c r="A165" s="225" t="s">
        <v>864</v>
      </c>
      <c r="B165" s="227" t="s">
        <v>622</v>
      </c>
    </row>
    <row r="166" spans="1:2">
      <c r="A166" s="223" t="s">
        <v>36</v>
      </c>
      <c r="B166" s="224" t="s">
        <v>584</v>
      </c>
    </row>
    <row r="167" spans="1:2" ht="31.5">
      <c r="A167" s="223" t="s">
        <v>430</v>
      </c>
      <c r="B167" s="224" t="s">
        <v>707</v>
      </c>
    </row>
    <row r="168" spans="1:2" ht="90">
      <c r="A168" s="225" t="s">
        <v>1054</v>
      </c>
      <c r="B168" s="226" t="s">
        <v>1055</v>
      </c>
    </row>
    <row r="169" spans="1:2" ht="67.5">
      <c r="A169" s="225" t="s">
        <v>1056</v>
      </c>
      <c r="B169" s="226" t="s">
        <v>1057</v>
      </c>
    </row>
    <row r="170" spans="1:2" ht="67.5">
      <c r="A170" s="225" t="s">
        <v>924</v>
      </c>
      <c r="B170" s="226" t="s">
        <v>632</v>
      </c>
    </row>
    <row r="171" spans="1:2" ht="67.5">
      <c r="A171" s="225" t="s">
        <v>922</v>
      </c>
      <c r="B171" s="226" t="s">
        <v>631</v>
      </c>
    </row>
    <row r="172" spans="1:2" ht="56.25">
      <c r="A172" s="225" t="s">
        <v>1058</v>
      </c>
      <c r="B172" s="226" t="s">
        <v>1059</v>
      </c>
    </row>
    <row r="173" spans="1:2" ht="56.25">
      <c r="A173" s="225" t="s">
        <v>931</v>
      </c>
      <c r="B173" s="226" t="s">
        <v>635</v>
      </c>
    </row>
    <row r="174" spans="1:2">
      <c r="A174" s="223" t="s">
        <v>479</v>
      </c>
      <c r="B174" s="224" t="s">
        <v>585</v>
      </c>
    </row>
    <row r="175" spans="1:2" ht="45">
      <c r="A175" s="225" t="s">
        <v>916</v>
      </c>
      <c r="B175" s="227" t="s">
        <v>514</v>
      </c>
    </row>
    <row r="176" spans="1:2" ht="56.25">
      <c r="A176" s="225" t="s">
        <v>917</v>
      </c>
      <c r="B176" s="226" t="s">
        <v>629</v>
      </c>
    </row>
    <row r="177" spans="1:2" ht="56.25">
      <c r="A177" s="225" t="s">
        <v>918</v>
      </c>
      <c r="B177" s="226" t="s">
        <v>694</v>
      </c>
    </row>
    <row r="178" spans="1:2" ht="45">
      <c r="A178" s="225" t="s">
        <v>1060</v>
      </c>
      <c r="B178" s="226" t="s">
        <v>1061</v>
      </c>
    </row>
    <row r="179" spans="1:2" ht="33.75">
      <c r="A179" s="225" t="s">
        <v>919</v>
      </c>
      <c r="B179" s="227" t="s">
        <v>695</v>
      </c>
    </row>
    <row r="180" spans="1:2" ht="45">
      <c r="A180" s="225" t="s">
        <v>920</v>
      </c>
      <c r="B180" s="227" t="s">
        <v>630</v>
      </c>
    </row>
    <row r="181" spans="1:2" ht="21">
      <c r="A181" s="223" t="s">
        <v>240</v>
      </c>
      <c r="B181" s="224" t="s">
        <v>586</v>
      </c>
    </row>
    <row r="182" spans="1:2">
      <c r="A182" s="223" t="s">
        <v>411</v>
      </c>
      <c r="B182" s="224" t="s">
        <v>587</v>
      </c>
    </row>
    <row r="183" spans="1:2" ht="67.5">
      <c r="A183" s="225" t="s">
        <v>796</v>
      </c>
      <c r="B183" s="226" t="s">
        <v>441</v>
      </c>
    </row>
    <row r="184" spans="1:2" ht="56.25">
      <c r="A184" s="225" t="s">
        <v>1062</v>
      </c>
      <c r="B184" s="226" t="s">
        <v>1063</v>
      </c>
    </row>
    <row r="185" spans="1:2">
      <c r="A185" s="223" t="s">
        <v>413</v>
      </c>
      <c r="B185" s="224" t="s">
        <v>588</v>
      </c>
    </row>
    <row r="186" spans="1:2" ht="33.75">
      <c r="A186" s="225" t="s">
        <v>1064</v>
      </c>
      <c r="B186" s="227" t="s">
        <v>1065</v>
      </c>
    </row>
    <row r="187" spans="1:2" ht="45">
      <c r="A187" s="225" t="s">
        <v>805</v>
      </c>
      <c r="B187" s="226" t="s">
        <v>451</v>
      </c>
    </row>
    <row r="188" spans="1:2" ht="21">
      <c r="A188" s="223" t="s">
        <v>589</v>
      </c>
      <c r="B188" s="224" t="s">
        <v>540</v>
      </c>
    </row>
    <row r="189" spans="1:2" ht="56.25">
      <c r="A189" s="225" t="s">
        <v>797</v>
      </c>
      <c r="B189" s="226" t="s">
        <v>443</v>
      </c>
    </row>
    <row r="190" spans="1:2" ht="21">
      <c r="A190" s="223" t="s">
        <v>938</v>
      </c>
      <c r="B190" s="224" t="s">
        <v>708</v>
      </c>
    </row>
    <row r="191" spans="1:2" ht="31.5">
      <c r="A191" s="223" t="s">
        <v>213</v>
      </c>
      <c r="B191" s="224" t="s">
        <v>410</v>
      </c>
    </row>
    <row r="192" spans="1:2" ht="22.5">
      <c r="A192" s="225" t="s">
        <v>772</v>
      </c>
      <c r="B192" s="227" t="s">
        <v>410</v>
      </c>
    </row>
    <row r="193" spans="1:2" ht="21">
      <c r="A193" s="223" t="s">
        <v>214</v>
      </c>
      <c r="B193" s="224" t="s">
        <v>709</v>
      </c>
    </row>
    <row r="194" spans="1:2" ht="22.5">
      <c r="A194" s="225" t="s">
        <v>766</v>
      </c>
      <c r="B194" s="227" t="s">
        <v>415</v>
      </c>
    </row>
    <row r="195" spans="1:2" ht="45">
      <c r="A195" s="225" t="s">
        <v>776</v>
      </c>
      <c r="B195" s="227" t="s">
        <v>669</v>
      </c>
    </row>
    <row r="196" spans="1:2" ht="33.75">
      <c r="A196" s="225" t="s">
        <v>767</v>
      </c>
      <c r="B196" s="227" t="s">
        <v>667</v>
      </c>
    </row>
    <row r="197" spans="1:2" ht="33.75">
      <c r="A197" s="225" t="s">
        <v>777</v>
      </c>
      <c r="B197" s="227" t="s">
        <v>670</v>
      </c>
    </row>
    <row r="198" spans="1:2" ht="45">
      <c r="A198" s="225" t="s">
        <v>781</v>
      </c>
      <c r="B198" s="227" t="s">
        <v>636</v>
      </c>
    </row>
    <row r="199" spans="1:2" ht="45">
      <c r="A199" s="225" t="s">
        <v>774</v>
      </c>
      <c r="B199" s="227" t="s">
        <v>422</v>
      </c>
    </row>
    <row r="200" spans="1:2" ht="22.5">
      <c r="A200" s="225" t="s">
        <v>782</v>
      </c>
      <c r="B200" s="227" t="s">
        <v>425</v>
      </c>
    </row>
    <row r="201" spans="1:2" ht="33.75">
      <c r="A201" s="225" t="s">
        <v>775</v>
      </c>
      <c r="B201" s="227" t="s">
        <v>423</v>
      </c>
    </row>
    <row r="202" spans="1:2" ht="123.75">
      <c r="A202" s="225" t="s">
        <v>778</v>
      </c>
      <c r="B202" s="226" t="s">
        <v>592</v>
      </c>
    </row>
    <row r="203" spans="1:2" ht="22.5">
      <c r="A203" s="225" t="s">
        <v>1066</v>
      </c>
      <c r="B203" s="227" t="s">
        <v>1067</v>
      </c>
    </row>
    <row r="204" spans="1:2" ht="31.5">
      <c r="A204" s="223" t="s">
        <v>940</v>
      </c>
      <c r="B204" s="224" t="s">
        <v>419</v>
      </c>
    </row>
    <row r="205" spans="1:2" ht="45">
      <c r="A205" s="225" t="s">
        <v>771</v>
      </c>
      <c r="B205" s="227" t="s">
        <v>668</v>
      </c>
    </row>
    <row r="206" spans="1:2" ht="42">
      <c r="A206" s="223" t="s">
        <v>1068</v>
      </c>
      <c r="B206" s="224" t="s">
        <v>1069</v>
      </c>
    </row>
    <row r="207" spans="1:2" ht="33.75">
      <c r="A207" s="225" t="s">
        <v>1070</v>
      </c>
      <c r="B207" s="227" t="s">
        <v>1069</v>
      </c>
    </row>
    <row r="208" spans="1:2" ht="45">
      <c r="A208" s="225" t="s">
        <v>1071</v>
      </c>
      <c r="B208" s="227" t="s">
        <v>1072</v>
      </c>
    </row>
    <row r="209" spans="1:2">
      <c r="A209" s="223" t="s">
        <v>941</v>
      </c>
      <c r="B209" s="224" t="s">
        <v>710</v>
      </c>
    </row>
    <row r="210" spans="1:2" ht="21">
      <c r="A210" s="223" t="s">
        <v>942</v>
      </c>
      <c r="B210" s="224" t="s">
        <v>516</v>
      </c>
    </row>
    <row r="211" spans="1:2" ht="22.5">
      <c r="A211" s="225" t="s">
        <v>921</v>
      </c>
      <c r="B211" s="227" t="s">
        <v>516</v>
      </c>
    </row>
    <row r="212" spans="1:2" ht="21">
      <c r="A212" s="223" t="s">
        <v>943</v>
      </c>
      <c r="B212" s="224" t="s">
        <v>593</v>
      </c>
    </row>
    <row r="213" spans="1:2" ht="22.5">
      <c r="A213" s="225" t="s">
        <v>780</v>
      </c>
      <c r="B213" s="227" t="s">
        <v>593</v>
      </c>
    </row>
    <row r="214" spans="1:2" ht="42">
      <c r="A214" s="223" t="s">
        <v>944</v>
      </c>
      <c r="B214" s="224" t="s">
        <v>533</v>
      </c>
    </row>
    <row r="215" spans="1:2" ht="33.75">
      <c r="A215" s="225" t="s">
        <v>779</v>
      </c>
      <c r="B215" s="227" t="s">
        <v>533</v>
      </c>
    </row>
    <row r="216" spans="1:2" ht="21">
      <c r="A216" s="223" t="s">
        <v>945</v>
      </c>
      <c r="B216" s="224" t="s">
        <v>478</v>
      </c>
    </row>
    <row r="217" spans="1:2" ht="22.5">
      <c r="A217" s="225" t="s">
        <v>822</v>
      </c>
      <c r="B217" s="227" t="s">
        <v>478</v>
      </c>
    </row>
    <row r="218" spans="1:2" ht="33.75">
      <c r="A218" s="225" t="s">
        <v>823</v>
      </c>
      <c r="B218" s="227" t="s">
        <v>672</v>
      </c>
    </row>
    <row r="219" spans="1:2" ht="21">
      <c r="A219" s="223" t="s">
        <v>947</v>
      </c>
      <c r="B219" s="224" t="s">
        <v>520</v>
      </c>
    </row>
    <row r="220" spans="1:2" ht="22.5">
      <c r="A220" s="225" t="s">
        <v>923</v>
      </c>
      <c r="B220" s="227" t="s">
        <v>520</v>
      </c>
    </row>
    <row r="221" spans="1:2" ht="45">
      <c r="A221" s="229" t="s">
        <v>1073</v>
      </c>
      <c r="B221" s="230" t="s">
        <v>1074</v>
      </c>
    </row>
    <row r="222" spans="1:2" ht="63.75">
      <c r="A222" s="231" t="s">
        <v>926</v>
      </c>
      <c r="B222" s="232" t="s">
        <v>925</v>
      </c>
    </row>
    <row r="223" spans="1:2" ht="102">
      <c r="A223" s="231" t="s">
        <v>788</v>
      </c>
      <c r="B223" s="233" t="s">
        <v>787</v>
      </c>
    </row>
    <row r="224" spans="1:2" ht="114.75">
      <c r="A224" s="231" t="s">
        <v>792</v>
      </c>
      <c r="B224" s="233" t="s">
        <v>791</v>
      </c>
    </row>
    <row r="225" spans="1:2" ht="127.5">
      <c r="A225" s="231" t="s">
        <v>794</v>
      </c>
      <c r="B225" s="233" t="s">
        <v>793</v>
      </c>
    </row>
    <row r="226" spans="1:2" ht="76.5">
      <c r="A226" s="231" t="s">
        <v>802</v>
      </c>
      <c r="B226" s="233" t="s">
        <v>801</v>
      </c>
    </row>
    <row r="227" spans="1:2" ht="38.25">
      <c r="A227" s="231" t="s">
        <v>768</v>
      </c>
      <c r="B227" s="233" t="s">
        <v>417</v>
      </c>
    </row>
    <row r="228" spans="1:2" ht="38.25">
      <c r="A228" s="231" t="s">
        <v>769</v>
      </c>
      <c r="B228" s="233" t="s">
        <v>417</v>
      </c>
    </row>
    <row r="229" spans="1:2" ht="38.25">
      <c r="A229" s="231" t="s">
        <v>770</v>
      </c>
      <c r="B229" s="233" t="s">
        <v>419</v>
      </c>
    </row>
    <row r="230" spans="1:2" ht="38.25">
      <c r="A230" s="231" t="s">
        <v>783</v>
      </c>
      <c r="B230" s="233" t="s">
        <v>594</v>
      </c>
    </row>
    <row r="231" spans="1:2" ht="38.25">
      <c r="A231" s="231" t="s">
        <v>862</v>
      </c>
      <c r="B231" s="233" t="s">
        <v>621</v>
      </c>
    </row>
    <row r="232" spans="1:2" ht="102">
      <c r="A232" s="231" t="s">
        <v>786</v>
      </c>
      <c r="B232" s="233" t="s">
        <v>434</v>
      </c>
    </row>
    <row r="233" spans="1:2" ht="51">
      <c r="A233" s="231" t="s">
        <v>798</v>
      </c>
      <c r="B233" s="233" t="s">
        <v>445</v>
      </c>
    </row>
    <row r="234" spans="1:2" ht="76.5">
      <c r="A234" s="231" t="s">
        <v>800</v>
      </c>
      <c r="B234" s="233" t="s">
        <v>449</v>
      </c>
    </row>
    <row r="235" spans="1:2" ht="60">
      <c r="A235" s="234" t="s">
        <v>840</v>
      </c>
      <c r="B235" s="235" t="s">
        <v>608</v>
      </c>
    </row>
    <row r="236" spans="1:2" ht="45">
      <c r="A236" s="234" t="s">
        <v>846</v>
      </c>
      <c r="B236" s="235" t="s">
        <v>490</v>
      </c>
    </row>
    <row r="237" spans="1:2" ht="90">
      <c r="A237" s="234" t="s">
        <v>843</v>
      </c>
      <c r="B237" s="236" t="s">
        <v>609</v>
      </c>
    </row>
    <row r="238" spans="1:2" ht="90">
      <c r="A238" s="234" t="s">
        <v>844</v>
      </c>
      <c r="B238" s="236" t="s">
        <v>678</v>
      </c>
    </row>
    <row r="239" spans="1:2" ht="105">
      <c r="A239" s="234" t="s">
        <v>850</v>
      </c>
      <c r="B239" s="236" t="s">
        <v>612</v>
      </c>
    </row>
    <row r="240" spans="1:2" ht="90">
      <c r="A240" s="234" t="s">
        <v>851</v>
      </c>
      <c r="B240" s="236" t="s">
        <v>613</v>
      </c>
    </row>
    <row r="241" spans="1:2" ht="105">
      <c r="A241" s="234" t="s">
        <v>855</v>
      </c>
      <c r="B241" s="236" t="s">
        <v>616</v>
      </c>
    </row>
    <row r="242" spans="1:2" ht="90">
      <c r="A242" s="234" t="s">
        <v>856</v>
      </c>
      <c r="B242" s="236" t="s">
        <v>617</v>
      </c>
    </row>
    <row r="243" spans="1:2" ht="90">
      <c r="A243" s="234" t="s">
        <v>857</v>
      </c>
      <c r="B243" s="236" t="s">
        <v>680</v>
      </c>
    </row>
    <row r="244" spans="1:2" ht="105">
      <c r="A244" s="234" t="s">
        <v>858</v>
      </c>
      <c r="B244" s="236" t="s">
        <v>618</v>
      </c>
    </row>
    <row r="245" spans="1:2" ht="45">
      <c r="A245" s="234" t="s">
        <v>928</v>
      </c>
      <c r="B245" s="235" t="s">
        <v>462</v>
      </c>
    </row>
    <row r="246" spans="1:2" ht="105">
      <c r="A246" s="234" t="s">
        <v>815</v>
      </c>
      <c r="B246" s="236" t="s">
        <v>597</v>
      </c>
    </row>
    <row r="247" spans="1:2" ht="75">
      <c r="A247" s="234" t="s">
        <v>827</v>
      </c>
      <c r="B247" s="236" t="s">
        <v>601</v>
      </c>
    </row>
    <row r="248" spans="1:2" ht="75">
      <c r="A248" s="234" t="s">
        <v>866</v>
      </c>
      <c r="B248" s="236" t="s">
        <v>495</v>
      </c>
    </row>
    <row r="249" spans="1:2" ht="75">
      <c r="A249" s="234" t="s">
        <v>818</v>
      </c>
      <c r="B249" s="236" t="s">
        <v>598</v>
      </c>
    </row>
    <row r="250" spans="1:2" ht="60">
      <c r="A250" s="234" t="s">
        <v>819</v>
      </c>
      <c r="B250" s="235" t="s">
        <v>472</v>
      </c>
    </row>
    <row r="251" spans="1:2" ht="90">
      <c r="A251" s="234" t="s">
        <v>820</v>
      </c>
      <c r="B251" s="236" t="s">
        <v>473</v>
      </c>
    </row>
    <row r="252" spans="1:2" ht="90">
      <c r="A252" s="234" t="s">
        <v>929</v>
      </c>
      <c r="B252" s="236" t="s">
        <v>633</v>
      </c>
    </row>
    <row r="253" spans="1:2" ht="90">
      <c r="A253" s="234" t="s">
        <v>930</v>
      </c>
      <c r="B253" s="236" t="s">
        <v>634</v>
      </c>
    </row>
    <row r="254" spans="1:2" ht="76.5">
      <c r="A254" s="231" t="s">
        <v>803</v>
      </c>
      <c r="B254" s="233" t="s">
        <v>595</v>
      </c>
    </row>
    <row r="255" spans="1:2" ht="63.75">
      <c r="A255" s="231" t="s">
        <v>805</v>
      </c>
      <c r="B255" s="233" t="s">
        <v>451</v>
      </c>
    </row>
    <row r="256" spans="1:2" ht="76.5">
      <c r="A256" s="231" t="s">
        <v>804</v>
      </c>
      <c r="B256" s="233" t="s">
        <v>450</v>
      </c>
    </row>
    <row r="257" spans="1:2" ht="38.25">
      <c r="A257" s="231" t="s">
        <v>863</v>
      </c>
      <c r="B257" s="233" t="s">
        <v>492</v>
      </c>
    </row>
    <row r="258" spans="1:2" ht="38.25">
      <c r="A258" s="231" t="s">
        <v>809</v>
      </c>
      <c r="B258" s="233" t="s">
        <v>808</v>
      </c>
    </row>
    <row r="259" spans="1:2" ht="153">
      <c r="A259" s="231" t="s">
        <v>869</v>
      </c>
      <c r="B259" s="233" t="s">
        <v>868</v>
      </c>
    </row>
    <row r="260" spans="1:2" ht="89.25">
      <c r="A260" s="231" t="s">
        <v>825</v>
      </c>
      <c r="B260" s="233" t="s">
        <v>716</v>
      </c>
    </row>
    <row r="261" spans="1:2" ht="153">
      <c r="A261" s="231" t="s">
        <v>877</v>
      </c>
      <c r="B261" s="233" t="s">
        <v>876</v>
      </c>
    </row>
    <row r="262" spans="1:2" ht="51">
      <c r="A262" s="231" t="s">
        <v>892</v>
      </c>
      <c r="B262" s="233" t="s">
        <v>627</v>
      </c>
    </row>
    <row r="263" spans="1:2" ht="51">
      <c r="A263" s="231" t="s">
        <v>890</v>
      </c>
      <c r="B263" s="233" t="s">
        <v>692</v>
      </c>
    </row>
    <row r="264" spans="1:2" ht="63.75">
      <c r="A264" s="231" t="s">
        <v>902</v>
      </c>
      <c r="B264" s="233" t="s">
        <v>901</v>
      </c>
    </row>
    <row r="265" spans="1:2" ht="63.75">
      <c r="A265" s="231" t="s">
        <v>810</v>
      </c>
      <c r="B265" s="233" t="s">
        <v>456</v>
      </c>
    </row>
    <row r="266" spans="1:2" ht="38.25">
      <c r="A266" s="231" t="s">
        <v>811</v>
      </c>
      <c r="B266" s="233" t="s">
        <v>457</v>
      </c>
    </row>
    <row r="267" spans="1:2" ht="51">
      <c r="A267" s="231" t="s">
        <v>812</v>
      </c>
      <c r="B267" s="233" t="s">
        <v>458</v>
      </c>
    </row>
    <row r="268" spans="1:2" ht="63.75">
      <c r="A268" s="231" t="s">
        <v>912</v>
      </c>
      <c r="B268" s="233" t="s">
        <v>720</v>
      </c>
    </row>
    <row r="269" spans="1:2" ht="76.5">
      <c r="A269" s="231" t="s">
        <v>908</v>
      </c>
      <c r="B269" s="233" t="s">
        <v>721</v>
      </c>
    </row>
    <row r="270" spans="1:2" ht="63.75">
      <c r="A270" s="231" t="s">
        <v>909</v>
      </c>
      <c r="B270" s="233" t="s">
        <v>722</v>
      </c>
    </row>
    <row r="271" spans="1:2" ht="63.75">
      <c r="A271" s="231" t="s">
        <v>910</v>
      </c>
      <c r="B271" s="233" t="s">
        <v>723</v>
      </c>
    </row>
    <row r="272" spans="1:2" ht="76.5">
      <c r="A272" s="231" t="s">
        <v>911</v>
      </c>
      <c r="B272" s="233" t="s">
        <v>724</v>
      </c>
    </row>
    <row r="273" spans="1:2" ht="63.75">
      <c r="A273" s="231" t="s">
        <v>838</v>
      </c>
      <c r="B273" s="233" t="s">
        <v>607</v>
      </c>
    </row>
    <row r="274" spans="1:2" ht="45">
      <c r="A274" s="234" t="s">
        <v>542</v>
      </c>
      <c r="B274" s="235" t="s">
        <v>697</v>
      </c>
    </row>
    <row r="275" spans="1:2" ht="30">
      <c r="A275" s="234" t="s">
        <v>544</v>
      </c>
      <c r="B275" s="235" t="s">
        <v>543</v>
      </c>
    </row>
    <row r="276" spans="1:2" ht="30">
      <c r="A276" s="234" t="s">
        <v>563</v>
      </c>
      <c r="B276" s="235" t="s">
        <v>562</v>
      </c>
    </row>
    <row r="277" spans="1:2" ht="30">
      <c r="A277" s="234" t="s">
        <v>31</v>
      </c>
      <c r="B277" s="235" t="s">
        <v>567</v>
      </c>
    </row>
    <row r="278" spans="1:2" ht="30">
      <c r="A278" s="234" t="s">
        <v>569</v>
      </c>
      <c r="B278" s="235" t="s">
        <v>568</v>
      </c>
    </row>
    <row r="279" spans="1:2" ht="30">
      <c r="A279" s="234" t="s">
        <v>571</v>
      </c>
      <c r="B279" s="235" t="s">
        <v>570</v>
      </c>
    </row>
    <row r="280" spans="1:2" ht="30">
      <c r="A280" s="234" t="s">
        <v>575</v>
      </c>
      <c r="B280" s="235" t="s">
        <v>540</v>
      </c>
    </row>
    <row r="281" spans="1:2" ht="30">
      <c r="A281" s="234" t="s">
        <v>580</v>
      </c>
      <c r="B281" s="235" t="s">
        <v>579</v>
      </c>
    </row>
    <row r="282" spans="1:2" ht="45">
      <c r="A282" s="234" t="s">
        <v>939</v>
      </c>
      <c r="B282" s="235" t="s">
        <v>417</v>
      </c>
    </row>
    <row r="283" spans="1:2" ht="45">
      <c r="A283" s="234" t="s">
        <v>946</v>
      </c>
      <c r="B283" s="235" t="s">
        <v>594</v>
      </c>
    </row>
    <row r="284" spans="1:2" ht="60">
      <c r="A284" s="237" t="s">
        <v>952</v>
      </c>
      <c r="B284" s="238" t="s">
        <v>953</v>
      </c>
    </row>
    <row r="285" spans="1:2" ht="75">
      <c r="A285" s="237" t="s">
        <v>933</v>
      </c>
      <c r="B285" s="239" t="s">
        <v>1075</v>
      </c>
    </row>
    <row r="286" spans="1:2" ht="90">
      <c r="A286" s="237" t="s">
        <v>828</v>
      </c>
      <c r="B286" s="239" t="s">
        <v>1077</v>
      </c>
    </row>
    <row r="287" spans="1:2" ht="120">
      <c r="A287" s="237" t="s">
        <v>1076</v>
      </c>
      <c r="B287" s="239" t="s">
        <v>1078</v>
      </c>
    </row>
    <row r="288" spans="1:2">
      <c r="A288" s="237"/>
    </row>
  </sheetData>
  <autoFilter ref="A1:B21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P57"/>
  <sheetViews>
    <sheetView topLeftCell="A44" workbookViewId="0">
      <selection sqref="A1:XFD1"/>
    </sheetView>
  </sheetViews>
  <sheetFormatPr defaultRowHeight="12.75"/>
  <cols>
    <col min="1" max="1" width="3.7109375" customWidth="1"/>
    <col min="2" max="2" width="47.85546875" customWidth="1"/>
    <col min="3" max="3" width="7.7109375" customWidth="1"/>
    <col min="4" max="4" width="6" customWidth="1"/>
    <col min="5" max="5" width="7.7109375" customWidth="1"/>
    <col min="6" max="6" width="6" customWidth="1"/>
    <col min="7" max="7" width="7.7109375" customWidth="1"/>
    <col min="8" max="8" width="6" customWidth="1"/>
  </cols>
  <sheetData>
    <row r="1" spans="1:8" ht="45.75" hidden="1" customHeight="1">
      <c r="A1" s="458" t="str">
        <f>"Приложение №"&amp;Н2Норм&amp;"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58"/>
      <c r="C1" s="458"/>
      <c r="D1" s="458"/>
      <c r="E1" s="458"/>
      <c r="F1" s="458"/>
      <c r="G1" s="458"/>
      <c r="H1" s="458"/>
    </row>
    <row r="2" spans="1:8" ht="54.75" customHeight="1">
      <c r="A2" s="458" t="str">
        <f>"Приложение №"&amp;Н1Норм&amp;" к решению
Богучанского районного Совета депутатов
от "&amp;Р1дата&amp;" года №"&amp;Р1номер</f>
        <v>Приложение № к решению
Богучанского районного Совета депутатов
от 2020  года №</v>
      </c>
      <c r="B2" s="458"/>
      <c r="C2" s="458"/>
      <c r="D2" s="458"/>
      <c r="E2" s="458"/>
      <c r="F2" s="458"/>
      <c r="G2" s="458"/>
      <c r="H2" s="458"/>
    </row>
    <row r="3" spans="1:8" ht="58.5" customHeight="1">
      <c r="A3" s="462" t="str">
        <f>"Нормативы распределения доходов районного бюджета между бюджетами бюджетной системы Российской Федерации на "&amp;год&amp;" год и плановый период "&amp;ПлПер&amp;" годов"</f>
        <v>Нормативы распределения доходов районного бюджета между бюджетами бюджетной системы Российской Федерации на 2019 год и плановый период  годов</v>
      </c>
      <c r="B3" s="462"/>
      <c r="C3" s="462"/>
      <c r="D3" s="462"/>
      <c r="E3" s="462"/>
      <c r="F3" s="462"/>
      <c r="G3" s="462"/>
      <c r="H3" s="462"/>
    </row>
    <row r="4" spans="1:8" ht="14.25" customHeight="1">
      <c r="A4" s="248"/>
      <c r="B4" s="248"/>
      <c r="C4" s="248"/>
      <c r="D4" s="248"/>
      <c r="E4" s="248"/>
      <c r="F4" s="248"/>
      <c r="G4" s="249" t="s">
        <v>1178</v>
      </c>
      <c r="H4" s="248"/>
    </row>
    <row r="5" spans="1:8" ht="25.5">
      <c r="A5" s="255" t="s">
        <v>1158</v>
      </c>
      <c r="B5" s="247" t="s">
        <v>1159</v>
      </c>
      <c r="C5" s="456" t="s">
        <v>663</v>
      </c>
      <c r="D5" s="457"/>
      <c r="E5" s="456" t="s">
        <v>739</v>
      </c>
      <c r="F5" s="457"/>
      <c r="G5" s="456" t="s">
        <v>1221</v>
      </c>
      <c r="H5" s="457"/>
    </row>
    <row r="6" spans="1:8" ht="38.25">
      <c r="A6" s="255"/>
      <c r="B6" s="247"/>
      <c r="C6" s="242" t="s">
        <v>1160</v>
      </c>
      <c r="D6" s="242" t="s">
        <v>1161</v>
      </c>
      <c r="E6" s="242" t="s">
        <v>1160</v>
      </c>
      <c r="F6" s="242" t="s">
        <v>1161</v>
      </c>
      <c r="G6" s="242" t="s">
        <v>1160</v>
      </c>
      <c r="H6" s="242" t="s">
        <v>1161</v>
      </c>
    </row>
    <row r="7" spans="1:8">
      <c r="A7" s="258">
        <v>1</v>
      </c>
      <c r="B7" s="243">
        <v>2</v>
      </c>
      <c r="C7" s="258">
        <v>3</v>
      </c>
      <c r="D7" s="243">
        <v>4</v>
      </c>
      <c r="E7" s="258">
        <v>5</v>
      </c>
      <c r="F7" s="243">
        <v>6</v>
      </c>
      <c r="G7" s="258">
        <v>7</v>
      </c>
      <c r="H7" s="243">
        <v>8</v>
      </c>
    </row>
    <row r="8" spans="1:8" ht="51">
      <c r="A8" s="244">
        <v>1</v>
      </c>
      <c r="B8" s="245" t="s">
        <v>1162</v>
      </c>
      <c r="C8" s="246">
        <v>5</v>
      </c>
      <c r="D8" s="246"/>
      <c r="E8" s="246">
        <v>5</v>
      </c>
      <c r="F8" s="246"/>
      <c r="G8" s="246">
        <v>5</v>
      </c>
      <c r="H8" s="246"/>
    </row>
    <row r="9" spans="1:8" ht="38.25">
      <c r="A9" s="244">
        <v>2</v>
      </c>
      <c r="B9" s="245" t="s">
        <v>1163</v>
      </c>
      <c r="C9" s="246">
        <v>5</v>
      </c>
      <c r="D9" s="246"/>
      <c r="E9" s="246">
        <v>5</v>
      </c>
      <c r="F9" s="246"/>
      <c r="G9" s="246">
        <v>5</v>
      </c>
      <c r="H9" s="246"/>
    </row>
    <row r="10" spans="1:8" ht="63.75">
      <c r="A10" s="244">
        <v>3</v>
      </c>
      <c r="B10" s="245" t="s">
        <v>1164</v>
      </c>
      <c r="C10" s="246">
        <v>20</v>
      </c>
      <c r="D10" s="246">
        <v>10</v>
      </c>
      <c r="E10" s="246">
        <v>20</v>
      </c>
      <c r="F10" s="246">
        <v>10</v>
      </c>
      <c r="G10" s="246">
        <v>20</v>
      </c>
      <c r="H10" s="246">
        <v>10</v>
      </c>
    </row>
    <row r="11" spans="1:8" ht="102">
      <c r="A11" s="244">
        <v>4</v>
      </c>
      <c r="B11" s="245" t="s">
        <v>1165</v>
      </c>
      <c r="C11" s="246">
        <v>20</v>
      </c>
      <c r="D11" s="246">
        <v>10</v>
      </c>
      <c r="E11" s="246">
        <v>20</v>
      </c>
      <c r="F11" s="246">
        <v>10</v>
      </c>
      <c r="G11" s="246">
        <v>20</v>
      </c>
      <c r="H11" s="246">
        <v>10</v>
      </c>
    </row>
    <row r="12" spans="1:8" ht="38.25">
      <c r="A12" s="244">
        <v>5</v>
      </c>
      <c r="B12" s="245" t="s">
        <v>1166</v>
      </c>
      <c r="C12" s="246">
        <v>20</v>
      </c>
      <c r="D12" s="246">
        <v>10</v>
      </c>
      <c r="E12" s="246">
        <v>20</v>
      </c>
      <c r="F12" s="246">
        <v>10</v>
      </c>
      <c r="G12" s="246">
        <v>20</v>
      </c>
      <c r="H12" s="246">
        <v>10</v>
      </c>
    </row>
    <row r="13" spans="1:8" ht="76.5">
      <c r="A13" s="244">
        <v>6</v>
      </c>
      <c r="B13" s="245" t="s">
        <v>1167</v>
      </c>
      <c r="C13" s="246">
        <v>15</v>
      </c>
      <c r="D13" s="246"/>
      <c r="E13" s="246">
        <v>15</v>
      </c>
      <c r="F13" s="246"/>
      <c r="G13" s="246">
        <v>15</v>
      </c>
      <c r="H13" s="246"/>
    </row>
    <row r="14" spans="1:8" ht="51">
      <c r="A14" s="244">
        <v>7</v>
      </c>
      <c r="B14" s="245" t="s">
        <v>1168</v>
      </c>
      <c r="C14" s="459" t="s">
        <v>1232</v>
      </c>
      <c r="D14" s="460"/>
      <c r="E14" s="459" t="s">
        <v>1232</v>
      </c>
      <c r="F14" s="460"/>
      <c r="G14" s="459" t="s">
        <v>1232</v>
      </c>
      <c r="H14" s="460"/>
    </row>
    <row r="15" spans="1:8" ht="76.5">
      <c r="A15" s="244">
        <v>8</v>
      </c>
      <c r="B15" s="245" t="s">
        <v>1169</v>
      </c>
      <c r="C15" s="459" t="s">
        <v>1232</v>
      </c>
      <c r="D15" s="460"/>
      <c r="E15" s="459" t="s">
        <v>1232</v>
      </c>
      <c r="F15" s="460"/>
      <c r="G15" s="459" t="s">
        <v>1232</v>
      </c>
      <c r="H15" s="460"/>
    </row>
    <row r="16" spans="1:8" ht="51">
      <c r="A16" s="244">
        <v>9</v>
      </c>
      <c r="B16" s="245" t="s">
        <v>1170</v>
      </c>
      <c r="C16" s="459" t="s">
        <v>1232</v>
      </c>
      <c r="D16" s="460"/>
      <c r="E16" s="459" t="s">
        <v>1232</v>
      </c>
      <c r="F16" s="460"/>
      <c r="G16" s="459" t="s">
        <v>1232</v>
      </c>
      <c r="H16" s="460"/>
    </row>
    <row r="17" spans="1:8" ht="51">
      <c r="A17" s="244">
        <v>10</v>
      </c>
      <c r="B17" s="245" t="s">
        <v>1171</v>
      </c>
      <c r="C17" s="459" t="s">
        <v>1232</v>
      </c>
      <c r="D17" s="460"/>
      <c r="E17" s="459" t="s">
        <v>1232</v>
      </c>
      <c r="F17" s="460"/>
      <c r="G17" s="459" t="s">
        <v>1232</v>
      </c>
      <c r="H17" s="460"/>
    </row>
    <row r="18" spans="1:8" ht="25.5">
      <c r="A18" s="244">
        <v>11</v>
      </c>
      <c r="B18" s="245" t="s">
        <v>118</v>
      </c>
      <c r="C18" s="246">
        <v>100</v>
      </c>
      <c r="D18" s="246"/>
      <c r="E18" s="246">
        <v>100</v>
      </c>
      <c r="F18" s="246"/>
      <c r="G18" s="246">
        <v>100</v>
      </c>
      <c r="H18" s="246"/>
    </row>
    <row r="19" spans="1:8" ht="25.5">
      <c r="A19" s="244">
        <v>12</v>
      </c>
      <c r="B19" s="245" t="s">
        <v>1172</v>
      </c>
      <c r="C19" s="246">
        <v>30</v>
      </c>
      <c r="D19" s="246">
        <v>30</v>
      </c>
      <c r="E19" s="246">
        <v>30</v>
      </c>
      <c r="F19" s="246">
        <v>30</v>
      </c>
      <c r="G19" s="246">
        <v>30</v>
      </c>
      <c r="H19" s="246">
        <v>30</v>
      </c>
    </row>
    <row r="20" spans="1:8" ht="25.5">
      <c r="A20" s="244">
        <v>13</v>
      </c>
      <c r="B20" s="245" t="s">
        <v>740</v>
      </c>
      <c r="C20" s="246">
        <v>100</v>
      </c>
      <c r="D20" s="246"/>
      <c r="E20" s="246">
        <v>100</v>
      </c>
      <c r="F20" s="246"/>
      <c r="G20" s="246">
        <v>100</v>
      </c>
      <c r="H20" s="246"/>
    </row>
    <row r="21" spans="1:8" ht="25.5">
      <c r="A21" s="244">
        <v>14</v>
      </c>
      <c r="B21" s="245" t="s">
        <v>1179</v>
      </c>
      <c r="C21" s="246">
        <v>100</v>
      </c>
      <c r="D21" s="246"/>
      <c r="E21" s="246">
        <v>100</v>
      </c>
      <c r="F21" s="246"/>
      <c r="G21" s="246">
        <v>100</v>
      </c>
      <c r="H21" s="246"/>
    </row>
    <row r="22" spans="1:8" ht="25.5">
      <c r="A22" s="244">
        <v>15</v>
      </c>
      <c r="B22" s="245" t="s">
        <v>1180</v>
      </c>
      <c r="C22" s="246"/>
      <c r="D22" s="246">
        <v>100</v>
      </c>
      <c r="E22" s="246"/>
      <c r="F22" s="246">
        <v>100</v>
      </c>
      <c r="G22" s="246"/>
      <c r="H22" s="246">
        <v>100</v>
      </c>
    </row>
    <row r="23" spans="1:8" ht="25.5">
      <c r="A23" s="244">
        <v>16</v>
      </c>
      <c r="B23" s="245" t="s">
        <v>1192</v>
      </c>
      <c r="C23" s="246">
        <v>100</v>
      </c>
      <c r="D23" s="246"/>
      <c r="E23" s="246">
        <v>100</v>
      </c>
      <c r="F23" s="246"/>
      <c r="G23" s="246">
        <v>100</v>
      </c>
      <c r="H23" s="246"/>
    </row>
    <row r="24" spans="1:8" ht="25.5">
      <c r="A24" s="244">
        <v>17</v>
      </c>
      <c r="B24" s="245" t="s">
        <v>1193</v>
      </c>
      <c r="C24" s="246">
        <v>100</v>
      </c>
      <c r="D24" s="246"/>
      <c r="E24" s="246">
        <v>100</v>
      </c>
      <c r="F24" s="246"/>
      <c r="G24" s="246">
        <v>100</v>
      </c>
      <c r="H24" s="246"/>
    </row>
    <row r="25" spans="1:8" ht="25.5">
      <c r="A25" s="244">
        <v>18</v>
      </c>
      <c r="B25" s="245" t="s">
        <v>121</v>
      </c>
      <c r="C25" s="246">
        <v>100</v>
      </c>
      <c r="D25" s="246"/>
      <c r="E25" s="246">
        <v>100</v>
      </c>
      <c r="F25" s="246"/>
      <c r="G25" s="246">
        <v>100</v>
      </c>
      <c r="H25" s="246"/>
    </row>
    <row r="26" spans="1:8" ht="38.25">
      <c r="A26" s="244">
        <v>19</v>
      </c>
      <c r="B26" s="245" t="s">
        <v>1181</v>
      </c>
      <c r="C26" s="246"/>
      <c r="D26" s="246">
        <v>100</v>
      </c>
      <c r="E26" s="246"/>
      <c r="F26" s="246">
        <v>100</v>
      </c>
      <c r="G26" s="246"/>
      <c r="H26" s="246">
        <v>100</v>
      </c>
    </row>
    <row r="27" spans="1:8" ht="25.5">
      <c r="A27" s="244">
        <v>20</v>
      </c>
      <c r="B27" s="245" t="s">
        <v>333</v>
      </c>
      <c r="C27" s="246">
        <v>100</v>
      </c>
      <c r="D27" s="246"/>
      <c r="E27" s="246">
        <v>100</v>
      </c>
      <c r="F27" s="246"/>
      <c r="G27" s="246">
        <v>100</v>
      </c>
      <c r="H27" s="246"/>
    </row>
    <row r="28" spans="1:8" ht="38.25">
      <c r="A28" s="244"/>
      <c r="B28" s="245" t="s">
        <v>1182</v>
      </c>
      <c r="C28" s="246"/>
      <c r="D28" s="246"/>
      <c r="E28" s="246"/>
      <c r="F28" s="246"/>
      <c r="G28" s="246"/>
      <c r="H28" s="246"/>
    </row>
    <row r="29" spans="1:8" ht="25.5">
      <c r="A29" s="244">
        <v>21</v>
      </c>
      <c r="B29" s="250" t="s">
        <v>128</v>
      </c>
      <c r="C29" s="246">
        <v>100</v>
      </c>
      <c r="D29" s="246"/>
      <c r="E29" s="246">
        <v>100</v>
      </c>
      <c r="F29" s="246"/>
      <c r="G29" s="246">
        <v>100</v>
      </c>
      <c r="H29" s="246"/>
    </row>
    <row r="30" spans="1:8" ht="89.25">
      <c r="A30" s="244">
        <v>22</v>
      </c>
      <c r="B30" s="251" t="s">
        <v>177</v>
      </c>
      <c r="C30" s="246">
        <v>100</v>
      </c>
      <c r="D30" s="246"/>
      <c r="E30" s="246">
        <v>100</v>
      </c>
      <c r="F30" s="246"/>
      <c r="G30" s="246">
        <v>100</v>
      </c>
      <c r="H30" s="246"/>
    </row>
    <row r="31" spans="1:8" ht="76.5">
      <c r="A31" s="244">
        <v>23</v>
      </c>
      <c r="B31" s="250" t="s">
        <v>258</v>
      </c>
      <c r="C31" s="246">
        <v>100</v>
      </c>
      <c r="D31" s="246"/>
      <c r="E31" s="246">
        <v>100</v>
      </c>
      <c r="F31" s="246"/>
      <c r="G31" s="246">
        <v>100</v>
      </c>
      <c r="H31" s="246"/>
    </row>
    <row r="32" spans="1:8" ht="63.75">
      <c r="A32" s="244">
        <v>24</v>
      </c>
      <c r="B32" s="250" t="s">
        <v>178</v>
      </c>
      <c r="C32" s="246">
        <v>100</v>
      </c>
      <c r="D32" s="246"/>
      <c r="E32" s="246">
        <v>100</v>
      </c>
      <c r="F32" s="246"/>
      <c r="G32" s="246">
        <v>100</v>
      </c>
      <c r="H32" s="246"/>
    </row>
    <row r="33" spans="1:8" ht="63.75">
      <c r="A33" s="244">
        <v>25</v>
      </c>
      <c r="B33" s="250" t="s">
        <v>241</v>
      </c>
      <c r="C33" s="246">
        <v>100</v>
      </c>
      <c r="D33" s="246"/>
      <c r="E33" s="246">
        <v>100</v>
      </c>
      <c r="F33" s="246"/>
      <c r="G33" s="246">
        <v>100</v>
      </c>
      <c r="H33" s="246"/>
    </row>
    <row r="34" spans="1:8" ht="63.75">
      <c r="A34" s="244">
        <v>26</v>
      </c>
      <c r="B34" s="250" t="s">
        <v>1183</v>
      </c>
      <c r="C34" s="246"/>
      <c r="D34" s="246">
        <v>100</v>
      </c>
      <c r="E34" s="246"/>
      <c r="F34" s="246">
        <v>100</v>
      </c>
      <c r="G34" s="246"/>
      <c r="H34" s="246">
        <v>100</v>
      </c>
    </row>
    <row r="35" spans="1:8" ht="51">
      <c r="A35" s="244">
        <v>27</v>
      </c>
      <c r="B35" s="250" t="s">
        <v>15</v>
      </c>
      <c r="C35" s="246">
        <v>100</v>
      </c>
      <c r="D35" s="246"/>
      <c r="E35" s="246">
        <v>100</v>
      </c>
      <c r="F35" s="246"/>
      <c r="G35" s="246">
        <v>100</v>
      </c>
      <c r="H35" s="246"/>
    </row>
    <row r="36" spans="1:8" ht="76.5">
      <c r="A36" s="244">
        <v>28</v>
      </c>
      <c r="B36" s="250" t="s">
        <v>745</v>
      </c>
      <c r="C36" s="246">
        <v>100</v>
      </c>
      <c r="D36" s="246"/>
      <c r="E36" s="246">
        <v>100</v>
      </c>
      <c r="F36" s="246"/>
      <c r="G36" s="246">
        <v>100</v>
      </c>
      <c r="H36" s="246"/>
    </row>
    <row r="37" spans="1:8" ht="25.5">
      <c r="A37" s="244">
        <v>29</v>
      </c>
      <c r="B37" s="245" t="s">
        <v>1173</v>
      </c>
      <c r="C37" s="246">
        <v>55</v>
      </c>
      <c r="D37" s="246"/>
      <c r="E37" s="246">
        <v>55</v>
      </c>
      <c r="F37" s="246"/>
      <c r="G37" s="246">
        <v>55</v>
      </c>
      <c r="H37" s="246"/>
    </row>
    <row r="38" spans="1:8" ht="25.5">
      <c r="A38" s="244">
        <v>30</v>
      </c>
      <c r="B38" s="245" t="s">
        <v>1174</v>
      </c>
      <c r="C38" s="246">
        <v>55</v>
      </c>
      <c r="D38" s="246"/>
      <c r="E38" s="246">
        <v>55</v>
      </c>
      <c r="F38" s="246"/>
      <c r="G38" s="246">
        <v>55</v>
      </c>
      <c r="H38" s="246"/>
    </row>
    <row r="39" spans="1:8" ht="25.5">
      <c r="A39" s="244">
        <v>31</v>
      </c>
      <c r="B39" s="245" t="s">
        <v>1175</v>
      </c>
      <c r="C39" s="246">
        <v>55</v>
      </c>
      <c r="D39" s="246"/>
      <c r="E39" s="246">
        <v>55</v>
      </c>
      <c r="F39" s="246"/>
      <c r="G39" s="246">
        <v>55</v>
      </c>
      <c r="H39" s="246"/>
    </row>
    <row r="40" spans="1:8" ht="25.5">
      <c r="A40" s="244">
        <v>32</v>
      </c>
      <c r="B40" s="245" t="s">
        <v>749</v>
      </c>
      <c r="C40" s="246">
        <v>55</v>
      </c>
      <c r="D40" s="246"/>
      <c r="E40" s="246">
        <v>55</v>
      </c>
      <c r="F40" s="246"/>
      <c r="G40" s="246">
        <v>55</v>
      </c>
      <c r="H40" s="246"/>
    </row>
    <row r="41" spans="1:8" ht="25.5">
      <c r="A41" s="244">
        <v>33</v>
      </c>
      <c r="B41" s="245" t="s">
        <v>1176</v>
      </c>
      <c r="C41" s="246">
        <v>55</v>
      </c>
      <c r="D41" s="246"/>
      <c r="E41" s="246">
        <v>55</v>
      </c>
      <c r="F41" s="246"/>
      <c r="G41" s="246">
        <v>55</v>
      </c>
      <c r="H41" s="246"/>
    </row>
    <row r="42" spans="1:8" ht="38.25">
      <c r="A42" s="244">
        <v>34</v>
      </c>
      <c r="B42" s="245" t="s">
        <v>1177</v>
      </c>
      <c r="C42" s="246">
        <v>55</v>
      </c>
      <c r="D42" s="246"/>
      <c r="E42" s="246">
        <v>55</v>
      </c>
      <c r="F42" s="246"/>
      <c r="G42" s="246">
        <v>55</v>
      </c>
      <c r="H42" s="246"/>
    </row>
    <row r="43" spans="1:8" ht="38.25">
      <c r="A43" s="244">
        <v>35</v>
      </c>
      <c r="B43" s="245" t="s">
        <v>288</v>
      </c>
      <c r="C43" s="246">
        <v>100</v>
      </c>
      <c r="D43" s="246"/>
      <c r="E43" s="246">
        <v>100</v>
      </c>
      <c r="F43" s="246"/>
      <c r="G43" s="246">
        <v>100</v>
      </c>
      <c r="H43" s="246"/>
    </row>
    <row r="44" spans="1:8" ht="38.25">
      <c r="A44" s="244">
        <v>36</v>
      </c>
      <c r="B44" s="245" t="s">
        <v>638</v>
      </c>
      <c r="C44" s="246">
        <v>100</v>
      </c>
      <c r="D44" s="246"/>
      <c r="E44" s="246">
        <v>100</v>
      </c>
      <c r="F44" s="246"/>
      <c r="G44" s="246">
        <v>100</v>
      </c>
      <c r="H44" s="246"/>
    </row>
    <row r="45" spans="1:8">
      <c r="A45" s="244">
        <v>37</v>
      </c>
      <c r="B45" s="245" t="s">
        <v>369</v>
      </c>
      <c r="C45" s="246">
        <v>100</v>
      </c>
      <c r="D45" s="246"/>
      <c r="E45" s="246">
        <v>100</v>
      </c>
      <c r="F45" s="246"/>
      <c r="G45" s="246">
        <v>100</v>
      </c>
      <c r="H45" s="246"/>
    </row>
    <row r="46" spans="1:8" ht="51">
      <c r="A46" s="244">
        <v>38</v>
      </c>
      <c r="B46" s="245" t="s">
        <v>100</v>
      </c>
      <c r="C46" s="246">
        <v>100</v>
      </c>
      <c r="D46" s="246"/>
      <c r="E46" s="246">
        <v>100</v>
      </c>
      <c r="F46" s="246"/>
      <c r="G46" s="246">
        <v>100</v>
      </c>
      <c r="H46" s="246"/>
    </row>
    <row r="47" spans="1:8" ht="51">
      <c r="A47" s="244">
        <v>39</v>
      </c>
      <c r="B47" s="245" t="s">
        <v>155</v>
      </c>
      <c r="C47" s="246">
        <v>100</v>
      </c>
      <c r="D47" s="246"/>
      <c r="E47" s="246">
        <v>100</v>
      </c>
      <c r="F47" s="246"/>
      <c r="G47" s="246">
        <v>100</v>
      </c>
      <c r="H47" s="246"/>
    </row>
    <row r="48" spans="1:8" ht="51">
      <c r="A48" s="244">
        <v>40</v>
      </c>
      <c r="B48" s="245" t="s">
        <v>1190</v>
      </c>
      <c r="C48" s="246">
        <v>100</v>
      </c>
      <c r="D48" s="246"/>
      <c r="E48" s="246">
        <v>100</v>
      </c>
      <c r="F48" s="246"/>
      <c r="G48" s="246">
        <v>100</v>
      </c>
      <c r="H48" s="246"/>
    </row>
    <row r="49" spans="1:16" ht="51">
      <c r="A49" s="244">
        <v>41</v>
      </c>
      <c r="B49" s="245" t="s">
        <v>1191</v>
      </c>
      <c r="C49" s="246"/>
      <c r="D49" s="246">
        <v>100</v>
      </c>
      <c r="E49" s="246"/>
      <c r="F49" s="246">
        <v>100</v>
      </c>
      <c r="G49" s="246"/>
      <c r="H49" s="246">
        <v>100</v>
      </c>
    </row>
    <row r="50" spans="1:16" ht="25.5">
      <c r="A50" s="244">
        <v>42</v>
      </c>
      <c r="B50" s="250" t="s">
        <v>404</v>
      </c>
      <c r="C50" s="253">
        <v>100</v>
      </c>
      <c r="D50" s="252"/>
      <c r="E50" s="253">
        <v>100</v>
      </c>
      <c r="F50" s="252"/>
      <c r="G50" s="253">
        <v>100</v>
      </c>
      <c r="H50" s="252"/>
    </row>
    <row r="51" spans="1:16" ht="25.5">
      <c r="A51" s="244">
        <v>43</v>
      </c>
      <c r="B51" s="254" t="s">
        <v>1185</v>
      </c>
      <c r="C51" s="253">
        <v>100</v>
      </c>
      <c r="D51" s="252"/>
      <c r="E51" s="253">
        <v>100</v>
      </c>
      <c r="F51" s="252"/>
      <c r="G51" s="253">
        <v>100</v>
      </c>
      <c r="H51" s="252"/>
    </row>
    <row r="52" spans="1:16">
      <c r="A52" s="244">
        <v>44</v>
      </c>
      <c r="B52" s="254" t="s">
        <v>1186</v>
      </c>
      <c r="C52" s="252"/>
      <c r="D52" s="256">
        <v>100</v>
      </c>
      <c r="E52" s="256"/>
      <c r="F52" s="256">
        <v>100</v>
      </c>
      <c r="G52" s="256"/>
      <c r="H52" s="256">
        <v>100</v>
      </c>
    </row>
    <row r="55" spans="1:16" ht="12.75" customHeight="1">
      <c r="A55" s="461" t="s">
        <v>1187</v>
      </c>
      <c r="B55" s="461"/>
      <c r="C55" s="461"/>
      <c r="D55" s="461"/>
      <c r="E55" s="461"/>
      <c r="F55" s="461"/>
      <c r="G55" s="461"/>
      <c r="H55" s="461"/>
      <c r="I55" s="257"/>
      <c r="J55" s="257"/>
      <c r="K55" s="257"/>
      <c r="L55" s="257"/>
      <c r="M55" s="257"/>
      <c r="N55" s="257"/>
      <c r="O55" s="257"/>
      <c r="P55" s="257"/>
    </row>
    <row r="56" spans="1:16">
      <c r="B56" s="198" t="s">
        <v>1189</v>
      </c>
    </row>
    <row r="57" spans="1:16">
      <c r="B57" s="198" t="s">
        <v>1188</v>
      </c>
    </row>
  </sheetData>
  <mergeCells count="19">
    <mergeCell ref="A55:H55"/>
    <mergeCell ref="A3:H3"/>
    <mergeCell ref="A2:H2"/>
    <mergeCell ref="C17:D17"/>
    <mergeCell ref="E17:F17"/>
    <mergeCell ref="G17:H17"/>
    <mergeCell ref="G16:H16"/>
    <mergeCell ref="C14:D14"/>
    <mergeCell ref="E14:F14"/>
    <mergeCell ref="G14:H14"/>
    <mergeCell ref="C15:D15"/>
    <mergeCell ref="E15:F15"/>
    <mergeCell ref="G15:H15"/>
    <mergeCell ref="C5:D5"/>
    <mergeCell ref="E5:F5"/>
    <mergeCell ref="G5:H5"/>
    <mergeCell ref="A1:H1"/>
    <mergeCell ref="C16:D16"/>
    <mergeCell ref="E16:F16"/>
  </mergeCells>
  <pageMargins left="0.54" right="0.1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tabColor rgb="FF00B0F0"/>
    <pageSetUpPr fitToPage="1"/>
  </sheetPr>
  <dimension ref="A1:O267"/>
  <sheetViews>
    <sheetView topLeftCell="A2" zoomScaleNormal="100" workbookViewId="0">
      <selection activeCell="J5" sqref="J5:J7"/>
    </sheetView>
  </sheetViews>
  <sheetFormatPr defaultRowHeight="12.75"/>
  <cols>
    <col min="1" max="1" width="4.42578125" style="124" customWidth="1"/>
    <col min="2" max="2" width="2.28515625" style="124" customWidth="1"/>
    <col min="3" max="3" width="3.42578125" style="124" customWidth="1"/>
    <col min="4" max="4" width="6.5703125" style="124" customWidth="1"/>
    <col min="5" max="5" width="3.42578125" style="124" bestFit="1" customWidth="1"/>
    <col min="6" max="6" width="5.5703125" style="124" customWidth="1"/>
    <col min="7" max="7" width="4.42578125" style="124" customWidth="1"/>
    <col min="8" max="8" width="66.5703125" style="124" customWidth="1"/>
    <col min="9" max="9" width="17.5703125" style="124" customWidth="1"/>
    <col min="10" max="11" width="17.42578125" style="124" customWidth="1"/>
    <col min="12" max="12" width="19.85546875" style="124" customWidth="1"/>
    <col min="13" max="13" width="18.42578125" style="124" customWidth="1"/>
    <col min="14" max="14" width="17.140625" style="124" customWidth="1"/>
    <col min="15" max="15" width="18.28515625" style="124" customWidth="1"/>
    <col min="16" max="16384" width="9.140625" style="124"/>
  </cols>
  <sheetData>
    <row r="1" spans="1:15" ht="55.5" hidden="1" customHeight="1">
      <c r="A1" s="458" t="str">
        <f>"Приложение №"&amp;Н2дох&amp;"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58"/>
      <c r="C1" s="458"/>
      <c r="D1" s="458"/>
      <c r="E1" s="458"/>
      <c r="F1" s="458"/>
      <c r="G1" s="458"/>
      <c r="H1" s="458"/>
      <c r="I1" s="458"/>
      <c r="J1" s="458"/>
      <c r="K1" s="458"/>
    </row>
    <row r="2" spans="1:15" ht="56.25" customHeight="1">
      <c r="A2" s="458" t="str">
        <f>"Приложение "&amp;Н1дох&amp;" к решению
Богучанского районного Совета депутатов
от "&amp;Р1дата&amp;" года №"&amp;Р1номер</f>
        <v>Приложение 2 к решению
Богучанского районного Совета депутатов
от 2020  года №</v>
      </c>
      <c r="B2" s="458"/>
      <c r="C2" s="458"/>
      <c r="D2" s="458"/>
      <c r="E2" s="458"/>
      <c r="F2" s="458"/>
      <c r="G2" s="458"/>
      <c r="H2" s="458"/>
      <c r="I2" s="458"/>
      <c r="J2" s="458"/>
      <c r="K2" s="458"/>
    </row>
    <row r="3" spans="1:15" ht="18" customHeight="1">
      <c r="A3" s="463" t="str">
        <f>"Доходы районного бюджета по кодам классификации доходов бюджетов за "&amp;год&amp;" год "</f>
        <v xml:space="preserve">Доходы районного бюджета по кодам классификации доходов бюджетов за 2019 год </v>
      </c>
      <c r="B3" s="463"/>
      <c r="C3" s="463"/>
      <c r="D3" s="463"/>
      <c r="E3" s="463"/>
      <c r="F3" s="463"/>
      <c r="G3" s="463"/>
      <c r="H3" s="463"/>
      <c r="I3" s="463"/>
      <c r="J3" s="463"/>
      <c r="K3" s="463"/>
    </row>
    <row r="4" spans="1:15">
      <c r="J4" s="125"/>
      <c r="K4" s="125" t="s">
        <v>95</v>
      </c>
    </row>
    <row r="5" spans="1:15" ht="3" customHeight="1">
      <c r="A5" s="465" t="s">
        <v>74</v>
      </c>
      <c r="B5" s="466"/>
      <c r="C5" s="466"/>
      <c r="D5" s="466"/>
      <c r="E5" s="466"/>
      <c r="F5" s="466"/>
      <c r="G5" s="467"/>
      <c r="H5" s="471" t="s">
        <v>73</v>
      </c>
      <c r="I5" s="464" t="s">
        <v>2086</v>
      </c>
      <c r="J5" s="464" t="s">
        <v>2087</v>
      </c>
      <c r="K5" s="464" t="s">
        <v>2085</v>
      </c>
    </row>
    <row r="6" spans="1:15" ht="6" customHeight="1">
      <c r="A6" s="468"/>
      <c r="B6" s="469"/>
      <c r="C6" s="469"/>
      <c r="D6" s="469"/>
      <c r="E6" s="469"/>
      <c r="F6" s="469"/>
      <c r="G6" s="470"/>
      <c r="H6" s="472"/>
      <c r="I6" s="464"/>
      <c r="J6" s="464"/>
      <c r="K6" s="464"/>
    </row>
    <row r="7" spans="1:15" ht="160.5" customHeight="1">
      <c r="A7" s="175" t="s">
        <v>75</v>
      </c>
      <c r="B7" s="175" t="s">
        <v>76</v>
      </c>
      <c r="C7" s="175" t="s">
        <v>77</v>
      </c>
      <c r="D7" s="176" t="s">
        <v>78</v>
      </c>
      <c r="E7" s="175" t="s">
        <v>79</v>
      </c>
      <c r="F7" s="175" t="s">
        <v>80</v>
      </c>
      <c r="G7" s="176" t="s">
        <v>81</v>
      </c>
      <c r="H7" s="473"/>
      <c r="I7" s="464"/>
      <c r="J7" s="464"/>
      <c r="K7" s="464"/>
      <c r="L7" s="126"/>
      <c r="M7" s="127"/>
    </row>
    <row r="8" spans="1:15">
      <c r="A8" s="178" t="s">
        <v>206</v>
      </c>
      <c r="B8" s="178" t="s">
        <v>316</v>
      </c>
      <c r="C8" s="178" t="s">
        <v>317</v>
      </c>
      <c r="D8" s="179" t="s">
        <v>318</v>
      </c>
      <c r="E8" s="178" t="s">
        <v>319</v>
      </c>
      <c r="F8" s="178" t="s">
        <v>320</v>
      </c>
      <c r="G8" s="179" t="s">
        <v>32</v>
      </c>
      <c r="H8" s="177">
        <v>1</v>
      </c>
      <c r="I8" s="180" t="s">
        <v>233</v>
      </c>
      <c r="J8" s="180" t="s">
        <v>36</v>
      </c>
      <c r="K8" s="180" t="s">
        <v>240</v>
      </c>
      <c r="L8" s="128"/>
    </row>
    <row r="9" spans="1:15">
      <c r="A9" s="185" t="s">
        <v>196</v>
      </c>
      <c r="B9" s="185" t="s">
        <v>158</v>
      </c>
      <c r="C9" s="185" t="s">
        <v>159</v>
      </c>
      <c r="D9" s="185" t="s">
        <v>160</v>
      </c>
      <c r="E9" s="185" t="s">
        <v>159</v>
      </c>
      <c r="F9" s="185" t="s">
        <v>161</v>
      </c>
      <c r="G9" s="185" t="s">
        <v>196</v>
      </c>
      <c r="H9" s="184" t="s">
        <v>42</v>
      </c>
      <c r="I9" s="170">
        <f>I10+I19+I25+I33+I41+I48+I63+I71+I88+I92+I44+I143</f>
        <v>444954830.98000002</v>
      </c>
      <c r="J9" s="170">
        <f>J10+J19+J25+J33+J41+J48+J63+J71+J88+J92+J44+J143</f>
        <v>455901885.06999999</v>
      </c>
      <c r="K9" s="170">
        <f>J9/I9*100</f>
        <v>102.46026188004058</v>
      </c>
      <c r="M9" s="128"/>
      <c r="N9" s="128"/>
      <c r="O9" s="128"/>
    </row>
    <row r="10" spans="1:15">
      <c r="A10" s="185" t="s">
        <v>162</v>
      </c>
      <c r="B10" s="185" t="s">
        <v>158</v>
      </c>
      <c r="C10" s="185" t="s">
        <v>163</v>
      </c>
      <c r="D10" s="185" t="s">
        <v>160</v>
      </c>
      <c r="E10" s="185" t="s">
        <v>159</v>
      </c>
      <c r="F10" s="185" t="s">
        <v>161</v>
      </c>
      <c r="G10" s="185" t="s">
        <v>196</v>
      </c>
      <c r="H10" s="184" t="s">
        <v>43</v>
      </c>
      <c r="I10" s="170">
        <f t="shared" ref="I10:J10" si="0">I11+I14</f>
        <v>326005476.98000002</v>
      </c>
      <c r="J10" s="170">
        <f t="shared" si="0"/>
        <v>333140634.52999997</v>
      </c>
      <c r="K10" s="170">
        <f>J10/I10*100</f>
        <v>102.18866186424154</v>
      </c>
    </row>
    <row r="11" spans="1:15">
      <c r="A11" s="185" t="s">
        <v>162</v>
      </c>
      <c r="B11" s="185" t="s">
        <v>158</v>
      </c>
      <c r="C11" s="185" t="s">
        <v>163</v>
      </c>
      <c r="D11" s="185" t="s">
        <v>164</v>
      </c>
      <c r="E11" s="185" t="s">
        <v>159</v>
      </c>
      <c r="F11" s="185" t="s">
        <v>161</v>
      </c>
      <c r="G11" s="185" t="s">
        <v>165</v>
      </c>
      <c r="H11" s="184" t="s">
        <v>1254</v>
      </c>
      <c r="I11" s="170">
        <f t="shared" ref="I11:J12" si="1">I12</f>
        <v>12543328</v>
      </c>
      <c r="J11" s="170">
        <f t="shared" si="1"/>
        <v>13340761.800000001</v>
      </c>
      <c r="K11" s="170">
        <f t="shared" ref="K11:K73" si="2">J11/I11*100</f>
        <v>106.35743400794431</v>
      </c>
    </row>
    <row r="12" spans="1:15" ht="38.25">
      <c r="A12" s="185" t="s">
        <v>162</v>
      </c>
      <c r="B12" s="185" t="s">
        <v>158</v>
      </c>
      <c r="C12" s="185" t="s">
        <v>163</v>
      </c>
      <c r="D12" s="185" t="s">
        <v>265</v>
      </c>
      <c r="E12" s="185" t="s">
        <v>159</v>
      </c>
      <c r="F12" s="185" t="s">
        <v>161</v>
      </c>
      <c r="G12" s="185" t="s">
        <v>165</v>
      </c>
      <c r="H12" s="184" t="s">
        <v>264</v>
      </c>
      <c r="I12" s="170">
        <f t="shared" si="1"/>
        <v>12543328</v>
      </c>
      <c r="J12" s="170">
        <f t="shared" si="1"/>
        <v>13340761.800000001</v>
      </c>
      <c r="K12" s="170">
        <f t="shared" si="2"/>
        <v>106.35743400794431</v>
      </c>
    </row>
    <row r="13" spans="1:15" ht="38.25">
      <c r="A13" s="186" t="s">
        <v>162</v>
      </c>
      <c r="B13" s="186" t="s">
        <v>158</v>
      </c>
      <c r="C13" s="186" t="s">
        <v>163</v>
      </c>
      <c r="D13" s="186" t="s">
        <v>266</v>
      </c>
      <c r="E13" s="186" t="s">
        <v>267</v>
      </c>
      <c r="F13" s="186" t="s">
        <v>161</v>
      </c>
      <c r="G13" s="186" t="s">
        <v>165</v>
      </c>
      <c r="H13" s="9" t="s">
        <v>1247</v>
      </c>
      <c r="I13" s="171">
        <f>8360000+1683328+2500000</f>
        <v>12543328</v>
      </c>
      <c r="J13" s="171">
        <v>13340761.800000001</v>
      </c>
      <c r="K13" s="171">
        <f t="shared" si="2"/>
        <v>106.35743400794431</v>
      </c>
    </row>
    <row r="14" spans="1:15">
      <c r="A14" s="185" t="s">
        <v>162</v>
      </c>
      <c r="B14" s="185" t="s">
        <v>158</v>
      </c>
      <c r="C14" s="185" t="s">
        <v>163</v>
      </c>
      <c r="D14" s="185" t="s">
        <v>268</v>
      </c>
      <c r="E14" s="185" t="s">
        <v>163</v>
      </c>
      <c r="F14" s="185" t="s">
        <v>161</v>
      </c>
      <c r="G14" s="185" t="s">
        <v>165</v>
      </c>
      <c r="H14" s="184" t="s">
        <v>1255</v>
      </c>
      <c r="I14" s="170">
        <f t="shared" ref="I14:J14" si="3">I15+I16+I17+I18</f>
        <v>313462148.98000002</v>
      </c>
      <c r="J14" s="170">
        <f t="shared" si="3"/>
        <v>319799872.72999996</v>
      </c>
      <c r="K14" s="170">
        <f t="shared" si="2"/>
        <v>102.02184658359002</v>
      </c>
    </row>
    <row r="15" spans="1:15" ht="51">
      <c r="A15" s="186" t="s">
        <v>162</v>
      </c>
      <c r="B15" s="186" t="s">
        <v>158</v>
      </c>
      <c r="C15" s="186" t="s">
        <v>163</v>
      </c>
      <c r="D15" s="186" t="s">
        <v>269</v>
      </c>
      <c r="E15" s="186" t="s">
        <v>163</v>
      </c>
      <c r="F15" s="186" t="s">
        <v>161</v>
      </c>
      <c r="G15" s="186" t="s">
        <v>165</v>
      </c>
      <c r="H15" s="297" t="s">
        <v>1248</v>
      </c>
      <c r="I15" s="171">
        <f>294300000+1489262.92+3247886.06+3100000</f>
        <v>302137148.98000002</v>
      </c>
      <c r="J15" s="171">
        <v>308550499.63</v>
      </c>
      <c r="K15" s="171">
        <f t="shared" si="2"/>
        <v>102.1226620664328</v>
      </c>
    </row>
    <row r="16" spans="1:15" ht="76.5">
      <c r="A16" s="186" t="s">
        <v>162</v>
      </c>
      <c r="B16" s="186" t="s">
        <v>158</v>
      </c>
      <c r="C16" s="186" t="s">
        <v>163</v>
      </c>
      <c r="D16" s="186" t="s">
        <v>270</v>
      </c>
      <c r="E16" s="186" t="s">
        <v>163</v>
      </c>
      <c r="F16" s="186" t="s">
        <v>161</v>
      </c>
      <c r="G16" s="186" t="s">
        <v>165</v>
      </c>
      <c r="H16" s="187" t="s">
        <v>308</v>
      </c>
      <c r="I16" s="171">
        <f>270000+175000</f>
        <v>445000</v>
      </c>
      <c r="J16" s="171">
        <v>440767.18</v>
      </c>
      <c r="K16" s="171">
        <f t="shared" si="2"/>
        <v>99.048804494382026</v>
      </c>
    </row>
    <row r="17" spans="1:11" ht="25.5">
      <c r="A17" s="186" t="s">
        <v>162</v>
      </c>
      <c r="B17" s="186" t="s">
        <v>158</v>
      </c>
      <c r="C17" s="186" t="s">
        <v>163</v>
      </c>
      <c r="D17" s="186" t="s">
        <v>307</v>
      </c>
      <c r="E17" s="186" t="s">
        <v>163</v>
      </c>
      <c r="F17" s="186" t="s">
        <v>161</v>
      </c>
      <c r="G17" s="186" t="s">
        <v>165</v>
      </c>
      <c r="H17" s="187" t="s">
        <v>309</v>
      </c>
      <c r="I17" s="171">
        <f>600000+280000</f>
        <v>880000</v>
      </c>
      <c r="J17" s="171">
        <v>909300.64</v>
      </c>
      <c r="K17" s="171">
        <f t="shared" si="2"/>
        <v>103.32961818181818</v>
      </c>
    </row>
    <row r="18" spans="1:11" ht="63.75">
      <c r="A18" s="186" t="s">
        <v>162</v>
      </c>
      <c r="B18" s="186" t="s">
        <v>158</v>
      </c>
      <c r="C18" s="186" t="s">
        <v>163</v>
      </c>
      <c r="D18" s="186" t="s">
        <v>731</v>
      </c>
      <c r="E18" s="186" t="s">
        <v>163</v>
      </c>
      <c r="F18" s="186" t="s">
        <v>161</v>
      </c>
      <c r="G18" s="186" t="s">
        <v>165</v>
      </c>
      <c r="H18" s="187" t="s">
        <v>1249</v>
      </c>
      <c r="I18" s="171">
        <f>5500000+1500000+3000000</f>
        <v>10000000</v>
      </c>
      <c r="J18" s="171">
        <v>9899305.2799999993</v>
      </c>
      <c r="K18" s="171">
        <f t="shared" si="2"/>
        <v>98.993052799999987</v>
      </c>
    </row>
    <row r="19" spans="1:11" ht="25.5">
      <c r="A19" s="185" t="s">
        <v>322</v>
      </c>
      <c r="B19" s="185" t="s">
        <v>158</v>
      </c>
      <c r="C19" s="185" t="s">
        <v>279</v>
      </c>
      <c r="D19" s="185" t="s">
        <v>160</v>
      </c>
      <c r="E19" s="185" t="s">
        <v>159</v>
      </c>
      <c r="F19" s="185" t="s">
        <v>161</v>
      </c>
      <c r="G19" s="185" t="s">
        <v>196</v>
      </c>
      <c r="H19" s="298" t="s">
        <v>1256</v>
      </c>
      <c r="I19" s="170">
        <f t="shared" ref="I19:J19" si="4">I20</f>
        <v>32200</v>
      </c>
      <c r="J19" s="170">
        <f t="shared" si="4"/>
        <v>35853.32</v>
      </c>
      <c r="K19" s="170">
        <f t="shared" si="2"/>
        <v>111.34571428571429</v>
      </c>
    </row>
    <row r="20" spans="1:11" ht="25.5">
      <c r="A20" s="185" t="s">
        <v>322</v>
      </c>
      <c r="B20" s="185" t="s">
        <v>158</v>
      </c>
      <c r="C20" s="185" t="s">
        <v>279</v>
      </c>
      <c r="D20" s="185" t="s">
        <v>268</v>
      </c>
      <c r="E20" s="185" t="s">
        <v>163</v>
      </c>
      <c r="F20" s="185" t="s">
        <v>161</v>
      </c>
      <c r="G20" s="185" t="s">
        <v>165</v>
      </c>
      <c r="H20" s="298" t="s">
        <v>321</v>
      </c>
      <c r="I20" s="170">
        <f>SUM(I21:I24)</f>
        <v>32200</v>
      </c>
      <c r="J20" s="170">
        <f t="shared" ref="J20" si="5">SUM(J21:J24)</f>
        <v>35853.32</v>
      </c>
      <c r="K20" s="170">
        <f t="shared" si="2"/>
        <v>111.34571428571429</v>
      </c>
    </row>
    <row r="21" spans="1:11" ht="51">
      <c r="A21" s="186" t="s">
        <v>322</v>
      </c>
      <c r="B21" s="186" t="s">
        <v>158</v>
      </c>
      <c r="C21" s="186" t="s">
        <v>279</v>
      </c>
      <c r="D21" s="186" t="s">
        <v>324</v>
      </c>
      <c r="E21" s="186" t="s">
        <v>163</v>
      </c>
      <c r="F21" s="186" t="s">
        <v>161</v>
      </c>
      <c r="G21" s="186" t="s">
        <v>165</v>
      </c>
      <c r="H21" s="187" t="s">
        <v>323</v>
      </c>
      <c r="I21" s="171">
        <v>11700</v>
      </c>
      <c r="J21" s="171">
        <v>16319.83</v>
      </c>
      <c r="K21" s="171">
        <f t="shared" si="2"/>
        <v>139.48572649572651</v>
      </c>
    </row>
    <row r="22" spans="1:11" ht="63.75">
      <c r="A22" s="186" t="s">
        <v>322</v>
      </c>
      <c r="B22" s="186" t="s">
        <v>158</v>
      </c>
      <c r="C22" s="186" t="s">
        <v>279</v>
      </c>
      <c r="D22" s="186" t="s">
        <v>326</v>
      </c>
      <c r="E22" s="186" t="s">
        <v>163</v>
      </c>
      <c r="F22" s="186" t="s">
        <v>161</v>
      </c>
      <c r="G22" s="186" t="s">
        <v>165</v>
      </c>
      <c r="H22" s="187" t="s">
        <v>325</v>
      </c>
      <c r="I22" s="171">
        <v>100</v>
      </c>
      <c r="J22" s="171">
        <v>119.96</v>
      </c>
      <c r="K22" s="171">
        <f t="shared" si="2"/>
        <v>119.96</v>
      </c>
    </row>
    <row r="23" spans="1:11" ht="63.75">
      <c r="A23" s="186" t="s">
        <v>322</v>
      </c>
      <c r="B23" s="186" t="s">
        <v>158</v>
      </c>
      <c r="C23" s="186" t="s">
        <v>279</v>
      </c>
      <c r="D23" s="186" t="s">
        <v>328</v>
      </c>
      <c r="E23" s="186" t="s">
        <v>163</v>
      </c>
      <c r="F23" s="186" t="s">
        <v>161</v>
      </c>
      <c r="G23" s="186" t="s">
        <v>165</v>
      </c>
      <c r="H23" s="187" t="s">
        <v>327</v>
      </c>
      <c r="I23" s="171">
        <v>22600</v>
      </c>
      <c r="J23" s="171">
        <v>21803.33</v>
      </c>
      <c r="K23" s="171">
        <f t="shared" si="2"/>
        <v>96.474911504424782</v>
      </c>
    </row>
    <row r="24" spans="1:11" ht="63.75">
      <c r="A24" s="186" t="s">
        <v>322</v>
      </c>
      <c r="B24" s="186" t="s">
        <v>158</v>
      </c>
      <c r="C24" s="186" t="s">
        <v>279</v>
      </c>
      <c r="D24" s="186" t="s">
        <v>330</v>
      </c>
      <c r="E24" s="186" t="s">
        <v>163</v>
      </c>
      <c r="F24" s="186" t="s">
        <v>161</v>
      </c>
      <c r="G24" s="186" t="s">
        <v>165</v>
      </c>
      <c r="H24" s="9" t="s">
        <v>329</v>
      </c>
      <c r="I24" s="171">
        <v>-2200</v>
      </c>
      <c r="J24" s="171">
        <v>-2389.8000000000002</v>
      </c>
      <c r="K24" s="171">
        <f t="shared" si="2"/>
        <v>108.62727272727273</v>
      </c>
    </row>
    <row r="25" spans="1:11">
      <c r="A25" s="185" t="s">
        <v>162</v>
      </c>
      <c r="B25" s="185" t="s">
        <v>158</v>
      </c>
      <c r="C25" s="185" t="s">
        <v>271</v>
      </c>
      <c r="D25" s="185" t="s">
        <v>160</v>
      </c>
      <c r="E25" s="185" t="s">
        <v>159</v>
      </c>
      <c r="F25" s="185" t="s">
        <v>161</v>
      </c>
      <c r="G25" s="185" t="s">
        <v>196</v>
      </c>
      <c r="H25" s="184" t="s">
        <v>117</v>
      </c>
      <c r="I25" s="170">
        <f t="shared" ref="I25:J25" si="6">I26+I29+I32</f>
        <v>26570264</v>
      </c>
      <c r="J25" s="170">
        <f t="shared" si="6"/>
        <v>27837474.390000001</v>
      </c>
      <c r="K25" s="170">
        <f t="shared" si="2"/>
        <v>104.76928038803078</v>
      </c>
    </row>
    <row r="26" spans="1:11" ht="25.5">
      <c r="A26" s="185" t="s">
        <v>162</v>
      </c>
      <c r="B26" s="185" t="s">
        <v>158</v>
      </c>
      <c r="C26" s="185" t="s">
        <v>271</v>
      </c>
      <c r="D26" s="185" t="s">
        <v>268</v>
      </c>
      <c r="E26" s="185" t="s">
        <v>267</v>
      </c>
      <c r="F26" s="185" t="s">
        <v>161</v>
      </c>
      <c r="G26" s="185" t="s">
        <v>165</v>
      </c>
      <c r="H26" s="196" t="s">
        <v>118</v>
      </c>
      <c r="I26" s="170">
        <f t="shared" ref="I26" si="7">SUM(I27:I27)</f>
        <v>26400000</v>
      </c>
      <c r="J26" s="170">
        <f>SUM(J27:J28)</f>
        <v>27670956.490000002</v>
      </c>
      <c r="K26" s="170">
        <f t="shared" si="2"/>
        <v>104.81422912878789</v>
      </c>
    </row>
    <row r="27" spans="1:11">
      <c r="A27" s="186" t="s">
        <v>162</v>
      </c>
      <c r="B27" s="186" t="s">
        <v>158</v>
      </c>
      <c r="C27" s="186" t="s">
        <v>271</v>
      </c>
      <c r="D27" s="186" t="s">
        <v>269</v>
      </c>
      <c r="E27" s="186" t="s">
        <v>267</v>
      </c>
      <c r="F27" s="186" t="s">
        <v>161</v>
      </c>
      <c r="G27" s="186" t="s">
        <v>165</v>
      </c>
      <c r="H27" s="9" t="s">
        <v>118</v>
      </c>
      <c r="I27" s="171">
        <v>26400000</v>
      </c>
      <c r="J27" s="171">
        <v>27659717.73</v>
      </c>
      <c r="K27" s="171">
        <f t="shared" si="2"/>
        <v>104.77165806818182</v>
      </c>
    </row>
    <row r="28" spans="1:11" ht="25.5">
      <c r="A28" s="186" t="s">
        <v>162</v>
      </c>
      <c r="B28" s="186" t="s">
        <v>158</v>
      </c>
      <c r="C28" s="186" t="s">
        <v>271</v>
      </c>
      <c r="D28" s="186" t="s">
        <v>270</v>
      </c>
      <c r="E28" s="186" t="s">
        <v>267</v>
      </c>
      <c r="F28" s="186" t="s">
        <v>161</v>
      </c>
      <c r="G28" s="186" t="s">
        <v>165</v>
      </c>
      <c r="H28" s="9" t="s">
        <v>2088</v>
      </c>
      <c r="I28" s="171">
        <v>0</v>
      </c>
      <c r="J28" s="171">
        <v>11238.76</v>
      </c>
      <c r="K28" s="171"/>
    </row>
    <row r="29" spans="1:11">
      <c r="A29" s="185" t="s">
        <v>162</v>
      </c>
      <c r="B29" s="185" t="s">
        <v>158</v>
      </c>
      <c r="C29" s="185" t="s">
        <v>271</v>
      </c>
      <c r="D29" s="185" t="s">
        <v>41</v>
      </c>
      <c r="E29" s="185" t="s">
        <v>163</v>
      </c>
      <c r="F29" s="185" t="s">
        <v>161</v>
      </c>
      <c r="G29" s="185" t="s">
        <v>165</v>
      </c>
      <c r="H29" s="184" t="s">
        <v>27</v>
      </c>
      <c r="I29" s="170">
        <f>I30</f>
        <v>264</v>
      </c>
      <c r="J29" s="170">
        <f t="shared" ref="J29" si="8">J30</f>
        <v>264</v>
      </c>
      <c r="K29" s="170">
        <f t="shared" si="2"/>
        <v>100</v>
      </c>
    </row>
    <row r="30" spans="1:11">
      <c r="A30" s="186" t="s">
        <v>162</v>
      </c>
      <c r="B30" s="186" t="s">
        <v>158</v>
      </c>
      <c r="C30" s="186" t="s">
        <v>271</v>
      </c>
      <c r="D30" s="186" t="s">
        <v>246</v>
      </c>
      <c r="E30" s="186" t="s">
        <v>163</v>
      </c>
      <c r="F30" s="186" t="s">
        <v>161</v>
      </c>
      <c r="G30" s="186" t="s">
        <v>165</v>
      </c>
      <c r="H30" s="9" t="s">
        <v>27</v>
      </c>
      <c r="I30" s="171">
        <f>18500-18236</f>
        <v>264</v>
      </c>
      <c r="J30" s="171">
        <v>264</v>
      </c>
      <c r="K30" s="171">
        <f t="shared" si="2"/>
        <v>100</v>
      </c>
    </row>
    <row r="31" spans="1:11" ht="25.5">
      <c r="A31" s="185" t="s">
        <v>162</v>
      </c>
      <c r="B31" s="185" t="s">
        <v>158</v>
      </c>
      <c r="C31" s="185" t="s">
        <v>271</v>
      </c>
      <c r="D31" s="185" t="s">
        <v>30</v>
      </c>
      <c r="E31" s="185" t="s">
        <v>267</v>
      </c>
      <c r="F31" s="185" t="s">
        <v>161</v>
      </c>
      <c r="G31" s="185" t="s">
        <v>165</v>
      </c>
      <c r="H31" s="184" t="s">
        <v>740</v>
      </c>
      <c r="I31" s="170">
        <f t="shared" ref="I31:J31" si="9">I32</f>
        <v>170000</v>
      </c>
      <c r="J31" s="170">
        <f t="shared" si="9"/>
        <v>166253.9</v>
      </c>
      <c r="K31" s="170">
        <f t="shared" si="2"/>
        <v>97.79641176470588</v>
      </c>
    </row>
    <row r="32" spans="1:11" ht="25.5">
      <c r="A32" s="186" t="s">
        <v>162</v>
      </c>
      <c r="B32" s="186" t="s">
        <v>158</v>
      </c>
      <c r="C32" s="186" t="s">
        <v>271</v>
      </c>
      <c r="D32" s="189" t="s">
        <v>332</v>
      </c>
      <c r="E32" s="186" t="s">
        <v>267</v>
      </c>
      <c r="F32" s="186" t="s">
        <v>161</v>
      </c>
      <c r="G32" s="186" t="s">
        <v>165</v>
      </c>
      <c r="H32" s="9" t="s">
        <v>331</v>
      </c>
      <c r="I32" s="171">
        <f>210000-40000</f>
        <v>170000</v>
      </c>
      <c r="J32" s="171">
        <v>166253.9</v>
      </c>
      <c r="K32" s="171">
        <f t="shared" si="2"/>
        <v>97.79641176470588</v>
      </c>
    </row>
    <row r="33" spans="1:11">
      <c r="A33" s="185" t="s">
        <v>162</v>
      </c>
      <c r="B33" s="185" t="s">
        <v>158</v>
      </c>
      <c r="C33" s="185" t="s">
        <v>272</v>
      </c>
      <c r="D33" s="188" t="s">
        <v>160</v>
      </c>
      <c r="E33" s="185" t="s">
        <v>159</v>
      </c>
      <c r="F33" s="185" t="s">
        <v>161</v>
      </c>
      <c r="G33" s="185" t="s">
        <v>196</v>
      </c>
      <c r="H33" s="184" t="s">
        <v>119</v>
      </c>
      <c r="I33" s="170">
        <f t="shared" ref="I33:J33" si="10">I36+I34</f>
        <v>492130</v>
      </c>
      <c r="J33" s="170">
        <f t="shared" si="10"/>
        <v>492399.21</v>
      </c>
      <c r="K33" s="170">
        <f t="shared" si="2"/>
        <v>100.05470302562331</v>
      </c>
    </row>
    <row r="34" spans="1:11">
      <c r="A34" s="185" t="s">
        <v>162</v>
      </c>
      <c r="B34" s="185" t="s">
        <v>158</v>
      </c>
      <c r="C34" s="185" t="s">
        <v>272</v>
      </c>
      <c r="D34" s="188" t="s">
        <v>164</v>
      </c>
      <c r="E34" s="185" t="s">
        <v>159</v>
      </c>
      <c r="F34" s="185" t="s">
        <v>161</v>
      </c>
      <c r="G34" s="185" t="s">
        <v>165</v>
      </c>
      <c r="H34" s="184" t="s">
        <v>284</v>
      </c>
      <c r="I34" s="170">
        <f t="shared" ref="I34:J34" si="11">I35</f>
        <v>1530</v>
      </c>
      <c r="J34" s="170">
        <f t="shared" si="11"/>
        <v>1529.29</v>
      </c>
      <c r="K34" s="170">
        <f t="shared" si="2"/>
        <v>99.953594771241825</v>
      </c>
    </row>
    <row r="35" spans="1:11" ht="38.25">
      <c r="A35" s="186" t="s">
        <v>162</v>
      </c>
      <c r="B35" s="186" t="s">
        <v>158</v>
      </c>
      <c r="C35" s="186" t="s">
        <v>272</v>
      </c>
      <c r="D35" s="189" t="s">
        <v>286</v>
      </c>
      <c r="E35" s="186" t="s">
        <v>271</v>
      </c>
      <c r="F35" s="186" t="s">
        <v>161</v>
      </c>
      <c r="G35" s="186" t="s">
        <v>165</v>
      </c>
      <c r="H35" s="9" t="s">
        <v>285</v>
      </c>
      <c r="I35" s="171">
        <f>3500-1970</f>
        <v>1530</v>
      </c>
      <c r="J35" s="171">
        <v>1529.29</v>
      </c>
      <c r="K35" s="171">
        <f t="shared" si="2"/>
        <v>99.953594771241825</v>
      </c>
    </row>
    <row r="36" spans="1:11">
      <c r="A36" s="185" t="s">
        <v>162</v>
      </c>
      <c r="B36" s="185" t="s">
        <v>158</v>
      </c>
      <c r="C36" s="185" t="s">
        <v>272</v>
      </c>
      <c r="D36" s="188" t="s">
        <v>273</v>
      </c>
      <c r="E36" s="185" t="s">
        <v>159</v>
      </c>
      <c r="F36" s="185" t="s">
        <v>161</v>
      </c>
      <c r="G36" s="185" t="s">
        <v>165</v>
      </c>
      <c r="H36" s="184" t="s">
        <v>120</v>
      </c>
      <c r="I36" s="170">
        <f>I37+I39</f>
        <v>490600</v>
      </c>
      <c r="J36" s="170">
        <f t="shared" ref="J36" si="12">J37+J39</f>
        <v>490869.92000000004</v>
      </c>
      <c r="K36" s="170">
        <f t="shared" si="2"/>
        <v>100.05501834488382</v>
      </c>
    </row>
    <row r="37" spans="1:11">
      <c r="A37" s="185" t="s">
        <v>162</v>
      </c>
      <c r="B37" s="185" t="s">
        <v>158</v>
      </c>
      <c r="C37" s="185" t="s">
        <v>272</v>
      </c>
      <c r="D37" s="188" t="s">
        <v>1251</v>
      </c>
      <c r="E37" s="185" t="s">
        <v>159</v>
      </c>
      <c r="F37" s="185" t="s">
        <v>161</v>
      </c>
      <c r="G37" s="185" t="s">
        <v>165</v>
      </c>
      <c r="H37" s="184" t="s">
        <v>1250</v>
      </c>
      <c r="I37" s="170">
        <f t="shared" ref="I37:J37" si="13">I38</f>
        <v>454100</v>
      </c>
      <c r="J37" s="170">
        <f t="shared" si="13"/>
        <v>454163.33</v>
      </c>
      <c r="K37" s="170">
        <f t="shared" si="2"/>
        <v>100.01394626734199</v>
      </c>
    </row>
    <row r="38" spans="1:11" ht="25.5">
      <c r="A38" s="186" t="s">
        <v>162</v>
      </c>
      <c r="B38" s="186" t="s">
        <v>158</v>
      </c>
      <c r="C38" s="186" t="s">
        <v>272</v>
      </c>
      <c r="D38" s="189" t="s">
        <v>728</v>
      </c>
      <c r="E38" s="186" t="s">
        <v>271</v>
      </c>
      <c r="F38" s="186" t="s">
        <v>161</v>
      </c>
      <c r="G38" s="186" t="s">
        <v>165</v>
      </c>
      <c r="H38" s="9" t="s">
        <v>727</v>
      </c>
      <c r="I38" s="171">
        <f>288100+166000</f>
        <v>454100</v>
      </c>
      <c r="J38" s="171">
        <v>454163.33</v>
      </c>
      <c r="K38" s="171">
        <f t="shared" si="2"/>
        <v>100.01394626734199</v>
      </c>
    </row>
    <row r="39" spans="1:11">
      <c r="A39" s="185" t="s">
        <v>162</v>
      </c>
      <c r="B39" s="185" t="s">
        <v>158</v>
      </c>
      <c r="C39" s="185" t="s">
        <v>272</v>
      </c>
      <c r="D39" s="188" t="s">
        <v>1253</v>
      </c>
      <c r="E39" s="185" t="s">
        <v>159</v>
      </c>
      <c r="F39" s="185" t="s">
        <v>161</v>
      </c>
      <c r="G39" s="185" t="s">
        <v>165</v>
      </c>
      <c r="H39" s="184" t="s">
        <v>1252</v>
      </c>
      <c r="I39" s="170">
        <f t="shared" ref="I39:J39" si="14">I40</f>
        <v>36500</v>
      </c>
      <c r="J39" s="170">
        <f t="shared" si="14"/>
        <v>36706.589999999997</v>
      </c>
      <c r="K39" s="170">
        <f t="shared" si="2"/>
        <v>100.566</v>
      </c>
    </row>
    <row r="40" spans="1:11" ht="38.25">
      <c r="A40" s="186" t="s">
        <v>162</v>
      </c>
      <c r="B40" s="186" t="s">
        <v>158</v>
      </c>
      <c r="C40" s="186" t="s">
        <v>272</v>
      </c>
      <c r="D40" s="186" t="s">
        <v>729</v>
      </c>
      <c r="E40" s="186" t="s">
        <v>271</v>
      </c>
      <c r="F40" s="186" t="s">
        <v>161</v>
      </c>
      <c r="G40" s="186" t="s">
        <v>165</v>
      </c>
      <c r="H40" s="9" t="s">
        <v>730</v>
      </c>
      <c r="I40" s="171">
        <f>284500-248000</f>
        <v>36500</v>
      </c>
      <c r="J40" s="171">
        <v>36706.589999999997</v>
      </c>
      <c r="K40" s="171">
        <f t="shared" si="2"/>
        <v>100.566</v>
      </c>
    </row>
    <row r="41" spans="1:11">
      <c r="A41" s="185" t="s">
        <v>196</v>
      </c>
      <c r="B41" s="185" t="s">
        <v>158</v>
      </c>
      <c r="C41" s="185" t="s">
        <v>40</v>
      </c>
      <c r="D41" s="185" t="s">
        <v>160</v>
      </c>
      <c r="E41" s="185" t="s">
        <v>159</v>
      </c>
      <c r="F41" s="185" t="s">
        <v>161</v>
      </c>
      <c r="G41" s="185" t="s">
        <v>196</v>
      </c>
      <c r="H41" s="184" t="s">
        <v>28</v>
      </c>
      <c r="I41" s="170">
        <f>I42</f>
        <v>5100000</v>
      </c>
      <c r="J41" s="170">
        <f>J42</f>
        <v>5209928.8099999996</v>
      </c>
      <c r="K41" s="170">
        <f t="shared" si="2"/>
        <v>102.15546686274509</v>
      </c>
    </row>
    <row r="42" spans="1:11" ht="25.5">
      <c r="A42" s="185" t="s">
        <v>196</v>
      </c>
      <c r="B42" s="185" t="s">
        <v>158</v>
      </c>
      <c r="C42" s="185" t="s">
        <v>40</v>
      </c>
      <c r="D42" s="185" t="s">
        <v>41</v>
      </c>
      <c r="E42" s="185" t="s">
        <v>163</v>
      </c>
      <c r="F42" s="185" t="s">
        <v>161</v>
      </c>
      <c r="G42" s="185" t="s">
        <v>165</v>
      </c>
      <c r="H42" s="184" t="s">
        <v>121</v>
      </c>
      <c r="I42" s="170">
        <f t="shared" ref="I42:J42" si="15">I43</f>
        <v>5100000</v>
      </c>
      <c r="J42" s="170">
        <f t="shared" si="15"/>
        <v>5209928.8099999996</v>
      </c>
      <c r="K42" s="170">
        <f t="shared" si="2"/>
        <v>102.15546686274509</v>
      </c>
    </row>
    <row r="43" spans="1:11" ht="38.25">
      <c r="A43" s="186" t="s">
        <v>162</v>
      </c>
      <c r="B43" s="186" t="s">
        <v>158</v>
      </c>
      <c r="C43" s="186" t="s">
        <v>40</v>
      </c>
      <c r="D43" s="186" t="s">
        <v>246</v>
      </c>
      <c r="E43" s="186" t="s">
        <v>163</v>
      </c>
      <c r="F43" s="186" t="s">
        <v>161</v>
      </c>
      <c r="G43" s="186" t="s">
        <v>165</v>
      </c>
      <c r="H43" s="9" t="s">
        <v>1257</v>
      </c>
      <c r="I43" s="171">
        <v>5100000</v>
      </c>
      <c r="J43" s="171">
        <v>5209928.8099999996</v>
      </c>
      <c r="K43" s="171">
        <f t="shared" si="2"/>
        <v>102.15546686274509</v>
      </c>
    </row>
    <row r="44" spans="1:11" ht="25.5">
      <c r="A44" s="185" t="s">
        <v>162</v>
      </c>
      <c r="B44" s="185" t="s">
        <v>158</v>
      </c>
      <c r="C44" s="185" t="s">
        <v>35</v>
      </c>
      <c r="D44" s="185" t="s">
        <v>160</v>
      </c>
      <c r="E44" s="185" t="s">
        <v>159</v>
      </c>
      <c r="F44" s="185" t="s">
        <v>161</v>
      </c>
      <c r="G44" s="185" t="s">
        <v>196</v>
      </c>
      <c r="H44" s="184" t="s">
        <v>2089</v>
      </c>
      <c r="I44" s="170">
        <f t="shared" ref="I44:J46" si="16">I45</f>
        <v>0</v>
      </c>
      <c r="J44" s="170">
        <f t="shared" si="16"/>
        <v>4.9800000000000004</v>
      </c>
      <c r="K44" s="171"/>
    </row>
    <row r="45" spans="1:11">
      <c r="A45" s="186" t="s">
        <v>162</v>
      </c>
      <c r="B45" s="186" t="s">
        <v>158</v>
      </c>
      <c r="C45" s="186" t="s">
        <v>35</v>
      </c>
      <c r="D45" s="186" t="s">
        <v>247</v>
      </c>
      <c r="E45" s="186" t="s">
        <v>159</v>
      </c>
      <c r="F45" s="186" t="s">
        <v>161</v>
      </c>
      <c r="G45" s="186" t="s">
        <v>165</v>
      </c>
      <c r="H45" s="9" t="s">
        <v>2090</v>
      </c>
      <c r="I45" s="171">
        <f t="shared" si="16"/>
        <v>0</v>
      </c>
      <c r="J45" s="171">
        <f t="shared" si="16"/>
        <v>4.9800000000000004</v>
      </c>
      <c r="K45" s="171"/>
    </row>
    <row r="46" spans="1:11" ht="38.25">
      <c r="A46" s="186" t="s">
        <v>162</v>
      </c>
      <c r="B46" s="186" t="s">
        <v>158</v>
      </c>
      <c r="C46" s="186" t="s">
        <v>35</v>
      </c>
      <c r="D46" s="186" t="s">
        <v>2093</v>
      </c>
      <c r="E46" s="186" t="s">
        <v>159</v>
      </c>
      <c r="F46" s="186" t="s">
        <v>161</v>
      </c>
      <c r="G46" s="186" t="s">
        <v>165</v>
      </c>
      <c r="H46" s="9" t="s">
        <v>2091</v>
      </c>
      <c r="I46" s="171">
        <f t="shared" si="16"/>
        <v>0</v>
      </c>
      <c r="J46" s="171">
        <f t="shared" si="16"/>
        <v>4.9800000000000004</v>
      </c>
      <c r="K46" s="171"/>
    </row>
    <row r="47" spans="1:11" ht="51">
      <c r="A47" s="186" t="s">
        <v>2094</v>
      </c>
      <c r="B47" s="186" t="s">
        <v>158</v>
      </c>
      <c r="C47" s="186" t="s">
        <v>35</v>
      </c>
      <c r="D47" s="186" t="s">
        <v>2095</v>
      </c>
      <c r="E47" s="186" t="s">
        <v>271</v>
      </c>
      <c r="F47" s="186" t="s">
        <v>161</v>
      </c>
      <c r="G47" s="186" t="s">
        <v>165</v>
      </c>
      <c r="H47" s="9" t="s">
        <v>2092</v>
      </c>
      <c r="I47" s="171">
        <v>0</v>
      </c>
      <c r="J47" s="171">
        <v>4.9800000000000004</v>
      </c>
      <c r="K47" s="171"/>
    </row>
    <row r="48" spans="1:11" ht="25.5">
      <c r="A48" s="185" t="s">
        <v>196</v>
      </c>
      <c r="B48" s="185" t="s">
        <v>158</v>
      </c>
      <c r="C48" s="185" t="s">
        <v>36</v>
      </c>
      <c r="D48" s="188" t="s">
        <v>160</v>
      </c>
      <c r="E48" s="185" t="s">
        <v>159</v>
      </c>
      <c r="F48" s="185" t="s">
        <v>161</v>
      </c>
      <c r="G48" s="185" t="s">
        <v>196</v>
      </c>
      <c r="H48" s="184" t="s">
        <v>129</v>
      </c>
      <c r="I48" s="170">
        <f>I49+I57+I60</f>
        <v>42557184</v>
      </c>
      <c r="J48" s="170">
        <f t="shared" ref="J48" si="17">J49+J57+J60</f>
        <v>41960516.800000004</v>
      </c>
      <c r="K48" s="170">
        <f t="shared" si="2"/>
        <v>98.597963624660892</v>
      </c>
    </row>
    <row r="49" spans="1:11" ht="76.5">
      <c r="A49" s="185" t="s">
        <v>196</v>
      </c>
      <c r="B49" s="185" t="s">
        <v>158</v>
      </c>
      <c r="C49" s="185" t="s">
        <v>36</v>
      </c>
      <c r="D49" s="188" t="s">
        <v>38</v>
      </c>
      <c r="E49" s="185" t="s">
        <v>159</v>
      </c>
      <c r="F49" s="185" t="s">
        <v>161</v>
      </c>
      <c r="G49" s="185" t="s">
        <v>37</v>
      </c>
      <c r="H49" s="190" t="s">
        <v>1258</v>
      </c>
      <c r="I49" s="170">
        <f>I50+I54+I52</f>
        <v>42459684</v>
      </c>
      <c r="J49" s="170">
        <f t="shared" ref="J49" si="18">J50+J54+J52</f>
        <v>41861276.800000004</v>
      </c>
      <c r="K49" s="170">
        <f t="shared" si="2"/>
        <v>98.59064612916103</v>
      </c>
    </row>
    <row r="50" spans="1:11" ht="51">
      <c r="A50" s="186" t="s">
        <v>196</v>
      </c>
      <c r="B50" s="186" t="s">
        <v>158</v>
      </c>
      <c r="C50" s="186" t="s">
        <v>36</v>
      </c>
      <c r="D50" s="189" t="s">
        <v>256</v>
      </c>
      <c r="E50" s="186" t="s">
        <v>159</v>
      </c>
      <c r="F50" s="186" t="s">
        <v>161</v>
      </c>
      <c r="G50" s="186" t="s">
        <v>37</v>
      </c>
      <c r="H50" s="191" t="s">
        <v>257</v>
      </c>
      <c r="I50" s="171">
        <f t="shared" ref="I50:J50" si="19">I51</f>
        <v>26450000</v>
      </c>
      <c r="J50" s="171">
        <f t="shared" si="19"/>
        <v>26284294.420000002</v>
      </c>
      <c r="K50" s="171">
        <f t="shared" si="2"/>
        <v>99.373513875236299</v>
      </c>
    </row>
    <row r="51" spans="1:11" ht="63.75">
      <c r="A51" s="186" t="s">
        <v>89</v>
      </c>
      <c r="B51" s="186" t="s">
        <v>158</v>
      </c>
      <c r="C51" s="186" t="s">
        <v>36</v>
      </c>
      <c r="D51" s="189" t="s">
        <v>287</v>
      </c>
      <c r="E51" s="186" t="s">
        <v>271</v>
      </c>
      <c r="F51" s="186" t="s">
        <v>161</v>
      </c>
      <c r="G51" s="186" t="s">
        <v>37</v>
      </c>
      <c r="H51" s="191" t="s">
        <v>1466</v>
      </c>
      <c r="I51" s="171">
        <f>34950000-8500000</f>
        <v>26450000</v>
      </c>
      <c r="J51" s="171">
        <v>26284294.420000002</v>
      </c>
      <c r="K51" s="171">
        <f t="shared" si="2"/>
        <v>99.373513875236299</v>
      </c>
    </row>
    <row r="52" spans="1:11" ht="63.75">
      <c r="A52" s="185" t="s">
        <v>89</v>
      </c>
      <c r="B52" s="185" t="s">
        <v>158</v>
      </c>
      <c r="C52" s="185" t="s">
        <v>36</v>
      </c>
      <c r="D52" s="188" t="s">
        <v>234</v>
      </c>
      <c r="E52" s="185" t="s">
        <v>159</v>
      </c>
      <c r="F52" s="185" t="s">
        <v>161</v>
      </c>
      <c r="G52" s="185" t="s">
        <v>37</v>
      </c>
      <c r="H52" s="184" t="s">
        <v>1259</v>
      </c>
      <c r="I52" s="170">
        <f t="shared" ref="I52:J52" si="20">I53</f>
        <v>200000</v>
      </c>
      <c r="J52" s="170">
        <f t="shared" si="20"/>
        <v>112220.07</v>
      </c>
      <c r="K52" s="170">
        <f t="shared" si="2"/>
        <v>56.110035000000003</v>
      </c>
    </row>
    <row r="53" spans="1:11" ht="63.75">
      <c r="A53" s="186" t="s">
        <v>89</v>
      </c>
      <c r="B53" s="186" t="s">
        <v>158</v>
      </c>
      <c r="C53" s="186" t="s">
        <v>36</v>
      </c>
      <c r="D53" s="189" t="s">
        <v>235</v>
      </c>
      <c r="E53" s="186" t="s">
        <v>271</v>
      </c>
      <c r="F53" s="186" t="s">
        <v>161</v>
      </c>
      <c r="G53" s="186" t="s">
        <v>37</v>
      </c>
      <c r="H53" s="9" t="s">
        <v>1260</v>
      </c>
      <c r="I53" s="171">
        <v>200000</v>
      </c>
      <c r="J53" s="171">
        <v>112220.07</v>
      </c>
      <c r="K53" s="171">
        <f t="shared" si="2"/>
        <v>56.110035000000003</v>
      </c>
    </row>
    <row r="54" spans="1:11" ht="63.75">
      <c r="A54" s="185" t="s">
        <v>196</v>
      </c>
      <c r="B54" s="185" t="s">
        <v>158</v>
      </c>
      <c r="C54" s="185" t="s">
        <v>36</v>
      </c>
      <c r="D54" s="188" t="s">
        <v>236</v>
      </c>
      <c r="E54" s="185" t="s">
        <v>159</v>
      </c>
      <c r="F54" s="185" t="s">
        <v>161</v>
      </c>
      <c r="G54" s="185" t="s">
        <v>37</v>
      </c>
      <c r="H54" s="184" t="s">
        <v>1261</v>
      </c>
      <c r="I54" s="170">
        <f t="shared" ref="I54:J54" si="21">I56+I55</f>
        <v>15809684</v>
      </c>
      <c r="J54" s="170">
        <f t="shared" si="21"/>
        <v>15464762.310000001</v>
      </c>
      <c r="K54" s="170">
        <f t="shared" si="2"/>
        <v>97.818288524931944</v>
      </c>
    </row>
    <row r="55" spans="1:11" ht="51">
      <c r="A55" s="186" t="s">
        <v>5</v>
      </c>
      <c r="B55" s="186" t="s">
        <v>158</v>
      </c>
      <c r="C55" s="186" t="s">
        <v>36</v>
      </c>
      <c r="D55" s="189" t="s">
        <v>237</v>
      </c>
      <c r="E55" s="186" t="s">
        <v>271</v>
      </c>
      <c r="F55" s="186" t="s">
        <v>161</v>
      </c>
      <c r="G55" s="186" t="s">
        <v>37</v>
      </c>
      <c r="H55" s="9" t="s">
        <v>1262</v>
      </c>
      <c r="I55" s="171">
        <v>81184</v>
      </c>
      <c r="J55" s="171">
        <v>79727.679999999993</v>
      </c>
      <c r="K55" s="171">
        <f t="shared" si="2"/>
        <v>98.206148994875832</v>
      </c>
    </row>
    <row r="56" spans="1:11" ht="51">
      <c r="A56" s="186" t="s">
        <v>89</v>
      </c>
      <c r="B56" s="186" t="s">
        <v>158</v>
      </c>
      <c r="C56" s="186" t="s">
        <v>36</v>
      </c>
      <c r="D56" s="189" t="s">
        <v>237</v>
      </c>
      <c r="E56" s="186" t="s">
        <v>271</v>
      </c>
      <c r="F56" s="186" t="s">
        <v>161</v>
      </c>
      <c r="G56" s="186" t="s">
        <v>37</v>
      </c>
      <c r="H56" s="9" t="s">
        <v>1262</v>
      </c>
      <c r="I56" s="171">
        <f>24728500-9000000</f>
        <v>15728500</v>
      </c>
      <c r="J56" s="171">
        <v>15385034.630000001</v>
      </c>
      <c r="K56" s="171">
        <f t="shared" si="2"/>
        <v>97.816286549893505</v>
      </c>
    </row>
    <row r="57" spans="1:11" ht="25.5" hidden="1">
      <c r="A57" s="185" t="s">
        <v>89</v>
      </c>
      <c r="B57" s="185" t="s">
        <v>158</v>
      </c>
      <c r="C57" s="185" t="s">
        <v>36</v>
      </c>
      <c r="D57" s="188" t="s">
        <v>247</v>
      </c>
      <c r="E57" s="185" t="s">
        <v>159</v>
      </c>
      <c r="F57" s="185" t="s">
        <v>161</v>
      </c>
      <c r="G57" s="185" t="s">
        <v>37</v>
      </c>
      <c r="H57" s="184" t="s">
        <v>14</v>
      </c>
      <c r="I57" s="170">
        <f t="shared" ref="I57:J58" si="22">I58</f>
        <v>0</v>
      </c>
      <c r="J57" s="170">
        <f t="shared" si="22"/>
        <v>0</v>
      </c>
      <c r="K57" s="171"/>
    </row>
    <row r="58" spans="1:11" ht="38.25" hidden="1">
      <c r="A58" s="185" t="s">
        <v>89</v>
      </c>
      <c r="B58" s="185" t="s">
        <v>158</v>
      </c>
      <c r="C58" s="185" t="s">
        <v>36</v>
      </c>
      <c r="D58" s="188" t="s">
        <v>238</v>
      </c>
      <c r="E58" s="185" t="s">
        <v>159</v>
      </c>
      <c r="F58" s="185" t="s">
        <v>161</v>
      </c>
      <c r="G58" s="185" t="s">
        <v>37</v>
      </c>
      <c r="H58" s="184" t="s">
        <v>15</v>
      </c>
      <c r="I58" s="170">
        <f t="shared" si="22"/>
        <v>0</v>
      </c>
      <c r="J58" s="170">
        <f t="shared" si="22"/>
        <v>0</v>
      </c>
      <c r="K58" s="171"/>
    </row>
    <row r="59" spans="1:11" ht="38.25" hidden="1">
      <c r="A59" s="186" t="s">
        <v>89</v>
      </c>
      <c r="B59" s="186" t="s">
        <v>158</v>
      </c>
      <c r="C59" s="186" t="s">
        <v>36</v>
      </c>
      <c r="D59" s="189" t="s">
        <v>239</v>
      </c>
      <c r="E59" s="186" t="s">
        <v>271</v>
      </c>
      <c r="F59" s="186" t="s">
        <v>161</v>
      </c>
      <c r="G59" s="186" t="s">
        <v>37</v>
      </c>
      <c r="H59" s="9" t="s">
        <v>152</v>
      </c>
      <c r="I59" s="171">
        <f>66900-66900</f>
        <v>0</v>
      </c>
      <c r="J59" s="171">
        <v>0</v>
      </c>
      <c r="K59" s="171"/>
    </row>
    <row r="60" spans="1:11" ht="63.75">
      <c r="A60" s="299" t="s">
        <v>89</v>
      </c>
      <c r="B60" s="299" t="s">
        <v>158</v>
      </c>
      <c r="C60" s="299" t="s">
        <v>36</v>
      </c>
      <c r="D60" s="300" t="s">
        <v>742</v>
      </c>
      <c r="E60" s="299" t="s">
        <v>271</v>
      </c>
      <c r="F60" s="299" t="s">
        <v>161</v>
      </c>
      <c r="G60" s="299" t="s">
        <v>37</v>
      </c>
      <c r="H60" s="184" t="s">
        <v>741</v>
      </c>
      <c r="I60" s="170">
        <f t="shared" ref="I60:J61" si="23">I61</f>
        <v>97500</v>
      </c>
      <c r="J60" s="170">
        <f t="shared" si="23"/>
        <v>99240</v>
      </c>
      <c r="K60" s="170">
        <f t="shared" si="2"/>
        <v>101.78461538461538</v>
      </c>
    </row>
    <row r="61" spans="1:11" ht="63.75">
      <c r="A61" s="299" t="s">
        <v>89</v>
      </c>
      <c r="B61" s="299" t="s">
        <v>158</v>
      </c>
      <c r="C61" s="299" t="s">
        <v>36</v>
      </c>
      <c r="D61" s="300" t="s">
        <v>744</v>
      </c>
      <c r="E61" s="299" t="s">
        <v>159</v>
      </c>
      <c r="F61" s="299" t="s">
        <v>161</v>
      </c>
      <c r="G61" s="299" t="s">
        <v>37</v>
      </c>
      <c r="H61" s="184" t="s">
        <v>743</v>
      </c>
      <c r="I61" s="170">
        <f t="shared" si="23"/>
        <v>97500</v>
      </c>
      <c r="J61" s="170">
        <f t="shared" si="23"/>
        <v>99240</v>
      </c>
      <c r="K61" s="170">
        <f t="shared" si="2"/>
        <v>101.78461538461538</v>
      </c>
    </row>
    <row r="62" spans="1:11" ht="63.75">
      <c r="A62" s="200" t="s">
        <v>89</v>
      </c>
      <c r="B62" s="200" t="s">
        <v>158</v>
      </c>
      <c r="C62" s="200" t="s">
        <v>36</v>
      </c>
      <c r="D62" s="201" t="s">
        <v>746</v>
      </c>
      <c r="E62" s="200" t="s">
        <v>271</v>
      </c>
      <c r="F62" s="200" t="s">
        <v>161</v>
      </c>
      <c r="G62" s="200" t="s">
        <v>37</v>
      </c>
      <c r="H62" s="9" t="s">
        <v>745</v>
      </c>
      <c r="I62" s="171">
        <v>97500</v>
      </c>
      <c r="J62" s="171">
        <v>99240</v>
      </c>
      <c r="K62" s="171">
        <f t="shared" si="2"/>
        <v>101.78461538461538</v>
      </c>
    </row>
    <row r="63" spans="1:11">
      <c r="A63" s="185" t="s">
        <v>102</v>
      </c>
      <c r="B63" s="185" t="s">
        <v>158</v>
      </c>
      <c r="C63" s="185" t="s">
        <v>240</v>
      </c>
      <c r="D63" s="188" t="s">
        <v>160</v>
      </c>
      <c r="E63" s="185" t="s">
        <v>159</v>
      </c>
      <c r="F63" s="185" t="s">
        <v>161</v>
      </c>
      <c r="G63" s="185" t="s">
        <v>196</v>
      </c>
      <c r="H63" s="184" t="s">
        <v>153</v>
      </c>
      <c r="I63" s="170">
        <f t="shared" ref="I63:J63" si="24">I64</f>
        <v>2019820</v>
      </c>
      <c r="J63" s="170">
        <f t="shared" si="24"/>
        <v>2025149.38</v>
      </c>
      <c r="K63" s="170">
        <f t="shared" si="2"/>
        <v>100.26385420483012</v>
      </c>
    </row>
    <row r="64" spans="1:11">
      <c r="A64" s="185" t="s">
        <v>102</v>
      </c>
      <c r="B64" s="185" t="s">
        <v>158</v>
      </c>
      <c r="C64" s="185" t="s">
        <v>240</v>
      </c>
      <c r="D64" s="188" t="s">
        <v>164</v>
      </c>
      <c r="E64" s="185" t="s">
        <v>163</v>
      </c>
      <c r="F64" s="185" t="s">
        <v>161</v>
      </c>
      <c r="G64" s="185" t="s">
        <v>37</v>
      </c>
      <c r="H64" s="184" t="s">
        <v>1263</v>
      </c>
      <c r="I64" s="170">
        <f>I65+I66+I67</f>
        <v>2019820</v>
      </c>
      <c r="J64" s="170">
        <f>J65+J66+J67+J70</f>
        <v>2025149.38</v>
      </c>
      <c r="K64" s="170">
        <f t="shared" si="2"/>
        <v>100.26385420483012</v>
      </c>
    </row>
    <row r="65" spans="1:14" ht="25.5">
      <c r="A65" s="186" t="s">
        <v>102</v>
      </c>
      <c r="B65" s="186" t="s">
        <v>158</v>
      </c>
      <c r="C65" s="186" t="s">
        <v>240</v>
      </c>
      <c r="D65" s="189" t="s">
        <v>265</v>
      </c>
      <c r="E65" s="186" t="s">
        <v>163</v>
      </c>
      <c r="F65" s="186" t="s">
        <v>161</v>
      </c>
      <c r="G65" s="186" t="s">
        <v>37</v>
      </c>
      <c r="H65" s="9" t="s">
        <v>747</v>
      </c>
      <c r="I65" s="171">
        <f>1700000-1237000</f>
        <v>463000</v>
      </c>
      <c r="J65" s="171">
        <v>463315.98</v>
      </c>
      <c r="K65" s="171">
        <f t="shared" si="2"/>
        <v>100.06824622030237</v>
      </c>
    </row>
    <row r="66" spans="1:14">
      <c r="A66" s="186" t="s">
        <v>102</v>
      </c>
      <c r="B66" s="186" t="s">
        <v>158</v>
      </c>
      <c r="C66" s="186" t="s">
        <v>240</v>
      </c>
      <c r="D66" s="189" t="s">
        <v>286</v>
      </c>
      <c r="E66" s="186" t="s">
        <v>163</v>
      </c>
      <c r="F66" s="186" t="s">
        <v>161</v>
      </c>
      <c r="G66" s="186" t="s">
        <v>37</v>
      </c>
      <c r="H66" s="54" t="s">
        <v>748</v>
      </c>
      <c r="I66" s="171">
        <f>7000+1263000</f>
        <v>1270000</v>
      </c>
      <c r="J66" s="171">
        <v>1269623.22</v>
      </c>
      <c r="K66" s="171">
        <f t="shared" si="2"/>
        <v>99.970332283464572</v>
      </c>
    </row>
    <row r="67" spans="1:14">
      <c r="A67" s="186" t="s">
        <v>102</v>
      </c>
      <c r="B67" s="186" t="s">
        <v>158</v>
      </c>
      <c r="C67" s="186" t="s">
        <v>240</v>
      </c>
      <c r="D67" s="189" t="s">
        <v>334</v>
      </c>
      <c r="E67" s="186" t="s">
        <v>163</v>
      </c>
      <c r="F67" s="186" t="s">
        <v>161</v>
      </c>
      <c r="G67" s="186" t="s">
        <v>37</v>
      </c>
      <c r="H67" s="54" t="s">
        <v>749</v>
      </c>
      <c r="I67" s="171">
        <f>I68+I69</f>
        <v>286820</v>
      </c>
      <c r="J67" s="171">
        <f>J68+J69</f>
        <v>290253.53000000003</v>
      </c>
      <c r="K67" s="171">
        <f t="shared" si="2"/>
        <v>101.19710271250261</v>
      </c>
      <c r="L67" s="128"/>
      <c r="M67" s="128"/>
      <c r="N67" s="128"/>
    </row>
    <row r="68" spans="1:14">
      <c r="A68" s="186" t="s">
        <v>102</v>
      </c>
      <c r="B68" s="186" t="s">
        <v>158</v>
      </c>
      <c r="C68" s="186" t="s">
        <v>240</v>
      </c>
      <c r="D68" s="189" t="s">
        <v>1615</v>
      </c>
      <c r="E68" s="186" t="s">
        <v>163</v>
      </c>
      <c r="F68" s="186" t="s">
        <v>161</v>
      </c>
      <c r="G68" s="186" t="s">
        <v>37</v>
      </c>
      <c r="H68" s="340" t="s">
        <v>1614</v>
      </c>
      <c r="I68" s="171">
        <f>1684700-1404000</f>
        <v>280700</v>
      </c>
      <c r="J68" s="171">
        <v>284134.25</v>
      </c>
      <c r="K68" s="171">
        <f t="shared" si="2"/>
        <v>101.22345920912007</v>
      </c>
      <c r="L68" s="128"/>
      <c r="M68" s="128"/>
      <c r="N68" s="128"/>
    </row>
    <row r="69" spans="1:14">
      <c r="A69" s="186" t="s">
        <v>102</v>
      </c>
      <c r="B69" s="186" t="s">
        <v>158</v>
      </c>
      <c r="C69" s="186" t="s">
        <v>240</v>
      </c>
      <c r="D69" s="189" t="s">
        <v>2071</v>
      </c>
      <c r="E69" s="186" t="s">
        <v>163</v>
      </c>
      <c r="F69" s="186" t="s">
        <v>161</v>
      </c>
      <c r="G69" s="186" t="s">
        <v>37</v>
      </c>
      <c r="H69" s="385" t="s">
        <v>2072</v>
      </c>
      <c r="I69" s="171">
        <v>6120</v>
      </c>
      <c r="J69" s="171">
        <v>6119.28</v>
      </c>
      <c r="K69" s="171">
        <f t="shared" si="2"/>
        <v>99.988235294117644</v>
      </c>
      <c r="L69" s="128"/>
      <c r="M69" s="128"/>
      <c r="N69" s="128"/>
    </row>
    <row r="70" spans="1:14" ht="25.5">
      <c r="A70" s="186" t="s">
        <v>102</v>
      </c>
      <c r="B70" s="186" t="s">
        <v>158</v>
      </c>
      <c r="C70" s="186" t="s">
        <v>240</v>
      </c>
      <c r="D70" s="189" t="s">
        <v>2096</v>
      </c>
      <c r="E70" s="186" t="s">
        <v>163</v>
      </c>
      <c r="F70" s="186" t="s">
        <v>161</v>
      </c>
      <c r="G70" s="186" t="s">
        <v>37</v>
      </c>
      <c r="H70" s="9" t="s">
        <v>1177</v>
      </c>
      <c r="I70" s="171">
        <v>0</v>
      </c>
      <c r="J70" s="171">
        <v>1956.65</v>
      </c>
      <c r="K70" s="171"/>
      <c r="L70" s="128"/>
      <c r="M70" s="128"/>
      <c r="N70" s="128"/>
    </row>
    <row r="71" spans="1:14" ht="25.5">
      <c r="A71" s="185" t="s">
        <v>196</v>
      </c>
      <c r="B71" s="185" t="s">
        <v>158</v>
      </c>
      <c r="C71" s="185" t="s">
        <v>97</v>
      </c>
      <c r="D71" s="188" t="s">
        <v>160</v>
      </c>
      <c r="E71" s="185" t="s">
        <v>159</v>
      </c>
      <c r="F71" s="185" t="s">
        <v>161</v>
      </c>
      <c r="G71" s="185" t="s">
        <v>196</v>
      </c>
      <c r="H71" s="184" t="s">
        <v>1264</v>
      </c>
      <c r="I71" s="170">
        <f>I74+I78</f>
        <v>29530411.470000003</v>
      </c>
      <c r="J71" s="170">
        <f>J74+J78</f>
        <v>29917950.93</v>
      </c>
      <c r="K71" s="170">
        <f t="shared" si="2"/>
        <v>101.31234019679576</v>
      </c>
    </row>
    <row r="72" spans="1:14">
      <c r="A72" s="185" t="s">
        <v>196</v>
      </c>
      <c r="B72" s="185" t="s">
        <v>158</v>
      </c>
      <c r="C72" s="185" t="s">
        <v>97</v>
      </c>
      <c r="D72" s="188" t="s">
        <v>164</v>
      </c>
      <c r="E72" s="185" t="s">
        <v>159</v>
      </c>
      <c r="F72" s="185" t="s">
        <v>161</v>
      </c>
      <c r="G72" s="185" t="s">
        <v>98</v>
      </c>
      <c r="H72" s="184" t="s">
        <v>1265</v>
      </c>
      <c r="I72" s="170">
        <f t="shared" ref="I72:J73" si="25">I73</f>
        <v>28302545.530000001</v>
      </c>
      <c r="J72" s="170">
        <f t="shared" si="25"/>
        <v>28656916.969999999</v>
      </c>
      <c r="K72" s="170">
        <f t="shared" si="2"/>
        <v>101.25208327860253</v>
      </c>
    </row>
    <row r="73" spans="1:14">
      <c r="A73" s="185" t="s">
        <v>196</v>
      </c>
      <c r="B73" s="185" t="s">
        <v>158</v>
      </c>
      <c r="C73" s="185" t="s">
        <v>97</v>
      </c>
      <c r="D73" s="188" t="s">
        <v>1267</v>
      </c>
      <c r="E73" s="185" t="s">
        <v>159</v>
      </c>
      <c r="F73" s="185" t="s">
        <v>161</v>
      </c>
      <c r="G73" s="185" t="s">
        <v>98</v>
      </c>
      <c r="H73" s="184" t="s">
        <v>1266</v>
      </c>
      <c r="I73" s="170">
        <f t="shared" si="25"/>
        <v>28302545.530000001</v>
      </c>
      <c r="J73" s="170">
        <f t="shared" si="25"/>
        <v>28656916.969999999</v>
      </c>
      <c r="K73" s="170">
        <f t="shared" si="2"/>
        <v>101.25208327860253</v>
      </c>
    </row>
    <row r="74" spans="1:14" ht="25.5">
      <c r="A74" s="185" t="s">
        <v>196</v>
      </c>
      <c r="B74" s="185" t="s">
        <v>158</v>
      </c>
      <c r="C74" s="185" t="s">
        <v>97</v>
      </c>
      <c r="D74" s="188" t="s">
        <v>289</v>
      </c>
      <c r="E74" s="185" t="s">
        <v>271</v>
      </c>
      <c r="F74" s="185" t="s">
        <v>161</v>
      </c>
      <c r="G74" s="185" t="s">
        <v>98</v>
      </c>
      <c r="H74" s="184" t="s">
        <v>764</v>
      </c>
      <c r="I74" s="170">
        <f>I76+I77+I75</f>
        <v>28302545.530000001</v>
      </c>
      <c r="J74" s="170">
        <f>J76+J77+J75</f>
        <v>28656916.969999999</v>
      </c>
      <c r="K74" s="170">
        <f t="shared" ref="K74:K129" si="26">J74/I74*100</f>
        <v>101.25208327860253</v>
      </c>
    </row>
    <row r="75" spans="1:14" ht="25.5">
      <c r="A75" s="186" t="s">
        <v>1080</v>
      </c>
      <c r="B75" s="186" t="s">
        <v>158</v>
      </c>
      <c r="C75" s="186" t="s">
        <v>97</v>
      </c>
      <c r="D75" s="189" t="s">
        <v>289</v>
      </c>
      <c r="E75" s="186" t="s">
        <v>271</v>
      </c>
      <c r="F75" s="186" t="s">
        <v>161</v>
      </c>
      <c r="G75" s="186" t="s">
        <v>98</v>
      </c>
      <c r="H75" s="9" t="s">
        <v>288</v>
      </c>
      <c r="I75" s="171">
        <f>4545700-1205154.47</f>
        <v>3340545.5300000003</v>
      </c>
      <c r="J75" s="171">
        <v>2777155.02</v>
      </c>
      <c r="K75" s="171">
        <f t="shared" si="26"/>
        <v>83.134775295219512</v>
      </c>
    </row>
    <row r="76" spans="1:14" ht="25.5">
      <c r="A76" s="186" t="s">
        <v>248</v>
      </c>
      <c r="B76" s="186" t="s">
        <v>158</v>
      </c>
      <c r="C76" s="186" t="s">
        <v>97</v>
      </c>
      <c r="D76" s="189" t="s">
        <v>289</v>
      </c>
      <c r="E76" s="186" t="s">
        <v>271</v>
      </c>
      <c r="F76" s="186" t="s">
        <v>8</v>
      </c>
      <c r="G76" s="186" t="s">
        <v>98</v>
      </c>
      <c r="H76" s="9" t="s">
        <v>288</v>
      </c>
      <c r="I76" s="169">
        <f>25630000-5453000</f>
        <v>20177000</v>
      </c>
      <c r="J76" s="169">
        <v>21048398.199999999</v>
      </c>
      <c r="K76" s="171">
        <f t="shared" si="26"/>
        <v>104.31876988650444</v>
      </c>
    </row>
    <row r="77" spans="1:14" ht="38.25">
      <c r="A77" s="186" t="s">
        <v>248</v>
      </c>
      <c r="B77" s="186" t="s">
        <v>158</v>
      </c>
      <c r="C77" s="186" t="s">
        <v>97</v>
      </c>
      <c r="D77" s="189" t="s">
        <v>289</v>
      </c>
      <c r="E77" s="186" t="s">
        <v>271</v>
      </c>
      <c r="F77" s="186" t="s">
        <v>304</v>
      </c>
      <c r="G77" s="186" t="s">
        <v>98</v>
      </c>
      <c r="H77" s="9" t="s">
        <v>12</v>
      </c>
      <c r="I77" s="169">
        <v>4785000</v>
      </c>
      <c r="J77" s="169">
        <v>4831363.75</v>
      </c>
      <c r="K77" s="171">
        <f t="shared" si="26"/>
        <v>100.96893939393938</v>
      </c>
    </row>
    <row r="78" spans="1:14">
      <c r="A78" s="186" t="s">
        <v>196</v>
      </c>
      <c r="B78" s="186" t="s">
        <v>158</v>
      </c>
      <c r="C78" s="186" t="s">
        <v>97</v>
      </c>
      <c r="D78" s="189" t="s">
        <v>268</v>
      </c>
      <c r="E78" s="186" t="s">
        <v>159</v>
      </c>
      <c r="F78" s="186" t="s">
        <v>161</v>
      </c>
      <c r="G78" s="186" t="s">
        <v>98</v>
      </c>
      <c r="H78" s="184" t="s">
        <v>1268</v>
      </c>
      <c r="I78" s="168">
        <f>I79+I82</f>
        <v>1227865.94</v>
      </c>
      <c r="J78" s="168">
        <f>J79+J82</f>
        <v>1261033.96</v>
      </c>
      <c r="K78" s="170">
        <f t="shared" si="26"/>
        <v>102.70127372374218</v>
      </c>
    </row>
    <row r="79" spans="1:14" ht="25.5">
      <c r="A79" s="186" t="s">
        <v>196</v>
      </c>
      <c r="B79" s="186" t="s">
        <v>158</v>
      </c>
      <c r="C79" s="186" t="s">
        <v>97</v>
      </c>
      <c r="D79" s="189" t="s">
        <v>1270</v>
      </c>
      <c r="E79" s="186" t="s">
        <v>159</v>
      </c>
      <c r="F79" s="186" t="s">
        <v>161</v>
      </c>
      <c r="G79" s="186" t="s">
        <v>98</v>
      </c>
      <c r="H79" s="184" t="s">
        <v>1269</v>
      </c>
      <c r="I79" s="168">
        <f t="shared" ref="I79:J80" si="27">I80</f>
        <v>1085286</v>
      </c>
      <c r="J79" s="168">
        <f t="shared" si="27"/>
        <v>1085284.55</v>
      </c>
      <c r="K79" s="170">
        <f t="shared" si="26"/>
        <v>99.999866394664636</v>
      </c>
    </row>
    <row r="80" spans="1:14" ht="38.25">
      <c r="A80" s="185" t="s">
        <v>5</v>
      </c>
      <c r="B80" s="185" t="s">
        <v>158</v>
      </c>
      <c r="C80" s="185" t="s">
        <v>97</v>
      </c>
      <c r="D80" s="188" t="s">
        <v>639</v>
      </c>
      <c r="E80" s="185" t="s">
        <v>271</v>
      </c>
      <c r="F80" s="185" t="s">
        <v>161</v>
      </c>
      <c r="G80" s="185" t="s">
        <v>98</v>
      </c>
      <c r="H80" s="184" t="s">
        <v>638</v>
      </c>
      <c r="I80" s="168">
        <f t="shared" si="27"/>
        <v>1085286</v>
      </c>
      <c r="J80" s="168">
        <f t="shared" si="27"/>
        <v>1085284.55</v>
      </c>
      <c r="K80" s="170">
        <f t="shared" si="26"/>
        <v>99.999866394664636</v>
      </c>
    </row>
    <row r="81" spans="1:11" ht="25.5">
      <c r="A81" s="186" t="s">
        <v>5</v>
      </c>
      <c r="B81" s="186" t="s">
        <v>158</v>
      </c>
      <c r="C81" s="186" t="s">
        <v>97</v>
      </c>
      <c r="D81" s="189" t="s">
        <v>639</v>
      </c>
      <c r="E81" s="186" t="s">
        <v>271</v>
      </c>
      <c r="F81" s="186" t="s">
        <v>640</v>
      </c>
      <c r="G81" s="186" t="s">
        <v>98</v>
      </c>
      <c r="H81" s="9" t="s">
        <v>638</v>
      </c>
      <c r="I81" s="169">
        <f>1339286-254000</f>
        <v>1085286</v>
      </c>
      <c r="J81" s="169">
        <v>1085284.55</v>
      </c>
      <c r="K81" s="171">
        <f t="shared" si="26"/>
        <v>99.999866394664636</v>
      </c>
    </row>
    <row r="82" spans="1:11">
      <c r="A82" s="185" t="s">
        <v>196</v>
      </c>
      <c r="B82" s="185" t="s">
        <v>158</v>
      </c>
      <c r="C82" s="185" t="s">
        <v>97</v>
      </c>
      <c r="D82" s="188" t="s">
        <v>1575</v>
      </c>
      <c r="E82" s="185" t="s">
        <v>159</v>
      </c>
      <c r="F82" s="185" t="s">
        <v>161</v>
      </c>
      <c r="G82" s="185" t="s">
        <v>98</v>
      </c>
      <c r="H82" s="184" t="s">
        <v>369</v>
      </c>
      <c r="I82" s="168">
        <f>I83</f>
        <v>142579.94</v>
      </c>
      <c r="J82" s="168">
        <f>J83</f>
        <v>175749.41</v>
      </c>
      <c r="K82" s="170">
        <f t="shared" si="26"/>
        <v>123.26377048552553</v>
      </c>
    </row>
    <row r="83" spans="1:11" ht="29.25" customHeight="1">
      <c r="A83" s="185" t="s">
        <v>196</v>
      </c>
      <c r="B83" s="185" t="s">
        <v>158</v>
      </c>
      <c r="C83" s="185" t="s">
        <v>97</v>
      </c>
      <c r="D83" s="188" t="s">
        <v>1576</v>
      </c>
      <c r="E83" s="185" t="s">
        <v>271</v>
      </c>
      <c r="F83" s="185" t="s">
        <v>161</v>
      </c>
      <c r="G83" s="185" t="s">
        <v>98</v>
      </c>
      <c r="H83" s="184" t="s">
        <v>1573</v>
      </c>
      <c r="I83" s="168">
        <f>SUM(I84:I87)</f>
        <v>142579.94</v>
      </c>
      <c r="J83" s="168">
        <f>SUM(J84:J87)</f>
        <v>175749.41</v>
      </c>
      <c r="K83" s="170">
        <f t="shared" si="26"/>
        <v>123.26377048552553</v>
      </c>
    </row>
    <row r="84" spans="1:11" ht="13.5" customHeight="1">
      <c r="A84" s="186" t="s">
        <v>214</v>
      </c>
      <c r="B84" s="186" t="s">
        <v>158</v>
      </c>
      <c r="C84" s="186" t="s">
        <v>97</v>
      </c>
      <c r="D84" s="189" t="s">
        <v>1576</v>
      </c>
      <c r="E84" s="186" t="s">
        <v>271</v>
      </c>
      <c r="F84" s="186" t="s">
        <v>161</v>
      </c>
      <c r="G84" s="186" t="s">
        <v>98</v>
      </c>
      <c r="H84" s="9" t="s">
        <v>1573</v>
      </c>
      <c r="I84" s="169">
        <v>7625.13</v>
      </c>
      <c r="J84" s="169">
        <v>7625.13</v>
      </c>
      <c r="K84" s="171">
        <f t="shared" si="26"/>
        <v>100</v>
      </c>
    </row>
    <row r="85" spans="1:11" ht="12" customHeight="1">
      <c r="A85" s="186" t="s">
        <v>5</v>
      </c>
      <c r="B85" s="186" t="s">
        <v>158</v>
      </c>
      <c r="C85" s="186" t="s">
        <v>97</v>
      </c>
      <c r="D85" s="189" t="s">
        <v>1576</v>
      </c>
      <c r="E85" s="186" t="s">
        <v>271</v>
      </c>
      <c r="F85" s="186" t="s">
        <v>161</v>
      </c>
      <c r="G85" s="186" t="s">
        <v>98</v>
      </c>
      <c r="H85" s="9" t="s">
        <v>1573</v>
      </c>
      <c r="I85" s="169">
        <v>134754.81</v>
      </c>
      <c r="J85" s="169">
        <v>134754.81</v>
      </c>
      <c r="K85" s="171">
        <f t="shared" si="26"/>
        <v>100</v>
      </c>
    </row>
    <row r="86" spans="1:11" ht="12" customHeight="1">
      <c r="A86" s="186" t="s">
        <v>248</v>
      </c>
      <c r="B86" s="186" t="s">
        <v>158</v>
      </c>
      <c r="C86" s="186" t="s">
        <v>97</v>
      </c>
      <c r="D86" s="189" t="s">
        <v>1576</v>
      </c>
      <c r="E86" s="186" t="s">
        <v>271</v>
      </c>
      <c r="F86" s="186" t="s">
        <v>161</v>
      </c>
      <c r="G86" s="186" t="s">
        <v>98</v>
      </c>
      <c r="H86" s="9" t="s">
        <v>1573</v>
      </c>
      <c r="I86" s="169">
        <v>0</v>
      </c>
      <c r="J86" s="169">
        <v>33169.47</v>
      </c>
      <c r="K86" s="171"/>
    </row>
    <row r="87" spans="1:11" ht="13.5" customHeight="1">
      <c r="A87" s="186" t="s">
        <v>1080</v>
      </c>
      <c r="B87" s="186" t="s">
        <v>158</v>
      </c>
      <c r="C87" s="186" t="s">
        <v>97</v>
      </c>
      <c r="D87" s="189" t="s">
        <v>1576</v>
      </c>
      <c r="E87" s="186" t="s">
        <v>271</v>
      </c>
      <c r="F87" s="186" t="s">
        <v>161</v>
      </c>
      <c r="G87" s="186" t="s">
        <v>98</v>
      </c>
      <c r="H87" s="9" t="s">
        <v>1573</v>
      </c>
      <c r="I87" s="325">
        <v>200</v>
      </c>
      <c r="J87" s="169">
        <v>200</v>
      </c>
      <c r="K87" s="171">
        <f t="shared" si="26"/>
        <v>100</v>
      </c>
    </row>
    <row r="88" spans="1:11" ht="25.5">
      <c r="A88" s="185" t="s">
        <v>89</v>
      </c>
      <c r="B88" s="185" t="s">
        <v>158</v>
      </c>
      <c r="C88" s="185" t="s">
        <v>99</v>
      </c>
      <c r="D88" s="188" t="s">
        <v>160</v>
      </c>
      <c r="E88" s="185" t="s">
        <v>159</v>
      </c>
      <c r="F88" s="185" t="s">
        <v>161</v>
      </c>
      <c r="G88" s="185" t="s">
        <v>196</v>
      </c>
      <c r="H88" s="184" t="s">
        <v>154</v>
      </c>
      <c r="I88" s="170">
        <f>I89</f>
        <v>3309100</v>
      </c>
      <c r="J88" s="170">
        <f>J89</f>
        <v>5129424.8499999996</v>
      </c>
      <c r="K88" s="170">
        <f t="shared" si="26"/>
        <v>155.00966577014896</v>
      </c>
    </row>
    <row r="89" spans="1:11" ht="25.5">
      <c r="A89" s="185" t="s">
        <v>89</v>
      </c>
      <c r="B89" s="185" t="s">
        <v>158</v>
      </c>
      <c r="C89" s="185" t="s">
        <v>99</v>
      </c>
      <c r="D89" s="188" t="s">
        <v>273</v>
      </c>
      <c r="E89" s="185" t="s">
        <v>159</v>
      </c>
      <c r="F89" s="185" t="s">
        <v>161</v>
      </c>
      <c r="G89" s="185" t="s">
        <v>1</v>
      </c>
      <c r="H89" s="184" t="s">
        <v>1271</v>
      </c>
      <c r="I89" s="170">
        <f>I90</f>
        <v>3309100</v>
      </c>
      <c r="J89" s="170">
        <f>J90</f>
        <v>5129424.8499999996</v>
      </c>
      <c r="K89" s="170">
        <f t="shared" si="26"/>
        <v>155.00966577014896</v>
      </c>
    </row>
    <row r="90" spans="1:11" ht="25.5">
      <c r="A90" s="185" t="s">
        <v>89</v>
      </c>
      <c r="B90" s="185" t="s">
        <v>158</v>
      </c>
      <c r="C90" s="185" t="s">
        <v>99</v>
      </c>
      <c r="D90" s="188" t="s">
        <v>259</v>
      </c>
      <c r="E90" s="185" t="s">
        <v>159</v>
      </c>
      <c r="F90" s="185" t="s">
        <v>161</v>
      </c>
      <c r="G90" s="185" t="s">
        <v>1</v>
      </c>
      <c r="H90" s="184" t="s">
        <v>1272</v>
      </c>
      <c r="I90" s="170">
        <f t="shared" ref="I90:J90" si="28">+I91</f>
        <v>3309100</v>
      </c>
      <c r="J90" s="170">
        <f t="shared" si="28"/>
        <v>5129424.8499999996</v>
      </c>
      <c r="K90" s="170">
        <f t="shared" si="26"/>
        <v>155.00966577014896</v>
      </c>
    </row>
    <row r="91" spans="1:11" ht="51">
      <c r="A91" s="186" t="s">
        <v>89</v>
      </c>
      <c r="B91" s="186" t="s">
        <v>158</v>
      </c>
      <c r="C91" s="186" t="s">
        <v>99</v>
      </c>
      <c r="D91" s="189" t="s">
        <v>297</v>
      </c>
      <c r="E91" s="186" t="s">
        <v>271</v>
      </c>
      <c r="F91" s="186" t="s">
        <v>161</v>
      </c>
      <c r="G91" s="186" t="s">
        <v>1</v>
      </c>
      <c r="H91" s="191" t="s">
        <v>1467</v>
      </c>
      <c r="I91" s="171">
        <f>1198100+2111000</f>
        <v>3309100</v>
      </c>
      <c r="J91" s="171">
        <v>5129424.8499999996</v>
      </c>
      <c r="K91" s="171">
        <f t="shared" si="26"/>
        <v>155.00966577014896</v>
      </c>
    </row>
    <row r="92" spans="1:11">
      <c r="A92" s="185" t="s">
        <v>196</v>
      </c>
      <c r="B92" s="185" t="s">
        <v>158</v>
      </c>
      <c r="C92" s="185" t="s">
        <v>156</v>
      </c>
      <c r="D92" s="188" t="s">
        <v>160</v>
      </c>
      <c r="E92" s="185" t="s">
        <v>159</v>
      </c>
      <c r="F92" s="185" t="s">
        <v>161</v>
      </c>
      <c r="G92" s="185" t="s">
        <v>196</v>
      </c>
      <c r="H92" s="184" t="s">
        <v>2</v>
      </c>
      <c r="I92" s="170">
        <f>I93+I96+I102+I109+I112+I114+I120+I124+I130+I131+I100+I116</f>
        <v>9338244.5299999993</v>
      </c>
      <c r="J92" s="170">
        <f>J93+J96+J102+J109+J112+J114+J120+J124+J130+J131+J100+J116</f>
        <v>9461828.5499999989</v>
      </c>
      <c r="K92" s="170">
        <f t="shared" si="26"/>
        <v>101.32341811785903</v>
      </c>
    </row>
    <row r="93" spans="1:11" ht="25.5">
      <c r="A93" s="185" t="s">
        <v>162</v>
      </c>
      <c r="B93" s="185" t="s">
        <v>158</v>
      </c>
      <c r="C93" s="185" t="s">
        <v>156</v>
      </c>
      <c r="D93" s="188" t="s">
        <v>41</v>
      </c>
      <c r="E93" s="185" t="s">
        <v>159</v>
      </c>
      <c r="F93" s="185" t="s">
        <v>161</v>
      </c>
      <c r="G93" s="185" t="s">
        <v>157</v>
      </c>
      <c r="H93" s="184" t="s">
        <v>1273</v>
      </c>
      <c r="I93" s="170">
        <f t="shared" ref="I93:J93" si="29">SUM(I94:I95)</f>
        <v>8628.33</v>
      </c>
      <c r="J93" s="170">
        <f t="shared" si="29"/>
        <v>8677.11</v>
      </c>
      <c r="K93" s="170">
        <f t="shared" si="26"/>
        <v>100.56534694431021</v>
      </c>
    </row>
    <row r="94" spans="1:11" ht="51">
      <c r="A94" s="200" t="s">
        <v>162</v>
      </c>
      <c r="B94" s="200" t="s">
        <v>158</v>
      </c>
      <c r="C94" s="200" t="s">
        <v>156</v>
      </c>
      <c r="D94" s="201" t="s">
        <v>246</v>
      </c>
      <c r="E94" s="200" t="s">
        <v>163</v>
      </c>
      <c r="F94" s="200" t="s">
        <v>161</v>
      </c>
      <c r="G94" s="200" t="s">
        <v>157</v>
      </c>
      <c r="H94" s="9" t="s">
        <v>1274</v>
      </c>
      <c r="I94" s="171">
        <v>4000</v>
      </c>
      <c r="J94" s="171">
        <v>3798.78</v>
      </c>
      <c r="K94" s="171">
        <f t="shared" si="26"/>
        <v>94.969500000000011</v>
      </c>
    </row>
    <row r="95" spans="1:11" ht="38.25">
      <c r="A95" s="186" t="s">
        <v>162</v>
      </c>
      <c r="B95" s="186" t="s">
        <v>158</v>
      </c>
      <c r="C95" s="186" t="s">
        <v>156</v>
      </c>
      <c r="D95" s="189" t="s">
        <v>69</v>
      </c>
      <c r="E95" s="186" t="s">
        <v>163</v>
      </c>
      <c r="F95" s="186" t="s">
        <v>161</v>
      </c>
      <c r="G95" s="186" t="s">
        <v>157</v>
      </c>
      <c r="H95" s="9" t="s">
        <v>13</v>
      </c>
      <c r="I95" s="171">
        <v>4628.33</v>
      </c>
      <c r="J95" s="171">
        <v>4878.33</v>
      </c>
      <c r="K95" s="171">
        <f t="shared" si="26"/>
        <v>105.40151631365957</v>
      </c>
    </row>
    <row r="96" spans="1:11" ht="51">
      <c r="A96" s="185" t="s">
        <v>196</v>
      </c>
      <c r="B96" s="185" t="s">
        <v>158</v>
      </c>
      <c r="C96" s="185" t="s">
        <v>156</v>
      </c>
      <c r="D96" s="188" t="s">
        <v>1275</v>
      </c>
      <c r="E96" s="185" t="s">
        <v>163</v>
      </c>
      <c r="F96" s="185" t="s">
        <v>161</v>
      </c>
      <c r="G96" s="185" t="s">
        <v>157</v>
      </c>
      <c r="H96" s="184" t="s">
        <v>650</v>
      </c>
      <c r="I96" s="170">
        <f>I98+I99+I97</f>
        <v>613000</v>
      </c>
      <c r="J96" s="170">
        <f>J98+J99+J97</f>
        <v>613000</v>
      </c>
      <c r="K96" s="170">
        <f t="shared" si="26"/>
        <v>100</v>
      </c>
    </row>
    <row r="97" spans="1:11" ht="51">
      <c r="A97" s="200" t="s">
        <v>2098</v>
      </c>
      <c r="B97" s="200" t="s">
        <v>158</v>
      </c>
      <c r="C97" s="200" t="s">
        <v>156</v>
      </c>
      <c r="D97" s="201" t="s">
        <v>750</v>
      </c>
      <c r="E97" s="200" t="s">
        <v>163</v>
      </c>
      <c r="F97" s="200" t="s">
        <v>161</v>
      </c>
      <c r="G97" s="200" t="s">
        <v>157</v>
      </c>
      <c r="H97" s="9" t="s">
        <v>650</v>
      </c>
      <c r="I97" s="171">
        <v>20000</v>
      </c>
      <c r="J97" s="171">
        <v>20000</v>
      </c>
      <c r="K97" s="171">
        <f t="shared" si="26"/>
        <v>100</v>
      </c>
    </row>
    <row r="98" spans="1:11" ht="51">
      <c r="A98" s="200" t="s">
        <v>2097</v>
      </c>
      <c r="B98" s="200" t="s">
        <v>158</v>
      </c>
      <c r="C98" s="200" t="s">
        <v>156</v>
      </c>
      <c r="D98" s="201" t="s">
        <v>750</v>
      </c>
      <c r="E98" s="200" t="s">
        <v>163</v>
      </c>
      <c r="F98" s="200" t="s">
        <v>161</v>
      </c>
      <c r="G98" s="200" t="s">
        <v>157</v>
      </c>
      <c r="H98" s="9" t="s">
        <v>650</v>
      </c>
      <c r="I98" s="171">
        <v>588000</v>
      </c>
      <c r="J98" s="171">
        <v>590000</v>
      </c>
      <c r="K98" s="171">
        <f t="shared" si="26"/>
        <v>100.34013605442176</v>
      </c>
    </row>
    <row r="99" spans="1:11" ht="51">
      <c r="A99" s="200" t="s">
        <v>2098</v>
      </c>
      <c r="B99" s="200" t="s">
        <v>158</v>
      </c>
      <c r="C99" s="200" t="s">
        <v>156</v>
      </c>
      <c r="D99" s="201" t="s">
        <v>1635</v>
      </c>
      <c r="E99" s="200" t="s">
        <v>163</v>
      </c>
      <c r="F99" s="200" t="s">
        <v>161</v>
      </c>
      <c r="G99" s="200" t="s">
        <v>157</v>
      </c>
      <c r="H99" s="9" t="s">
        <v>1634</v>
      </c>
      <c r="I99" s="171">
        <v>5000</v>
      </c>
      <c r="J99" s="171">
        <v>3000</v>
      </c>
      <c r="K99" s="171">
        <f t="shared" si="26"/>
        <v>60</v>
      </c>
    </row>
    <row r="100" spans="1:11" ht="44.25" customHeight="1">
      <c r="A100" s="299" t="s">
        <v>196</v>
      </c>
      <c r="B100" s="299" t="s">
        <v>158</v>
      </c>
      <c r="C100" s="299" t="s">
        <v>156</v>
      </c>
      <c r="D100" s="300" t="s">
        <v>2075</v>
      </c>
      <c r="E100" s="299" t="s">
        <v>159</v>
      </c>
      <c r="F100" s="299" t="s">
        <v>161</v>
      </c>
      <c r="G100" s="299" t="s">
        <v>157</v>
      </c>
      <c r="H100" s="184" t="s">
        <v>2073</v>
      </c>
      <c r="I100" s="170">
        <f>I101</f>
        <v>19035.2</v>
      </c>
      <c r="J100" s="170">
        <f>J101</f>
        <v>19035.2</v>
      </c>
      <c r="K100" s="170">
        <f t="shared" si="26"/>
        <v>100</v>
      </c>
    </row>
    <row r="101" spans="1:11" ht="41.25" customHeight="1">
      <c r="A101" s="200" t="s">
        <v>248</v>
      </c>
      <c r="B101" s="200" t="s">
        <v>158</v>
      </c>
      <c r="C101" s="200" t="s">
        <v>156</v>
      </c>
      <c r="D101" s="201" t="s">
        <v>2074</v>
      </c>
      <c r="E101" s="200" t="s">
        <v>271</v>
      </c>
      <c r="F101" s="200" t="s">
        <v>161</v>
      </c>
      <c r="G101" s="200" t="s">
        <v>157</v>
      </c>
      <c r="H101" s="9" t="s">
        <v>651</v>
      </c>
      <c r="I101" s="171">
        <v>19035.2</v>
      </c>
      <c r="J101" s="171">
        <v>19035.2</v>
      </c>
      <c r="K101" s="171">
        <f t="shared" si="26"/>
        <v>100</v>
      </c>
    </row>
    <row r="102" spans="1:11" ht="89.25">
      <c r="A102" s="299" t="s">
        <v>196</v>
      </c>
      <c r="B102" s="299" t="s">
        <v>158</v>
      </c>
      <c r="C102" s="299" t="s">
        <v>156</v>
      </c>
      <c r="D102" s="300" t="s">
        <v>1277</v>
      </c>
      <c r="E102" s="299" t="s">
        <v>159</v>
      </c>
      <c r="F102" s="299" t="s">
        <v>161</v>
      </c>
      <c r="G102" s="299" t="s">
        <v>157</v>
      </c>
      <c r="H102" s="184" t="s">
        <v>1276</v>
      </c>
      <c r="I102" s="170">
        <f>+I103+I104+I105+I107</f>
        <v>2080000</v>
      </c>
      <c r="J102" s="170">
        <f>+J103+J104+J105+J107</f>
        <v>2089798.04</v>
      </c>
      <c r="K102" s="170">
        <f t="shared" si="26"/>
        <v>100.47105961538463</v>
      </c>
    </row>
    <row r="103" spans="1:11" ht="25.5">
      <c r="A103" s="186" t="s">
        <v>2098</v>
      </c>
      <c r="B103" s="186" t="s">
        <v>158</v>
      </c>
      <c r="C103" s="186" t="s">
        <v>156</v>
      </c>
      <c r="D103" s="189" t="s">
        <v>641</v>
      </c>
      <c r="E103" s="186" t="s">
        <v>163</v>
      </c>
      <c r="F103" s="186" t="s">
        <v>161</v>
      </c>
      <c r="G103" s="186" t="s">
        <v>157</v>
      </c>
      <c r="H103" s="9" t="s">
        <v>380</v>
      </c>
      <c r="I103" s="171">
        <f>200000-190000</f>
        <v>10000</v>
      </c>
      <c r="J103" s="171">
        <v>10000</v>
      </c>
      <c r="K103" s="171">
        <f t="shared" si="26"/>
        <v>100</v>
      </c>
    </row>
    <row r="104" spans="1:11" ht="25.5">
      <c r="A104" s="200" t="s">
        <v>468</v>
      </c>
      <c r="B104" s="200" t="s">
        <v>158</v>
      </c>
      <c r="C104" s="200" t="s">
        <v>156</v>
      </c>
      <c r="D104" s="201" t="s">
        <v>752</v>
      </c>
      <c r="E104" s="200" t="s">
        <v>163</v>
      </c>
      <c r="F104" s="200" t="s">
        <v>161</v>
      </c>
      <c r="G104" s="200" t="s">
        <v>157</v>
      </c>
      <c r="H104" s="9" t="s">
        <v>751</v>
      </c>
      <c r="I104" s="171">
        <f>150000+470000</f>
        <v>620000</v>
      </c>
      <c r="J104" s="171">
        <v>620000</v>
      </c>
      <c r="K104" s="171">
        <f t="shared" si="26"/>
        <v>100</v>
      </c>
    </row>
    <row r="105" spans="1:11" ht="21.75" customHeight="1">
      <c r="A105" s="299" t="s">
        <v>196</v>
      </c>
      <c r="B105" s="299" t="s">
        <v>158</v>
      </c>
      <c r="C105" s="299" t="s">
        <v>156</v>
      </c>
      <c r="D105" s="300" t="s">
        <v>1637</v>
      </c>
      <c r="E105" s="299" t="s">
        <v>159</v>
      </c>
      <c r="F105" s="299" t="s">
        <v>161</v>
      </c>
      <c r="G105" s="299" t="s">
        <v>157</v>
      </c>
      <c r="H105" s="184" t="s">
        <v>1636</v>
      </c>
      <c r="I105" s="170">
        <f>I106</f>
        <v>1400000</v>
      </c>
      <c r="J105" s="170">
        <f t="shared" ref="J105" si="30">J106</f>
        <v>1409798.04</v>
      </c>
      <c r="K105" s="170">
        <f t="shared" si="26"/>
        <v>100.69986</v>
      </c>
    </row>
    <row r="106" spans="1:11" ht="29.25" customHeight="1">
      <c r="A106" s="200" t="s">
        <v>2097</v>
      </c>
      <c r="B106" s="200" t="s">
        <v>158</v>
      </c>
      <c r="C106" s="200" t="s">
        <v>156</v>
      </c>
      <c r="D106" s="201" t="s">
        <v>1639</v>
      </c>
      <c r="E106" s="200" t="s">
        <v>271</v>
      </c>
      <c r="F106" s="200" t="s">
        <v>161</v>
      </c>
      <c r="G106" s="200" t="s">
        <v>157</v>
      </c>
      <c r="H106" s="9" t="s">
        <v>1638</v>
      </c>
      <c r="I106" s="171">
        <f>300000+1100000</f>
        <v>1400000</v>
      </c>
      <c r="J106" s="171">
        <v>1409798.04</v>
      </c>
      <c r="K106" s="171">
        <f t="shared" si="26"/>
        <v>100.69986</v>
      </c>
    </row>
    <row r="107" spans="1:11" ht="21.75" customHeight="1">
      <c r="A107" s="299" t="s">
        <v>196</v>
      </c>
      <c r="B107" s="299" t="s">
        <v>158</v>
      </c>
      <c r="C107" s="299" t="s">
        <v>156</v>
      </c>
      <c r="D107" s="300" t="s">
        <v>1641</v>
      </c>
      <c r="E107" s="299" t="s">
        <v>159</v>
      </c>
      <c r="F107" s="299" t="s">
        <v>161</v>
      </c>
      <c r="G107" s="299" t="s">
        <v>157</v>
      </c>
      <c r="H107" s="184" t="s">
        <v>1640</v>
      </c>
      <c r="I107" s="170">
        <f>I108</f>
        <v>50000</v>
      </c>
      <c r="J107" s="170">
        <f t="shared" ref="J107" si="31">J108</f>
        <v>50000</v>
      </c>
      <c r="K107" s="170">
        <f t="shared" si="26"/>
        <v>100</v>
      </c>
    </row>
    <row r="108" spans="1:11" ht="39.75" customHeight="1">
      <c r="A108" s="200" t="s">
        <v>2098</v>
      </c>
      <c r="B108" s="200" t="s">
        <v>158</v>
      </c>
      <c r="C108" s="200" t="s">
        <v>156</v>
      </c>
      <c r="D108" s="201" t="s">
        <v>1643</v>
      </c>
      <c r="E108" s="200" t="s">
        <v>271</v>
      </c>
      <c r="F108" s="200" t="s">
        <v>161</v>
      </c>
      <c r="G108" s="200" t="s">
        <v>157</v>
      </c>
      <c r="H108" s="9" t="s">
        <v>1642</v>
      </c>
      <c r="I108" s="171">
        <f>10000+40000</f>
        <v>50000</v>
      </c>
      <c r="J108" s="171">
        <v>50000</v>
      </c>
      <c r="K108" s="171">
        <f t="shared" si="26"/>
        <v>100</v>
      </c>
    </row>
    <row r="109" spans="1:11" ht="51">
      <c r="A109" s="185" t="s">
        <v>196</v>
      </c>
      <c r="B109" s="185" t="s">
        <v>158</v>
      </c>
      <c r="C109" s="185" t="s">
        <v>156</v>
      </c>
      <c r="D109" s="188" t="s">
        <v>166</v>
      </c>
      <c r="E109" s="185" t="s">
        <v>163</v>
      </c>
      <c r="F109" s="185" t="s">
        <v>161</v>
      </c>
      <c r="G109" s="185" t="s">
        <v>157</v>
      </c>
      <c r="H109" s="326" t="s">
        <v>197</v>
      </c>
      <c r="I109" s="170">
        <f>SUM(I110:I111)</f>
        <v>1185000</v>
      </c>
      <c r="J109" s="170">
        <f>SUM(J110:J111)</f>
        <v>1237500</v>
      </c>
      <c r="K109" s="170">
        <f t="shared" si="26"/>
        <v>104.43037974683544</v>
      </c>
    </row>
    <row r="110" spans="1:11" ht="38.25">
      <c r="A110" s="186" t="s">
        <v>2098</v>
      </c>
      <c r="B110" s="186" t="s">
        <v>158</v>
      </c>
      <c r="C110" s="186" t="s">
        <v>156</v>
      </c>
      <c r="D110" s="189" t="s">
        <v>166</v>
      </c>
      <c r="E110" s="186" t="s">
        <v>163</v>
      </c>
      <c r="F110" s="186" t="s">
        <v>161</v>
      </c>
      <c r="G110" s="186" t="s">
        <v>157</v>
      </c>
      <c r="H110" s="54" t="s">
        <v>197</v>
      </c>
      <c r="I110" s="171">
        <v>1180000</v>
      </c>
      <c r="J110" s="171">
        <v>1231000</v>
      </c>
      <c r="K110" s="171">
        <f t="shared" si="26"/>
        <v>104.32203389830508</v>
      </c>
    </row>
    <row r="111" spans="1:11" ht="38.25">
      <c r="A111" s="186" t="s">
        <v>2097</v>
      </c>
      <c r="B111" s="186" t="s">
        <v>158</v>
      </c>
      <c r="C111" s="186" t="s">
        <v>156</v>
      </c>
      <c r="D111" s="189" t="s">
        <v>166</v>
      </c>
      <c r="E111" s="186" t="s">
        <v>163</v>
      </c>
      <c r="F111" s="186" t="s">
        <v>161</v>
      </c>
      <c r="G111" s="186" t="s">
        <v>157</v>
      </c>
      <c r="H111" s="54" t="s">
        <v>197</v>
      </c>
      <c r="I111" s="171">
        <v>5000</v>
      </c>
      <c r="J111" s="171">
        <v>6500</v>
      </c>
      <c r="K111" s="171">
        <f t="shared" si="26"/>
        <v>130</v>
      </c>
    </row>
    <row r="112" spans="1:11" ht="25.5">
      <c r="A112" s="185" t="s">
        <v>196</v>
      </c>
      <c r="B112" s="185" t="s">
        <v>158</v>
      </c>
      <c r="C112" s="185" t="s">
        <v>156</v>
      </c>
      <c r="D112" s="188" t="s">
        <v>1225</v>
      </c>
      <c r="E112" s="185" t="s">
        <v>163</v>
      </c>
      <c r="F112" s="185" t="s">
        <v>161</v>
      </c>
      <c r="G112" s="185" t="s">
        <v>157</v>
      </c>
      <c r="H112" s="301" t="s">
        <v>1278</v>
      </c>
      <c r="I112" s="170">
        <f t="shared" ref="I112:J112" si="32">I113</f>
        <v>800000</v>
      </c>
      <c r="J112" s="170">
        <f t="shared" si="32"/>
        <v>754750</v>
      </c>
      <c r="K112" s="170">
        <f t="shared" si="26"/>
        <v>94.34375</v>
      </c>
    </row>
    <row r="113" spans="1:11" ht="25.5">
      <c r="A113" s="200" t="s">
        <v>2097</v>
      </c>
      <c r="B113" s="200" t="s">
        <v>158</v>
      </c>
      <c r="C113" s="200" t="s">
        <v>156</v>
      </c>
      <c r="D113" s="201" t="s">
        <v>754</v>
      </c>
      <c r="E113" s="200" t="s">
        <v>163</v>
      </c>
      <c r="F113" s="200" t="s">
        <v>161</v>
      </c>
      <c r="G113" s="200" t="s">
        <v>157</v>
      </c>
      <c r="H113" s="323" t="s">
        <v>753</v>
      </c>
      <c r="I113" s="171">
        <f>950000-150000</f>
        <v>800000</v>
      </c>
      <c r="J113" s="171">
        <v>754750</v>
      </c>
      <c r="K113" s="171">
        <f t="shared" si="26"/>
        <v>94.34375</v>
      </c>
    </row>
    <row r="114" spans="1:11" ht="38.25">
      <c r="A114" s="299" t="s">
        <v>196</v>
      </c>
      <c r="B114" s="299" t="s">
        <v>158</v>
      </c>
      <c r="C114" s="299" t="s">
        <v>156</v>
      </c>
      <c r="D114" s="300" t="s">
        <v>1209</v>
      </c>
      <c r="E114" s="299" t="s">
        <v>159</v>
      </c>
      <c r="F114" s="299" t="s">
        <v>161</v>
      </c>
      <c r="G114" s="299" t="s">
        <v>157</v>
      </c>
      <c r="H114" s="301" t="s">
        <v>1279</v>
      </c>
      <c r="I114" s="170">
        <f t="shared" ref="I114:J114" si="33">I115</f>
        <v>235921</v>
      </c>
      <c r="J114" s="170">
        <f t="shared" si="33"/>
        <v>235921.66</v>
      </c>
      <c r="K114" s="170">
        <f t="shared" si="26"/>
        <v>100.00027975466364</v>
      </c>
    </row>
    <row r="115" spans="1:11" ht="38.25">
      <c r="A115" s="200" t="s">
        <v>214</v>
      </c>
      <c r="B115" s="200" t="s">
        <v>158</v>
      </c>
      <c r="C115" s="200" t="s">
        <v>156</v>
      </c>
      <c r="D115" s="201" t="s">
        <v>1209</v>
      </c>
      <c r="E115" s="200" t="s">
        <v>271</v>
      </c>
      <c r="F115" s="200" t="s">
        <v>161</v>
      </c>
      <c r="G115" s="200" t="s">
        <v>157</v>
      </c>
      <c r="H115" s="54" t="s">
        <v>403</v>
      </c>
      <c r="I115" s="171">
        <f>366000-130079</f>
        <v>235921</v>
      </c>
      <c r="J115" s="171">
        <v>235921.66</v>
      </c>
      <c r="K115" s="171">
        <f t="shared" si="26"/>
        <v>100.00027975466364</v>
      </c>
    </row>
    <row r="116" spans="1:11" ht="63.75" customHeight="1">
      <c r="A116" s="299" t="s">
        <v>196</v>
      </c>
      <c r="B116" s="299" t="s">
        <v>158</v>
      </c>
      <c r="C116" s="299" t="s">
        <v>156</v>
      </c>
      <c r="D116" s="300" t="s">
        <v>2077</v>
      </c>
      <c r="E116" s="299" t="s">
        <v>159</v>
      </c>
      <c r="F116" s="299" t="s">
        <v>161</v>
      </c>
      <c r="G116" s="299" t="s">
        <v>157</v>
      </c>
      <c r="H116" s="386" t="s">
        <v>2076</v>
      </c>
      <c r="I116" s="170">
        <f>I117</f>
        <v>64000</v>
      </c>
      <c r="J116" s="170">
        <f>J117</f>
        <v>63690.67</v>
      </c>
      <c r="K116" s="170">
        <f t="shared" si="26"/>
        <v>99.516671875</v>
      </c>
    </row>
    <row r="117" spans="1:11" ht="53.25" customHeight="1">
      <c r="A117" s="200" t="s">
        <v>196</v>
      </c>
      <c r="B117" s="200" t="s">
        <v>158</v>
      </c>
      <c r="C117" s="200" t="s">
        <v>156</v>
      </c>
      <c r="D117" s="201" t="s">
        <v>2079</v>
      </c>
      <c r="E117" s="200" t="s">
        <v>271</v>
      </c>
      <c r="F117" s="200" t="s">
        <v>161</v>
      </c>
      <c r="G117" s="200" t="s">
        <v>157</v>
      </c>
      <c r="H117" s="323" t="s">
        <v>2078</v>
      </c>
      <c r="I117" s="171">
        <f>SUM(I118:I119)</f>
        <v>64000</v>
      </c>
      <c r="J117" s="171">
        <f>SUM(J118:J119)</f>
        <v>63690.67</v>
      </c>
      <c r="K117" s="171">
        <f t="shared" si="26"/>
        <v>99.516671875</v>
      </c>
    </row>
    <row r="118" spans="1:11" ht="53.25" customHeight="1">
      <c r="A118" s="200" t="s">
        <v>5</v>
      </c>
      <c r="B118" s="200" t="s">
        <v>158</v>
      </c>
      <c r="C118" s="200" t="s">
        <v>156</v>
      </c>
      <c r="D118" s="201" t="s">
        <v>2079</v>
      </c>
      <c r="E118" s="200" t="s">
        <v>271</v>
      </c>
      <c r="F118" s="200" t="s">
        <v>161</v>
      </c>
      <c r="G118" s="200" t="s">
        <v>157</v>
      </c>
      <c r="H118" s="323" t="s">
        <v>2078</v>
      </c>
      <c r="I118" s="171">
        <v>3000</v>
      </c>
      <c r="J118" s="171">
        <v>246.93</v>
      </c>
      <c r="K118" s="171">
        <f t="shared" si="26"/>
        <v>8.2310000000000016</v>
      </c>
    </row>
    <row r="119" spans="1:11" ht="53.25" customHeight="1">
      <c r="A119" s="200" t="s">
        <v>242</v>
      </c>
      <c r="B119" s="200" t="s">
        <v>158</v>
      </c>
      <c r="C119" s="200" t="s">
        <v>156</v>
      </c>
      <c r="D119" s="201" t="s">
        <v>2079</v>
      </c>
      <c r="E119" s="200" t="s">
        <v>271</v>
      </c>
      <c r="F119" s="200" t="s">
        <v>161</v>
      </c>
      <c r="G119" s="200" t="s">
        <v>157</v>
      </c>
      <c r="H119" s="323" t="s">
        <v>2078</v>
      </c>
      <c r="I119" s="171">
        <v>61000</v>
      </c>
      <c r="J119" s="171">
        <v>63443.74</v>
      </c>
      <c r="K119" s="171">
        <f t="shared" si="26"/>
        <v>104.00613114754098</v>
      </c>
    </row>
    <row r="120" spans="1:11" ht="25.5">
      <c r="A120" s="299" t="s">
        <v>196</v>
      </c>
      <c r="B120" s="299" t="s">
        <v>158</v>
      </c>
      <c r="C120" s="299" t="s">
        <v>156</v>
      </c>
      <c r="D120" s="300" t="s">
        <v>1281</v>
      </c>
      <c r="E120" s="299" t="s">
        <v>159</v>
      </c>
      <c r="F120" s="299" t="s">
        <v>161</v>
      </c>
      <c r="G120" s="299" t="s">
        <v>157</v>
      </c>
      <c r="H120" s="324" t="s">
        <v>1280</v>
      </c>
      <c r="I120" s="170">
        <f t="shared" ref="I120:J120" si="34">I121</f>
        <v>630000</v>
      </c>
      <c r="J120" s="170">
        <f t="shared" si="34"/>
        <v>650007.05999999994</v>
      </c>
      <c r="K120" s="170">
        <f t="shared" si="26"/>
        <v>103.1757238095238</v>
      </c>
    </row>
    <row r="121" spans="1:11" ht="25.5">
      <c r="A121" s="186" t="s">
        <v>196</v>
      </c>
      <c r="B121" s="186" t="s">
        <v>158</v>
      </c>
      <c r="C121" s="186" t="s">
        <v>156</v>
      </c>
      <c r="D121" s="189" t="s">
        <v>314</v>
      </c>
      <c r="E121" s="186" t="s">
        <v>271</v>
      </c>
      <c r="F121" s="186" t="s">
        <v>161</v>
      </c>
      <c r="G121" s="186" t="s">
        <v>157</v>
      </c>
      <c r="H121" s="9" t="s">
        <v>313</v>
      </c>
      <c r="I121" s="171">
        <f>SUM(I122:I123)</f>
        <v>630000</v>
      </c>
      <c r="J121" s="171">
        <f>SUM(J122:J123)</f>
        <v>650007.05999999994</v>
      </c>
      <c r="K121" s="171">
        <f t="shared" si="26"/>
        <v>103.1757238095238</v>
      </c>
    </row>
    <row r="122" spans="1:11" ht="25.5">
      <c r="A122" s="186" t="s">
        <v>546</v>
      </c>
      <c r="B122" s="186" t="s">
        <v>158</v>
      </c>
      <c r="C122" s="186" t="s">
        <v>156</v>
      </c>
      <c r="D122" s="189" t="s">
        <v>314</v>
      </c>
      <c r="E122" s="186" t="s">
        <v>271</v>
      </c>
      <c r="F122" s="186" t="s">
        <v>161</v>
      </c>
      <c r="G122" s="186" t="s">
        <v>157</v>
      </c>
      <c r="H122" s="9" t="s">
        <v>313</v>
      </c>
      <c r="I122" s="171">
        <v>0</v>
      </c>
      <c r="J122" s="171">
        <v>36081.82</v>
      </c>
      <c r="K122" s="171"/>
    </row>
    <row r="123" spans="1:11" ht="25.5">
      <c r="A123" s="186" t="s">
        <v>2099</v>
      </c>
      <c r="B123" s="186" t="s">
        <v>158</v>
      </c>
      <c r="C123" s="186" t="s">
        <v>156</v>
      </c>
      <c r="D123" s="189" t="s">
        <v>314</v>
      </c>
      <c r="E123" s="186" t="s">
        <v>271</v>
      </c>
      <c r="F123" s="186" t="s">
        <v>161</v>
      </c>
      <c r="G123" s="186" t="s">
        <v>157</v>
      </c>
      <c r="H123" s="9" t="s">
        <v>313</v>
      </c>
      <c r="I123" s="171">
        <v>630000</v>
      </c>
      <c r="J123" s="171">
        <v>613925.24</v>
      </c>
      <c r="K123" s="171">
        <f t="shared" si="26"/>
        <v>97.448450793650792</v>
      </c>
    </row>
    <row r="124" spans="1:11" ht="63.75">
      <c r="A124" s="185" t="s">
        <v>196</v>
      </c>
      <c r="B124" s="185" t="s">
        <v>158</v>
      </c>
      <c r="C124" s="185" t="s">
        <v>156</v>
      </c>
      <c r="D124" s="188" t="s">
        <v>642</v>
      </c>
      <c r="E124" s="185" t="s">
        <v>163</v>
      </c>
      <c r="F124" s="185" t="s">
        <v>161</v>
      </c>
      <c r="G124" s="185" t="s">
        <v>157</v>
      </c>
      <c r="H124" s="184" t="s">
        <v>652</v>
      </c>
      <c r="I124" s="170">
        <f>SUM(I125:I129)</f>
        <v>769000</v>
      </c>
      <c r="J124" s="170">
        <f>SUM(J125:J129)</f>
        <v>812756.38</v>
      </c>
      <c r="K124" s="170">
        <f t="shared" si="26"/>
        <v>105.69003641092327</v>
      </c>
    </row>
    <row r="125" spans="1:11" ht="51">
      <c r="A125" s="186" t="s">
        <v>546</v>
      </c>
      <c r="B125" s="186" t="s">
        <v>158</v>
      </c>
      <c r="C125" s="186" t="s">
        <v>156</v>
      </c>
      <c r="D125" s="189" t="s">
        <v>642</v>
      </c>
      <c r="E125" s="186" t="s">
        <v>163</v>
      </c>
      <c r="F125" s="186" t="s">
        <v>161</v>
      </c>
      <c r="G125" s="186" t="s">
        <v>157</v>
      </c>
      <c r="H125" s="9" t="s">
        <v>652</v>
      </c>
      <c r="I125" s="171">
        <v>6000</v>
      </c>
      <c r="J125" s="171">
        <v>0</v>
      </c>
      <c r="K125" s="171">
        <f t="shared" si="26"/>
        <v>0</v>
      </c>
    </row>
    <row r="126" spans="1:11" ht="51">
      <c r="A126" s="186" t="s">
        <v>102</v>
      </c>
      <c r="B126" s="186" t="s">
        <v>158</v>
      </c>
      <c r="C126" s="186" t="s">
        <v>156</v>
      </c>
      <c r="D126" s="189" t="s">
        <v>642</v>
      </c>
      <c r="E126" s="186" t="s">
        <v>163</v>
      </c>
      <c r="F126" s="186" t="s">
        <v>161</v>
      </c>
      <c r="G126" s="186" t="s">
        <v>157</v>
      </c>
      <c r="H126" s="9" t="s">
        <v>652</v>
      </c>
      <c r="I126" s="171">
        <v>0</v>
      </c>
      <c r="J126" s="171">
        <v>60000</v>
      </c>
      <c r="K126" s="171"/>
    </row>
    <row r="127" spans="1:11" ht="51">
      <c r="A127" s="186" t="s">
        <v>2098</v>
      </c>
      <c r="B127" s="186" t="s">
        <v>158</v>
      </c>
      <c r="C127" s="186" t="s">
        <v>156</v>
      </c>
      <c r="D127" s="189" t="s">
        <v>642</v>
      </c>
      <c r="E127" s="186" t="s">
        <v>163</v>
      </c>
      <c r="F127" s="186" t="s">
        <v>161</v>
      </c>
      <c r="G127" s="186" t="s">
        <v>157</v>
      </c>
      <c r="H127" s="9" t="s">
        <v>652</v>
      </c>
      <c r="I127" s="171">
        <v>39000</v>
      </c>
      <c r="J127" s="171">
        <v>62000</v>
      </c>
      <c r="K127" s="171">
        <f t="shared" si="26"/>
        <v>158.97435897435898</v>
      </c>
    </row>
    <row r="128" spans="1:11" ht="51">
      <c r="A128" s="186" t="s">
        <v>2097</v>
      </c>
      <c r="B128" s="186" t="s">
        <v>158</v>
      </c>
      <c r="C128" s="186" t="s">
        <v>156</v>
      </c>
      <c r="D128" s="189" t="s">
        <v>642</v>
      </c>
      <c r="E128" s="186" t="s">
        <v>163</v>
      </c>
      <c r="F128" s="186" t="s">
        <v>161</v>
      </c>
      <c r="G128" s="186" t="s">
        <v>157</v>
      </c>
      <c r="H128" s="9" t="s">
        <v>652</v>
      </c>
      <c r="I128" s="171">
        <v>248000</v>
      </c>
      <c r="J128" s="171">
        <v>208600</v>
      </c>
      <c r="K128" s="171">
        <f t="shared" si="26"/>
        <v>84.112903225806463</v>
      </c>
    </row>
    <row r="129" spans="1:11" ht="51">
      <c r="A129" s="186" t="s">
        <v>711</v>
      </c>
      <c r="B129" s="186" t="s">
        <v>158</v>
      </c>
      <c r="C129" s="186" t="s">
        <v>156</v>
      </c>
      <c r="D129" s="189" t="s">
        <v>642</v>
      </c>
      <c r="E129" s="186" t="s">
        <v>163</v>
      </c>
      <c r="F129" s="186" t="s">
        <v>161</v>
      </c>
      <c r="G129" s="186" t="s">
        <v>157</v>
      </c>
      <c r="H129" s="9" t="s">
        <v>652</v>
      </c>
      <c r="I129" s="171">
        <v>476000</v>
      </c>
      <c r="J129" s="171">
        <v>482156.38</v>
      </c>
      <c r="K129" s="171">
        <f t="shared" si="26"/>
        <v>101.29335714285715</v>
      </c>
    </row>
    <row r="130" spans="1:11" ht="25.5" hidden="1">
      <c r="A130" s="200" t="s">
        <v>196</v>
      </c>
      <c r="B130" s="200" t="s">
        <v>158</v>
      </c>
      <c r="C130" s="200" t="s">
        <v>156</v>
      </c>
      <c r="D130" s="201" t="s">
        <v>755</v>
      </c>
      <c r="E130" s="200" t="s">
        <v>163</v>
      </c>
      <c r="F130" s="200" t="s">
        <v>161</v>
      </c>
      <c r="G130" s="200" t="s">
        <v>157</v>
      </c>
      <c r="H130" s="9" t="s">
        <v>1184</v>
      </c>
      <c r="I130" s="171">
        <v>0</v>
      </c>
      <c r="J130" s="171">
        <v>0</v>
      </c>
      <c r="K130" s="171" t="e">
        <f t="shared" ref="K130:K193" si="35">J130/I130*100</f>
        <v>#DIV/0!</v>
      </c>
    </row>
    <row r="131" spans="1:11" ht="25.5">
      <c r="A131" s="299" t="s">
        <v>196</v>
      </c>
      <c r="B131" s="299" t="s">
        <v>158</v>
      </c>
      <c r="C131" s="299" t="s">
        <v>156</v>
      </c>
      <c r="D131" s="300" t="s">
        <v>1283</v>
      </c>
      <c r="E131" s="299" t="s">
        <v>159</v>
      </c>
      <c r="F131" s="299" t="s">
        <v>161</v>
      </c>
      <c r="G131" s="299" t="s">
        <v>157</v>
      </c>
      <c r="H131" s="184" t="s">
        <v>1282</v>
      </c>
      <c r="I131" s="170">
        <f>I132</f>
        <v>2933660</v>
      </c>
      <c r="J131" s="170">
        <f>J132</f>
        <v>2976692.4299999997</v>
      </c>
      <c r="K131" s="170">
        <f t="shared" si="35"/>
        <v>101.46685130519555</v>
      </c>
    </row>
    <row r="132" spans="1:11" s="129" customFormat="1" ht="25.5">
      <c r="A132" s="186" t="s">
        <v>196</v>
      </c>
      <c r="B132" s="186" t="s">
        <v>158</v>
      </c>
      <c r="C132" s="186" t="s">
        <v>156</v>
      </c>
      <c r="D132" s="189" t="s">
        <v>10</v>
      </c>
      <c r="E132" s="186" t="s">
        <v>271</v>
      </c>
      <c r="F132" s="186" t="s">
        <v>161</v>
      </c>
      <c r="G132" s="186" t="s">
        <v>157</v>
      </c>
      <c r="H132" s="9" t="s">
        <v>9</v>
      </c>
      <c r="I132" s="171">
        <f>SUM(I133:I142)</f>
        <v>2933660</v>
      </c>
      <c r="J132" s="171">
        <f>SUM(J133:J142)</f>
        <v>2976692.4299999997</v>
      </c>
      <c r="K132" s="171">
        <f t="shared" si="35"/>
        <v>101.46685130519555</v>
      </c>
    </row>
    <row r="133" spans="1:11" s="129" customFormat="1" ht="25.5">
      <c r="A133" s="186" t="s">
        <v>546</v>
      </c>
      <c r="B133" s="186" t="s">
        <v>158</v>
      </c>
      <c r="C133" s="186" t="s">
        <v>156</v>
      </c>
      <c r="D133" s="189" t="s">
        <v>10</v>
      </c>
      <c r="E133" s="186" t="s">
        <v>271</v>
      </c>
      <c r="F133" s="186" t="s">
        <v>161</v>
      </c>
      <c r="G133" s="186" t="s">
        <v>157</v>
      </c>
      <c r="H133" s="9" t="s">
        <v>9</v>
      </c>
      <c r="I133" s="171">
        <v>480000</v>
      </c>
      <c r="J133" s="171">
        <v>479370.49</v>
      </c>
      <c r="K133" s="171">
        <f t="shared" si="35"/>
        <v>99.868852083333323</v>
      </c>
    </row>
    <row r="134" spans="1:11" s="129" customFormat="1" ht="25.5">
      <c r="A134" s="186" t="s">
        <v>102</v>
      </c>
      <c r="B134" s="186" t="s">
        <v>158</v>
      </c>
      <c r="C134" s="186" t="s">
        <v>156</v>
      </c>
      <c r="D134" s="189" t="s">
        <v>10</v>
      </c>
      <c r="E134" s="186" t="s">
        <v>271</v>
      </c>
      <c r="F134" s="186" t="s">
        <v>161</v>
      </c>
      <c r="G134" s="186" t="s">
        <v>157</v>
      </c>
      <c r="H134" s="9" t="s">
        <v>9</v>
      </c>
      <c r="I134" s="171">
        <v>0</v>
      </c>
      <c r="J134" s="171">
        <v>140000</v>
      </c>
      <c r="K134" s="171"/>
    </row>
    <row r="135" spans="1:11" s="129" customFormat="1" ht="25.5">
      <c r="A135" s="186" t="s">
        <v>2100</v>
      </c>
      <c r="B135" s="186" t="s">
        <v>158</v>
      </c>
      <c r="C135" s="186" t="s">
        <v>156</v>
      </c>
      <c r="D135" s="189" t="s">
        <v>10</v>
      </c>
      <c r="E135" s="186" t="s">
        <v>271</v>
      </c>
      <c r="F135" s="186" t="s">
        <v>161</v>
      </c>
      <c r="G135" s="186" t="s">
        <v>157</v>
      </c>
      <c r="H135" s="9" t="s">
        <v>9</v>
      </c>
      <c r="I135" s="171">
        <v>79000</v>
      </c>
      <c r="J135" s="171">
        <v>78300</v>
      </c>
      <c r="K135" s="171">
        <f t="shared" si="35"/>
        <v>99.113924050632903</v>
      </c>
    </row>
    <row r="136" spans="1:11" s="129" customFormat="1" ht="25.5">
      <c r="A136" s="186" t="s">
        <v>2099</v>
      </c>
      <c r="B136" s="186" t="s">
        <v>158</v>
      </c>
      <c r="C136" s="186" t="s">
        <v>156</v>
      </c>
      <c r="D136" s="189" t="s">
        <v>10</v>
      </c>
      <c r="E136" s="186" t="s">
        <v>271</v>
      </c>
      <c r="F136" s="186" t="s">
        <v>161</v>
      </c>
      <c r="G136" s="186" t="s">
        <v>157</v>
      </c>
      <c r="H136" s="9" t="s">
        <v>9</v>
      </c>
      <c r="I136" s="171">
        <v>990000</v>
      </c>
      <c r="J136" s="171">
        <v>955453.3</v>
      </c>
      <c r="K136" s="171">
        <f t="shared" si="35"/>
        <v>96.510434343434355</v>
      </c>
    </row>
    <row r="137" spans="1:11" s="129" customFormat="1" ht="25.5">
      <c r="A137" s="186" t="s">
        <v>574</v>
      </c>
      <c r="B137" s="186" t="s">
        <v>158</v>
      </c>
      <c r="C137" s="186" t="s">
        <v>156</v>
      </c>
      <c r="D137" s="189" t="s">
        <v>10</v>
      </c>
      <c r="E137" s="186" t="s">
        <v>271</v>
      </c>
      <c r="F137" s="186" t="s">
        <v>161</v>
      </c>
      <c r="G137" s="186" t="s">
        <v>157</v>
      </c>
      <c r="H137" s="9" t="s">
        <v>9</v>
      </c>
      <c r="I137" s="171">
        <v>5000</v>
      </c>
      <c r="J137" s="171">
        <v>0</v>
      </c>
      <c r="K137" s="171">
        <f t="shared" si="35"/>
        <v>0</v>
      </c>
    </row>
    <row r="138" spans="1:11" s="129" customFormat="1" ht="25.5">
      <c r="A138" s="186" t="s">
        <v>37</v>
      </c>
      <c r="B138" s="186" t="s">
        <v>158</v>
      </c>
      <c r="C138" s="186" t="s">
        <v>156</v>
      </c>
      <c r="D138" s="189" t="s">
        <v>10</v>
      </c>
      <c r="E138" s="186" t="s">
        <v>271</v>
      </c>
      <c r="F138" s="186" t="s">
        <v>161</v>
      </c>
      <c r="G138" s="186" t="s">
        <v>157</v>
      </c>
      <c r="H138" s="9" t="s">
        <v>9</v>
      </c>
      <c r="I138" s="171">
        <v>0</v>
      </c>
      <c r="J138" s="171">
        <v>500</v>
      </c>
      <c r="K138" s="171"/>
    </row>
    <row r="139" spans="1:11" s="129" customFormat="1" ht="25.5">
      <c r="A139" s="186" t="s">
        <v>2098</v>
      </c>
      <c r="B139" s="186" t="s">
        <v>158</v>
      </c>
      <c r="C139" s="186" t="s">
        <v>156</v>
      </c>
      <c r="D139" s="189" t="s">
        <v>10</v>
      </c>
      <c r="E139" s="186" t="s">
        <v>271</v>
      </c>
      <c r="F139" s="186" t="s">
        <v>161</v>
      </c>
      <c r="G139" s="186" t="s">
        <v>157</v>
      </c>
      <c r="H139" s="9" t="s">
        <v>9</v>
      </c>
      <c r="I139" s="171">
        <v>110000</v>
      </c>
      <c r="J139" s="171">
        <v>113100</v>
      </c>
      <c r="K139" s="171">
        <f t="shared" si="35"/>
        <v>102.81818181818181</v>
      </c>
    </row>
    <row r="140" spans="1:11" s="129" customFormat="1" ht="25.5">
      <c r="A140" s="186" t="s">
        <v>2101</v>
      </c>
      <c r="B140" s="186" t="s">
        <v>158</v>
      </c>
      <c r="C140" s="186" t="s">
        <v>156</v>
      </c>
      <c r="D140" s="189" t="s">
        <v>10</v>
      </c>
      <c r="E140" s="186" t="s">
        <v>271</v>
      </c>
      <c r="F140" s="186" t="s">
        <v>161</v>
      </c>
      <c r="G140" s="186" t="s">
        <v>157</v>
      </c>
      <c r="H140" s="9" t="s">
        <v>9</v>
      </c>
      <c r="I140" s="171">
        <v>21500</v>
      </c>
      <c r="J140" s="171">
        <v>965955.4</v>
      </c>
      <c r="K140" s="171">
        <f t="shared" si="35"/>
        <v>4492.8158139534889</v>
      </c>
    </row>
    <row r="141" spans="1:11" s="129" customFormat="1" ht="25.5">
      <c r="A141" s="186" t="s">
        <v>2097</v>
      </c>
      <c r="B141" s="186" t="s">
        <v>158</v>
      </c>
      <c r="C141" s="186" t="s">
        <v>156</v>
      </c>
      <c r="D141" s="189" t="s">
        <v>10</v>
      </c>
      <c r="E141" s="186" t="s">
        <v>271</v>
      </c>
      <c r="F141" s="186" t="s">
        <v>161</v>
      </c>
      <c r="G141" s="186" t="s">
        <v>157</v>
      </c>
      <c r="H141" s="9" t="s">
        <v>9</v>
      </c>
      <c r="I141" s="171">
        <v>1029370</v>
      </c>
      <c r="J141" s="171">
        <v>21500</v>
      </c>
      <c r="K141" s="171">
        <f t="shared" si="35"/>
        <v>2.0886561683359726</v>
      </c>
    </row>
    <row r="142" spans="1:11" ht="25.5">
      <c r="A142" s="186" t="s">
        <v>5</v>
      </c>
      <c r="B142" s="186" t="s">
        <v>158</v>
      </c>
      <c r="C142" s="186" t="s">
        <v>156</v>
      </c>
      <c r="D142" s="189" t="s">
        <v>10</v>
      </c>
      <c r="E142" s="186" t="s">
        <v>271</v>
      </c>
      <c r="F142" s="186" t="s">
        <v>161</v>
      </c>
      <c r="G142" s="186" t="s">
        <v>157</v>
      </c>
      <c r="H142" s="9" t="s">
        <v>9</v>
      </c>
      <c r="I142" s="171">
        <v>218790</v>
      </c>
      <c r="J142" s="171">
        <v>222513.24</v>
      </c>
      <c r="K142" s="171">
        <f t="shared" si="35"/>
        <v>101.70174139585903</v>
      </c>
    </row>
    <row r="143" spans="1:11">
      <c r="A143" s="185" t="s">
        <v>196</v>
      </c>
      <c r="B143" s="185" t="s">
        <v>158</v>
      </c>
      <c r="C143" s="185" t="s">
        <v>1411</v>
      </c>
      <c r="D143" s="188" t="s">
        <v>160</v>
      </c>
      <c r="E143" s="185" t="s">
        <v>159</v>
      </c>
      <c r="F143" s="185" t="s">
        <v>161</v>
      </c>
      <c r="G143" s="185" t="s">
        <v>643</v>
      </c>
      <c r="H143" s="184" t="s">
        <v>2102</v>
      </c>
      <c r="I143" s="170">
        <f>I144+I148</f>
        <v>0</v>
      </c>
      <c r="J143" s="170">
        <f>J144+J148</f>
        <v>690719.32000000053</v>
      </c>
      <c r="K143" s="171"/>
    </row>
    <row r="144" spans="1:11">
      <c r="A144" s="185" t="s">
        <v>196</v>
      </c>
      <c r="B144" s="185" t="s">
        <v>158</v>
      </c>
      <c r="C144" s="185" t="s">
        <v>1411</v>
      </c>
      <c r="D144" s="188" t="s">
        <v>164</v>
      </c>
      <c r="E144" s="185" t="s">
        <v>159</v>
      </c>
      <c r="F144" s="185" t="s">
        <v>161</v>
      </c>
      <c r="G144" s="185" t="s">
        <v>643</v>
      </c>
      <c r="H144" s="184" t="s">
        <v>2103</v>
      </c>
      <c r="I144" s="170">
        <f>I145</f>
        <v>0</v>
      </c>
      <c r="J144" s="170">
        <f>J145</f>
        <v>684956.12000000058</v>
      </c>
      <c r="K144" s="171"/>
    </row>
    <row r="145" spans="1:11" ht="25.5">
      <c r="A145" s="185" t="s">
        <v>196</v>
      </c>
      <c r="B145" s="185" t="s">
        <v>158</v>
      </c>
      <c r="C145" s="185" t="s">
        <v>1411</v>
      </c>
      <c r="D145" s="188" t="s">
        <v>2104</v>
      </c>
      <c r="E145" s="185" t="s">
        <v>271</v>
      </c>
      <c r="F145" s="185" t="s">
        <v>161</v>
      </c>
      <c r="G145" s="185" t="s">
        <v>643</v>
      </c>
      <c r="H145" s="184" t="s">
        <v>373</v>
      </c>
      <c r="I145" s="170">
        <f>SUM(I146:I147)</f>
        <v>0</v>
      </c>
      <c r="J145" s="170">
        <f>SUM(J146:J147)</f>
        <v>684956.12000000058</v>
      </c>
      <c r="K145" s="171"/>
    </row>
    <row r="146" spans="1:11" ht="25.5">
      <c r="A146" s="186" t="s">
        <v>89</v>
      </c>
      <c r="B146" s="186" t="s">
        <v>158</v>
      </c>
      <c r="C146" s="186" t="s">
        <v>1411</v>
      </c>
      <c r="D146" s="189" t="s">
        <v>2104</v>
      </c>
      <c r="E146" s="186" t="s">
        <v>271</v>
      </c>
      <c r="F146" s="186" t="s">
        <v>161</v>
      </c>
      <c r="G146" s="186" t="s">
        <v>643</v>
      </c>
      <c r="H146" s="9" t="s">
        <v>373</v>
      </c>
      <c r="I146" s="171"/>
      <c r="J146" s="171">
        <v>684187.12000000058</v>
      </c>
      <c r="K146" s="171"/>
    </row>
    <row r="147" spans="1:11" ht="25.5">
      <c r="A147" s="186" t="s">
        <v>249</v>
      </c>
      <c r="B147" s="186" t="s">
        <v>158</v>
      </c>
      <c r="C147" s="186" t="s">
        <v>1411</v>
      </c>
      <c r="D147" s="189" t="s">
        <v>2104</v>
      </c>
      <c r="E147" s="186" t="s">
        <v>271</v>
      </c>
      <c r="F147" s="186" t="s">
        <v>161</v>
      </c>
      <c r="G147" s="186" t="s">
        <v>643</v>
      </c>
      <c r="H147" s="9" t="s">
        <v>373</v>
      </c>
      <c r="I147" s="171"/>
      <c r="J147" s="171">
        <v>769</v>
      </c>
      <c r="K147" s="171"/>
    </row>
    <row r="148" spans="1:11">
      <c r="A148" s="185" t="s">
        <v>196</v>
      </c>
      <c r="B148" s="185" t="s">
        <v>158</v>
      </c>
      <c r="C148" s="185" t="s">
        <v>1411</v>
      </c>
      <c r="D148" s="188" t="s">
        <v>38</v>
      </c>
      <c r="E148" s="185" t="s">
        <v>159</v>
      </c>
      <c r="F148" s="185" t="s">
        <v>161</v>
      </c>
      <c r="G148" s="185" t="s">
        <v>643</v>
      </c>
      <c r="H148" s="184" t="s">
        <v>404</v>
      </c>
      <c r="I148" s="170">
        <f t="shared" ref="I148:J148" si="36">I149</f>
        <v>0</v>
      </c>
      <c r="J148" s="170">
        <f t="shared" si="36"/>
        <v>5763.2</v>
      </c>
      <c r="K148" s="171"/>
    </row>
    <row r="149" spans="1:11">
      <c r="A149" s="186" t="s">
        <v>196</v>
      </c>
      <c r="B149" s="186" t="s">
        <v>158</v>
      </c>
      <c r="C149" s="186" t="s">
        <v>1411</v>
      </c>
      <c r="D149" s="189" t="s">
        <v>1412</v>
      </c>
      <c r="E149" s="186" t="s">
        <v>271</v>
      </c>
      <c r="F149" s="186" t="s">
        <v>161</v>
      </c>
      <c r="G149" s="186" t="s">
        <v>643</v>
      </c>
      <c r="H149" s="9" t="s">
        <v>404</v>
      </c>
      <c r="I149" s="171">
        <f>I150</f>
        <v>0</v>
      </c>
      <c r="J149" s="171">
        <f>J150</f>
        <v>5763.2</v>
      </c>
      <c r="K149" s="171"/>
    </row>
    <row r="150" spans="1:11">
      <c r="A150" s="186" t="s">
        <v>249</v>
      </c>
      <c r="B150" s="186" t="s">
        <v>158</v>
      </c>
      <c r="C150" s="186" t="s">
        <v>1411</v>
      </c>
      <c r="D150" s="189" t="s">
        <v>1412</v>
      </c>
      <c r="E150" s="186" t="s">
        <v>271</v>
      </c>
      <c r="F150" s="186" t="s">
        <v>161</v>
      </c>
      <c r="G150" s="186" t="s">
        <v>643</v>
      </c>
      <c r="H150" s="9" t="s">
        <v>404</v>
      </c>
      <c r="I150" s="171">
        <v>0</v>
      </c>
      <c r="J150" s="171">
        <v>5763.2</v>
      </c>
      <c r="K150" s="171"/>
    </row>
    <row r="151" spans="1:11">
      <c r="A151" s="204" t="s">
        <v>249</v>
      </c>
      <c r="B151" s="204" t="s">
        <v>206</v>
      </c>
      <c r="C151" s="204" t="s">
        <v>159</v>
      </c>
      <c r="D151" s="205" t="s">
        <v>160</v>
      </c>
      <c r="E151" s="204" t="s">
        <v>159</v>
      </c>
      <c r="F151" s="204" t="s">
        <v>161</v>
      </c>
      <c r="G151" s="204" t="s">
        <v>196</v>
      </c>
      <c r="H151" s="184" t="s">
        <v>116</v>
      </c>
      <c r="I151" s="170">
        <f>I152+I251+I247+I254+I257+I263</f>
        <v>1829046072.6300004</v>
      </c>
      <c r="J151" s="170">
        <f>J152+J251+J247+J254+J257+J263</f>
        <v>1818303167.95</v>
      </c>
      <c r="K151" s="170">
        <f t="shared" si="35"/>
        <v>99.412649859357956</v>
      </c>
    </row>
    <row r="152" spans="1:11" ht="25.5">
      <c r="A152" s="204" t="s">
        <v>249</v>
      </c>
      <c r="B152" s="204" t="s">
        <v>206</v>
      </c>
      <c r="C152" s="204" t="s">
        <v>267</v>
      </c>
      <c r="D152" s="205" t="s">
        <v>160</v>
      </c>
      <c r="E152" s="204" t="s">
        <v>159</v>
      </c>
      <c r="F152" s="204" t="s">
        <v>161</v>
      </c>
      <c r="G152" s="204" t="s">
        <v>196</v>
      </c>
      <c r="H152" s="184" t="s">
        <v>175</v>
      </c>
      <c r="I152" s="170">
        <f>I153+I158+I206+I239</f>
        <v>1840357558.3000002</v>
      </c>
      <c r="J152" s="170">
        <f>J153+J158+J206+J239</f>
        <v>1829614653.6199999</v>
      </c>
      <c r="K152" s="170">
        <f t="shared" si="35"/>
        <v>99.416259920168784</v>
      </c>
    </row>
    <row r="153" spans="1:11" ht="25.5">
      <c r="A153" s="204" t="s">
        <v>249</v>
      </c>
      <c r="B153" s="204" t="s">
        <v>206</v>
      </c>
      <c r="C153" s="204" t="s">
        <v>267</v>
      </c>
      <c r="D153" s="205" t="s">
        <v>1222</v>
      </c>
      <c r="E153" s="204" t="s">
        <v>159</v>
      </c>
      <c r="F153" s="204" t="s">
        <v>161</v>
      </c>
      <c r="G153" s="204" t="s">
        <v>1644</v>
      </c>
      <c r="H153" s="184" t="s">
        <v>644</v>
      </c>
      <c r="I153" s="170">
        <f t="shared" ref="I153:J154" si="37">I154</f>
        <v>557094100</v>
      </c>
      <c r="J153" s="170">
        <f t="shared" si="37"/>
        <v>557094100</v>
      </c>
      <c r="K153" s="170">
        <f t="shared" si="35"/>
        <v>100</v>
      </c>
    </row>
    <row r="154" spans="1:11">
      <c r="A154" s="204" t="s">
        <v>249</v>
      </c>
      <c r="B154" s="204" t="s">
        <v>206</v>
      </c>
      <c r="C154" s="204" t="s">
        <v>267</v>
      </c>
      <c r="D154" s="205" t="s">
        <v>1222</v>
      </c>
      <c r="E154" s="204" t="s">
        <v>271</v>
      </c>
      <c r="F154" s="204" t="s">
        <v>161</v>
      </c>
      <c r="G154" s="204" t="s">
        <v>1644</v>
      </c>
      <c r="H154" s="190" t="s">
        <v>645</v>
      </c>
      <c r="I154" s="170">
        <f t="shared" si="37"/>
        <v>557094100</v>
      </c>
      <c r="J154" s="170">
        <f t="shared" si="37"/>
        <v>557094100</v>
      </c>
      <c r="K154" s="170">
        <f t="shared" si="35"/>
        <v>100</v>
      </c>
    </row>
    <row r="155" spans="1:11" ht="25.5">
      <c r="A155" s="202" t="s">
        <v>249</v>
      </c>
      <c r="B155" s="202" t="s">
        <v>206</v>
      </c>
      <c r="C155" s="202" t="s">
        <v>267</v>
      </c>
      <c r="D155" s="203" t="s">
        <v>1222</v>
      </c>
      <c r="E155" s="202" t="s">
        <v>271</v>
      </c>
      <c r="F155" s="202" t="s">
        <v>646</v>
      </c>
      <c r="G155" s="202" t="s">
        <v>1644</v>
      </c>
      <c r="H155" s="191" t="s">
        <v>405</v>
      </c>
      <c r="I155" s="171">
        <v>557094100</v>
      </c>
      <c r="J155" s="171">
        <v>557094100</v>
      </c>
      <c r="K155" s="171">
        <f t="shared" si="35"/>
        <v>100</v>
      </c>
    </row>
    <row r="156" spans="1:11" ht="25.5" hidden="1">
      <c r="A156" s="204" t="s">
        <v>249</v>
      </c>
      <c r="B156" s="204" t="s">
        <v>206</v>
      </c>
      <c r="C156" s="204" t="s">
        <v>267</v>
      </c>
      <c r="D156" s="205" t="s">
        <v>1434</v>
      </c>
      <c r="E156" s="204" t="s">
        <v>159</v>
      </c>
      <c r="F156" s="204" t="s">
        <v>161</v>
      </c>
      <c r="G156" s="204" t="s">
        <v>11</v>
      </c>
      <c r="H156" s="190" t="s">
        <v>1433</v>
      </c>
      <c r="I156" s="170">
        <f t="shared" ref="I156:J156" si="38">I157</f>
        <v>0</v>
      </c>
      <c r="J156" s="170">
        <f t="shared" si="38"/>
        <v>0</v>
      </c>
      <c r="K156" s="171" t="e">
        <f t="shared" si="35"/>
        <v>#DIV/0!</v>
      </c>
    </row>
    <row r="157" spans="1:11" ht="25.5" hidden="1">
      <c r="A157" s="202" t="s">
        <v>249</v>
      </c>
      <c r="B157" s="202" t="s">
        <v>206</v>
      </c>
      <c r="C157" s="202" t="s">
        <v>267</v>
      </c>
      <c r="D157" s="203" t="s">
        <v>1434</v>
      </c>
      <c r="E157" s="202" t="s">
        <v>271</v>
      </c>
      <c r="F157" s="202" t="s">
        <v>161</v>
      </c>
      <c r="G157" s="202" t="s">
        <v>11</v>
      </c>
      <c r="H157" s="191" t="s">
        <v>406</v>
      </c>
      <c r="I157" s="170"/>
      <c r="J157" s="170"/>
      <c r="K157" s="171" t="e">
        <f t="shared" si="35"/>
        <v>#DIV/0!</v>
      </c>
    </row>
    <row r="158" spans="1:11" ht="25.5">
      <c r="A158" s="204" t="s">
        <v>249</v>
      </c>
      <c r="B158" s="204" t="s">
        <v>206</v>
      </c>
      <c r="C158" s="204" t="s">
        <v>267</v>
      </c>
      <c r="D158" s="205" t="s">
        <v>1223</v>
      </c>
      <c r="E158" s="204" t="s">
        <v>159</v>
      </c>
      <c r="F158" s="204" t="s">
        <v>161</v>
      </c>
      <c r="G158" s="204" t="s">
        <v>1644</v>
      </c>
      <c r="H158" s="194" t="s">
        <v>167</v>
      </c>
      <c r="I158" s="170">
        <f>I172+I160+I168+I170+I166+I164+I162</f>
        <v>229872519.70000002</v>
      </c>
      <c r="J158" s="170">
        <f>J172+J160+J168+J170+J166+J164+J162</f>
        <v>223253861.77000001</v>
      </c>
      <c r="K158" s="170">
        <f t="shared" si="35"/>
        <v>97.12072676688895</v>
      </c>
    </row>
    <row r="159" spans="1:11" ht="25.5" hidden="1">
      <c r="A159" s="202" t="s">
        <v>249</v>
      </c>
      <c r="B159" s="202" t="s">
        <v>206</v>
      </c>
      <c r="C159" s="202" t="s">
        <v>267</v>
      </c>
      <c r="D159" s="203" t="s">
        <v>1435</v>
      </c>
      <c r="E159" s="202" t="s">
        <v>271</v>
      </c>
      <c r="F159" s="202" t="s">
        <v>161</v>
      </c>
      <c r="G159" s="202" t="s">
        <v>11</v>
      </c>
      <c r="H159" s="302" t="s">
        <v>738</v>
      </c>
      <c r="I159" s="171"/>
      <c r="J159" s="171"/>
      <c r="K159" s="171" t="e">
        <f t="shared" si="35"/>
        <v>#DIV/0!</v>
      </c>
    </row>
    <row r="160" spans="1:11" ht="76.5">
      <c r="A160" s="204" t="s">
        <v>249</v>
      </c>
      <c r="B160" s="204" t="s">
        <v>206</v>
      </c>
      <c r="C160" s="204" t="s">
        <v>267</v>
      </c>
      <c r="D160" s="205" t="s">
        <v>1896</v>
      </c>
      <c r="E160" s="204" t="s">
        <v>159</v>
      </c>
      <c r="F160" s="204" t="s">
        <v>161</v>
      </c>
      <c r="G160" s="204" t="s">
        <v>1644</v>
      </c>
      <c r="H160" s="194" t="s">
        <v>1897</v>
      </c>
      <c r="I160" s="170">
        <f t="shared" ref="I160:J160" si="39">I161</f>
        <v>3300000</v>
      </c>
      <c r="J160" s="170">
        <f t="shared" si="39"/>
        <v>3300000</v>
      </c>
      <c r="K160" s="170">
        <f t="shared" si="35"/>
        <v>100</v>
      </c>
    </row>
    <row r="161" spans="1:11" ht="72.75" customHeight="1">
      <c r="A161" s="202" t="s">
        <v>249</v>
      </c>
      <c r="B161" s="202" t="s">
        <v>206</v>
      </c>
      <c r="C161" s="202" t="s">
        <v>267</v>
      </c>
      <c r="D161" s="203" t="s">
        <v>1896</v>
      </c>
      <c r="E161" s="202" t="s">
        <v>271</v>
      </c>
      <c r="F161" s="202" t="s">
        <v>161</v>
      </c>
      <c r="G161" s="202" t="s">
        <v>1644</v>
      </c>
      <c r="H161" s="302" t="s">
        <v>1897</v>
      </c>
      <c r="I161" s="171">
        <v>3300000</v>
      </c>
      <c r="J161" s="171">
        <v>3300000</v>
      </c>
      <c r="K161" s="171">
        <f t="shared" si="35"/>
        <v>100</v>
      </c>
    </row>
    <row r="162" spans="1:11" ht="29.25" customHeight="1">
      <c r="A162" s="202" t="s">
        <v>249</v>
      </c>
      <c r="B162" s="202" t="s">
        <v>206</v>
      </c>
      <c r="C162" s="202" t="s">
        <v>267</v>
      </c>
      <c r="D162" s="203" t="s">
        <v>2069</v>
      </c>
      <c r="E162" s="202" t="s">
        <v>159</v>
      </c>
      <c r="F162" s="202" t="s">
        <v>161</v>
      </c>
      <c r="G162" s="202" t="s">
        <v>1644</v>
      </c>
      <c r="H162" s="194" t="s">
        <v>2080</v>
      </c>
      <c r="I162" s="170">
        <f>I163</f>
        <v>60000</v>
      </c>
      <c r="J162" s="170">
        <f>J163</f>
        <v>60000</v>
      </c>
      <c r="K162" s="170">
        <f t="shared" si="35"/>
        <v>100</v>
      </c>
    </row>
    <row r="163" spans="1:11" ht="42" customHeight="1">
      <c r="A163" s="202" t="s">
        <v>249</v>
      </c>
      <c r="B163" s="202" t="s">
        <v>206</v>
      </c>
      <c r="C163" s="202" t="s">
        <v>267</v>
      </c>
      <c r="D163" s="203" t="s">
        <v>2069</v>
      </c>
      <c r="E163" s="202" t="s">
        <v>271</v>
      </c>
      <c r="F163" s="202" t="s">
        <v>161</v>
      </c>
      <c r="G163" s="202" t="s">
        <v>1644</v>
      </c>
      <c r="H163" s="302" t="s">
        <v>2070</v>
      </c>
      <c r="I163" s="171">
        <v>60000</v>
      </c>
      <c r="J163" s="171">
        <v>60000</v>
      </c>
      <c r="K163" s="171">
        <f t="shared" si="35"/>
        <v>100</v>
      </c>
    </row>
    <row r="164" spans="1:11" ht="38.25">
      <c r="A164" s="204" t="s">
        <v>249</v>
      </c>
      <c r="B164" s="204" t="s">
        <v>206</v>
      </c>
      <c r="C164" s="204" t="s">
        <v>267</v>
      </c>
      <c r="D164" s="205" t="s">
        <v>1612</v>
      </c>
      <c r="E164" s="204" t="s">
        <v>159</v>
      </c>
      <c r="F164" s="204" t="s">
        <v>161</v>
      </c>
      <c r="G164" s="204" t="s">
        <v>1644</v>
      </c>
      <c r="H164" s="339" t="s">
        <v>1611</v>
      </c>
      <c r="I164" s="170">
        <f>I165</f>
        <v>2216000</v>
      </c>
      <c r="J164" s="170">
        <f t="shared" ref="J164" si="40">J165</f>
        <v>2216000</v>
      </c>
      <c r="K164" s="170">
        <f t="shared" si="35"/>
        <v>100</v>
      </c>
    </row>
    <row r="165" spans="1:11" ht="40.5" customHeight="1">
      <c r="A165" s="202" t="s">
        <v>249</v>
      </c>
      <c r="B165" s="202" t="s">
        <v>206</v>
      </c>
      <c r="C165" s="202" t="s">
        <v>267</v>
      </c>
      <c r="D165" s="203" t="s">
        <v>1612</v>
      </c>
      <c r="E165" s="202" t="s">
        <v>271</v>
      </c>
      <c r="F165" s="202" t="s">
        <v>161</v>
      </c>
      <c r="G165" s="202" t="s">
        <v>1644</v>
      </c>
      <c r="H165" s="302" t="s">
        <v>1608</v>
      </c>
      <c r="I165" s="171">
        <v>2216000</v>
      </c>
      <c r="J165" s="171">
        <v>2216000</v>
      </c>
      <c r="K165" s="171">
        <f t="shared" si="35"/>
        <v>100</v>
      </c>
    </row>
    <row r="166" spans="1:11" ht="38.25">
      <c r="A166" s="204" t="s">
        <v>249</v>
      </c>
      <c r="B166" s="204" t="s">
        <v>206</v>
      </c>
      <c r="C166" s="204" t="s">
        <v>267</v>
      </c>
      <c r="D166" s="205" t="s">
        <v>1597</v>
      </c>
      <c r="E166" s="204" t="s">
        <v>159</v>
      </c>
      <c r="F166" s="204" t="s">
        <v>161</v>
      </c>
      <c r="G166" s="204" t="s">
        <v>1644</v>
      </c>
      <c r="H166" s="326" t="s">
        <v>1596</v>
      </c>
      <c r="I166" s="170">
        <f t="shared" ref="I166:J166" si="41">I167</f>
        <v>1834092.8</v>
      </c>
      <c r="J166" s="170">
        <f t="shared" si="41"/>
        <v>1834092.8</v>
      </c>
      <c r="K166" s="170">
        <f t="shared" si="35"/>
        <v>100</v>
      </c>
    </row>
    <row r="167" spans="1:11" ht="83.25" customHeight="1">
      <c r="A167" s="202" t="s">
        <v>249</v>
      </c>
      <c r="B167" s="202" t="s">
        <v>206</v>
      </c>
      <c r="C167" s="202" t="s">
        <v>267</v>
      </c>
      <c r="D167" s="203" t="s">
        <v>1597</v>
      </c>
      <c r="E167" s="202" t="s">
        <v>271</v>
      </c>
      <c r="F167" s="202" t="s">
        <v>161</v>
      </c>
      <c r="G167" s="202" t="s">
        <v>1644</v>
      </c>
      <c r="H167" s="156" t="s">
        <v>1595</v>
      </c>
      <c r="I167" s="171">
        <v>1834092.8</v>
      </c>
      <c r="J167" s="171">
        <v>1834092.8</v>
      </c>
      <c r="K167" s="171">
        <f t="shared" si="35"/>
        <v>100</v>
      </c>
    </row>
    <row r="168" spans="1:11">
      <c r="A168" s="204" t="s">
        <v>249</v>
      </c>
      <c r="B168" s="204" t="s">
        <v>206</v>
      </c>
      <c r="C168" s="204" t="s">
        <v>267</v>
      </c>
      <c r="D168" s="205" t="s">
        <v>1393</v>
      </c>
      <c r="E168" s="204" t="s">
        <v>159</v>
      </c>
      <c r="F168" s="204" t="s">
        <v>161</v>
      </c>
      <c r="G168" s="204" t="s">
        <v>1644</v>
      </c>
      <c r="H168" s="194" t="s">
        <v>1394</v>
      </c>
      <c r="I168" s="170">
        <f t="shared" ref="I168:J168" si="42">I169</f>
        <v>67393.47</v>
      </c>
      <c r="J168" s="170">
        <f t="shared" si="42"/>
        <v>67393.47</v>
      </c>
      <c r="K168" s="170">
        <f t="shared" si="35"/>
        <v>100</v>
      </c>
    </row>
    <row r="169" spans="1:11" ht="53.25" customHeight="1">
      <c r="A169" s="202" t="s">
        <v>249</v>
      </c>
      <c r="B169" s="202" t="s">
        <v>206</v>
      </c>
      <c r="C169" s="202" t="s">
        <v>267</v>
      </c>
      <c r="D169" s="203" t="s">
        <v>1393</v>
      </c>
      <c r="E169" s="202" t="s">
        <v>271</v>
      </c>
      <c r="F169" s="202" t="s">
        <v>161</v>
      </c>
      <c r="G169" s="202" t="s">
        <v>1644</v>
      </c>
      <c r="H169" s="302" t="s">
        <v>1834</v>
      </c>
      <c r="I169" s="171">
        <f>67400-6.53</f>
        <v>67393.47</v>
      </c>
      <c r="J169" s="171">
        <v>67393.47</v>
      </c>
      <c r="K169" s="171">
        <f t="shared" si="35"/>
        <v>100</v>
      </c>
    </row>
    <row r="170" spans="1:11" ht="43.5" customHeight="1">
      <c r="A170" s="204" t="s">
        <v>249</v>
      </c>
      <c r="B170" s="204" t="s">
        <v>206</v>
      </c>
      <c r="C170" s="204" t="s">
        <v>267</v>
      </c>
      <c r="D170" s="205" t="s">
        <v>1871</v>
      </c>
      <c r="E170" s="204" t="s">
        <v>159</v>
      </c>
      <c r="F170" s="204" t="s">
        <v>161</v>
      </c>
      <c r="G170" s="204" t="s">
        <v>1644</v>
      </c>
      <c r="H170" s="326" t="s">
        <v>1870</v>
      </c>
      <c r="I170" s="170">
        <f t="shared" ref="I170:J170" si="43">I171</f>
        <v>1496600</v>
      </c>
      <c r="J170" s="170">
        <f t="shared" si="43"/>
        <v>1496600</v>
      </c>
      <c r="K170" s="170">
        <f t="shared" si="35"/>
        <v>100</v>
      </c>
    </row>
    <row r="171" spans="1:11" ht="76.5">
      <c r="A171" s="202" t="s">
        <v>249</v>
      </c>
      <c r="B171" s="202" t="s">
        <v>206</v>
      </c>
      <c r="C171" s="202" t="s">
        <v>267</v>
      </c>
      <c r="D171" s="203" t="s">
        <v>1871</v>
      </c>
      <c r="E171" s="202" t="s">
        <v>271</v>
      </c>
      <c r="F171" s="202" t="s">
        <v>161</v>
      </c>
      <c r="G171" s="202" t="s">
        <v>1644</v>
      </c>
      <c r="H171" s="54" t="s">
        <v>1872</v>
      </c>
      <c r="I171" s="171">
        <v>1496600</v>
      </c>
      <c r="J171" s="171">
        <v>1496600</v>
      </c>
      <c r="K171" s="171">
        <f t="shared" si="35"/>
        <v>100</v>
      </c>
    </row>
    <row r="172" spans="1:11">
      <c r="A172" s="204" t="s">
        <v>249</v>
      </c>
      <c r="B172" s="204" t="s">
        <v>206</v>
      </c>
      <c r="C172" s="204" t="s">
        <v>267</v>
      </c>
      <c r="D172" s="205">
        <v>29999</v>
      </c>
      <c r="E172" s="204" t="s">
        <v>159</v>
      </c>
      <c r="F172" s="204" t="s">
        <v>161</v>
      </c>
      <c r="G172" s="204" t="s">
        <v>1644</v>
      </c>
      <c r="H172" s="324" t="s">
        <v>71</v>
      </c>
      <c r="I172" s="170">
        <f t="shared" ref="I172:J172" si="44">I173</f>
        <v>220898433.43000001</v>
      </c>
      <c r="J172" s="170">
        <f t="shared" si="44"/>
        <v>214279775.5</v>
      </c>
      <c r="K172" s="170">
        <f t="shared" si="35"/>
        <v>97.003755152434167</v>
      </c>
    </row>
    <row r="173" spans="1:11">
      <c r="A173" s="204" t="s">
        <v>249</v>
      </c>
      <c r="B173" s="204" t="s">
        <v>206</v>
      </c>
      <c r="C173" s="204" t="s">
        <v>267</v>
      </c>
      <c r="D173" s="205" t="s">
        <v>1224</v>
      </c>
      <c r="E173" s="204" t="s">
        <v>271</v>
      </c>
      <c r="F173" s="204" t="s">
        <v>161</v>
      </c>
      <c r="G173" s="204" t="s">
        <v>1644</v>
      </c>
      <c r="H173" s="326" t="s">
        <v>72</v>
      </c>
      <c r="I173" s="170">
        <f>SUM(I174:I205)</f>
        <v>220898433.43000001</v>
      </c>
      <c r="J173" s="170">
        <f>SUM(J174:J205)</f>
        <v>214279775.5</v>
      </c>
      <c r="K173" s="170">
        <f t="shared" si="35"/>
        <v>97.003755152434167</v>
      </c>
    </row>
    <row r="174" spans="1:11" ht="63.75">
      <c r="A174" s="202" t="s">
        <v>249</v>
      </c>
      <c r="B174" s="202" t="s">
        <v>206</v>
      </c>
      <c r="C174" s="202" t="s">
        <v>267</v>
      </c>
      <c r="D174" s="203" t="s">
        <v>1224</v>
      </c>
      <c r="E174" s="202" t="s">
        <v>271</v>
      </c>
      <c r="F174" s="202" t="s">
        <v>1451</v>
      </c>
      <c r="G174" s="202" t="s">
        <v>1644</v>
      </c>
      <c r="H174" s="156" t="s">
        <v>1447</v>
      </c>
      <c r="I174" s="171">
        <f>32758400+20413200+14692200</f>
        <v>67863800</v>
      </c>
      <c r="J174" s="171">
        <v>67863800</v>
      </c>
      <c r="K174" s="171">
        <f t="shared" si="35"/>
        <v>100</v>
      </c>
    </row>
    <row r="175" spans="1:11" ht="102">
      <c r="A175" s="202" t="s">
        <v>249</v>
      </c>
      <c r="B175" s="202" t="s">
        <v>206</v>
      </c>
      <c r="C175" s="202" t="s">
        <v>267</v>
      </c>
      <c r="D175" s="203" t="s">
        <v>1224</v>
      </c>
      <c r="E175" s="202" t="s">
        <v>271</v>
      </c>
      <c r="F175" s="202" t="s">
        <v>2058</v>
      </c>
      <c r="G175" s="202" t="s">
        <v>1644</v>
      </c>
      <c r="H175" s="156" t="s">
        <v>2057</v>
      </c>
      <c r="I175" s="171">
        <v>3322300</v>
      </c>
      <c r="J175" s="171">
        <v>3322300</v>
      </c>
      <c r="K175" s="171">
        <f t="shared" si="35"/>
        <v>100</v>
      </c>
    </row>
    <row r="176" spans="1:11" ht="78" customHeight="1">
      <c r="A176" s="202" t="s">
        <v>249</v>
      </c>
      <c r="B176" s="202" t="s">
        <v>206</v>
      </c>
      <c r="C176" s="202" t="s">
        <v>267</v>
      </c>
      <c r="D176" s="203" t="s">
        <v>1224</v>
      </c>
      <c r="E176" s="202" t="s">
        <v>271</v>
      </c>
      <c r="F176" s="202" t="s">
        <v>1900</v>
      </c>
      <c r="G176" s="202" t="s">
        <v>1644</v>
      </c>
      <c r="H176" s="156" t="s">
        <v>1901</v>
      </c>
      <c r="I176" s="171">
        <f>661600+34800</f>
        <v>696400</v>
      </c>
      <c r="J176" s="171">
        <v>696400</v>
      </c>
      <c r="K176" s="171">
        <f t="shared" si="35"/>
        <v>100</v>
      </c>
    </row>
    <row r="177" spans="1:11" ht="78" customHeight="1">
      <c r="A177" s="202" t="s">
        <v>249</v>
      </c>
      <c r="B177" s="202" t="s">
        <v>206</v>
      </c>
      <c r="C177" s="202" t="s">
        <v>267</v>
      </c>
      <c r="D177" s="203" t="s">
        <v>1224</v>
      </c>
      <c r="E177" s="202" t="s">
        <v>271</v>
      </c>
      <c r="F177" s="202" t="s">
        <v>2018</v>
      </c>
      <c r="G177" s="202" t="s">
        <v>1644</v>
      </c>
      <c r="H177" s="156" t="s">
        <v>2010</v>
      </c>
      <c r="I177" s="171">
        <v>126900</v>
      </c>
      <c r="J177" s="171">
        <v>126900</v>
      </c>
      <c r="K177" s="171">
        <f t="shared" si="35"/>
        <v>100</v>
      </c>
    </row>
    <row r="178" spans="1:11" ht="152.25" customHeight="1">
      <c r="A178" s="202" t="s">
        <v>249</v>
      </c>
      <c r="B178" s="202" t="s">
        <v>206</v>
      </c>
      <c r="C178" s="202" t="s">
        <v>267</v>
      </c>
      <c r="D178" s="203" t="s">
        <v>1224</v>
      </c>
      <c r="E178" s="202" t="s">
        <v>271</v>
      </c>
      <c r="F178" s="202" t="s">
        <v>2017</v>
      </c>
      <c r="G178" s="202" t="s">
        <v>1644</v>
      </c>
      <c r="H178" s="156" t="s">
        <v>2011</v>
      </c>
      <c r="I178" s="171">
        <v>2554900</v>
      </c>
      <c r="J178" s="171">
        <v>2554900</v>
      </c>
      <c r="K178" s="171">
        <f t="shared" si="35"/>
        <v>100</v>
      </c>
    </row>
    <row r="179" spans="1:11" ht="63.75">
      <c r="A179" s="202" t="s">
        <v>249</v>
      </c>
      <c r="B179" s="202" t="s">
        <v>206</v>
      </c>
      <c r="C179" s="202" t="s">
        <v>267</v>
      </c>
      <c r="D179" s="203" t="s">
        <v>1224</v>
      </c>
      <c r="E179" s="202" t="s">
        <v>271</v>
      </c>
      <c r="F179" s="202" t="s">
        <v>1886</v>
      </c>
      <c r="G179" s="202" t="s">
        <v>1644</v>
      </c>
      <c r="H179" s="156" t="s">
        <v>1626</v>
      </c>
      <c r="I179" s="171">
        <v>1249400</v>
      </c>
      <c r="J179" s="171">
        <v>1249400</v>
      </c>
      <c r="K179" s="171">
        <f t="shared" si="35"/>
        <v>100</v>
      </c>
    </row>
    <row r="180" spans="1:11" ht="102">
      <c r="A180" s="202" t="s">
        <v>249</v>
      </c>
      <c r="B180" s="202" t="s">
        <v>206</v>
      </c>
      <c r="C180" s="202" t="s">
        <v>267</v>
      </c>
      <c r="D180" s="203" t="s">
        <v>1224</v>
      </c>
      <c r="E180" s="202" t="s">
        <v>271</v>
      </c>
      <c r="F180" s="202" t="s">
        <v>1567</v>
      </c>
      <c r="G180" s="202" t="s">
        <v>1644</v>
      </c>
      <c r="H180" s="314" t="s">
        <v>1568</v>
      </c>
      <c r="I180" s="171">
        <f>2357800+2357800</f>
        <v>4715600</v>
      </c>
      <c r="J180" s="171">
        <v>4715600</v>
      </c>
      <c r="K180" s="171">
        <f t="shared" si="35"/>
        <v>100</v>
      </c>
    </row>
    <row r="181" spans="1:11" ht="63.75">
      <c r="A181" s="202" t="s">
        <v>249</v>
      </c>
      <c r="B181" s="202" t="s">
        <v>206</v>
      </c>
      <c r="C181" s="202" t="s">
        <v>267</v>
      </c>
      <c r="D181" s="203" t="s">
        <v>1224</v>
      </c>
      <c r="E181" s="202" t="s">
        <v>271</v>
      </c>
      <c r="F181" s="202" t="s">
        <v>1569</v>
      </c>
      <c r="G181" s="202" t="s">
        <v>1644</v>
      </c>
      <c r="H181" s="314" t="s">
        <v>1570</v>
      </c>
      <c r="I181" s="171">
        <f>12901800+16845200</f>
        <v>29747000</v>
      </c>
      <c r="J181" s="171">
        <v>29747000</v>
      </c>
      <c r="K181" s="171">
        <f t="shared" si="35"/>
        <v>100</v>
      </c>
    </row>
    <row r="182" spans="1:11" ht="56.25" customHeight="1">
      <c r="A182" s="202" t="s">
        <v>249</v>
      </c>
      <c r="B182" s="202" t="s">
        <v>206</v>
      </c>
      <c r="C182" s="202" t="s">
        <v>267</v>
      </c>
      <c r="D182" s="203" t="s">
        <v>1224</v>
      </c>
      <c r="E182" s="202" t="s">
        <v>271</v>
      </c>
      <c r="F182" s="202" t="s">
        <v>1972</v>
      </c>
      <c r="G182" s="202" t="s">
        <v>1644</v>
      </c>
      <c r="H182" s="314" t="s">
        <v>1971</v>
      </c>
      <c r="I182" s="171">
        <v>360000</v>
      </c>
      <c r="J182" s="171">
        <v>360000</v>
      </c>
      <c r="K182" s="171">
        <f t="shared" si="35"/>
        <v>100</v>
      </c>
    </row>
    <row r="183" spans="1:11" ht="51">
      <c r="A183" s="202" t="s">
        <v>249</v>
      </c>
      <c r="B183" s="202" t="s">
        <v>206</v>
      </c>
      <c r="C183" s="202" t="s">
        <v>267</v>
      </c>
      <c r="D183" s="203" t="s">
        <v>1224</v>
      </c>
      <c r="E183" s="202" t="s">
        <v>271</v>
      </c>
      <c r="F183" s="202" t="s">
        <v>1389</v>
      </c>
      <c r="G183" s="202" t="s">
        <v>1644</v>
      </c>
      <c r="H183" s="260" t="s">
        <v>1390</v>
      </c>
      <c r="I183" s="171">
        <v>317600</v>
      </c>
      <c r="J183" s="171">
        <v>149724.39000000001</v>
      </c>
      <c r="K183" s="171">
        <f t="shared" si="35"/>
        <v>47.142440176322417</v>
      </c>
    </row>
    <row r="184" spans="1:11" ht="63.75">
      <c r="A184" s="202" t="s">
        <v>249</v>
      </c>
      <c r="B184" s="202" t="s">
        <v>206</v>
      </c>
      <c r="C184" s="202" t="s">
        <v>267</v>
      </c>
      <c r="D184" s="203" t="s">
        <v>1224</v>
      </c>
      <c r="E184" s="202" t="s">
        <v>271</v>
      </c>
      <c r="F184" s="202" t="s">
        <v>1432</v>
      </c>
      <c r="G184" s="202" t="s">
        <v>1644</v>
      </c>
      <c r="H184" s="260" t="s">
        <v>1431</v>
      </c>
      <c r="I184" s="171">
        <v>11580</v>
      </c>
      <c r="J184" s="171">
        <v>11580</v>
      </c>
      <c r="K184" s="171">
        <f t="shared" si="35"/>
        <v>100</v>
      </c>
    </row>
    <row r="185" spans="1:11" ht="76.5">
      <c r="A185" s="202" t="s">
        <v>249</v>
      </c>
      <c r="B185" s="202" t="s">
        <v>206</v>
      </c>
      <c r="C185" s="202" t="s">
        <v>267</v>
      </c>
      <c r="D185" s="203" t="s">
        <v>1224</v>
      </c>
      <c r="E185" s="202" t="s">
        <v>271</v>
      </c>
      <c r="F185" s="202" t="s">
        <v>1391</v>
      </c>
      <c r="G185" s="202" t="s">
        <v>1644</v>
      </c>
      <c r="H185" s="260" t="s">
        <v>1385</v>
      </c>
      <c r="I185" s="171">
        <v>1764001</v>
      </c>
      <c r="J185" s="171">
        <v>1764001</v>
      </c>
      <c r="K185" s="171">
        <f t="shared" si="35"/>
        <v>100</v>
      </c>
    </row>
    <row r="186" spans="1:11" ht="102">
      <c r="A186" s="202" t="s">
        <v>249</v>
      </c>
      <c r="B186" s="202" t="s">
        <v>206</v>
      </c>
      <c r="C186" s="202" t="s">
        <v>267</v>
      </c>
      <c r="D186" s="203" t="s">
        <v>1224</v>
      </c>
      <c r="E186" s="202" t="s">
        <v>271</v>
      </c>
      <c r="F186" s="202" t="s">
        <v>1392</v>
      </c>
      <c r="G186" s="202" t="s">
        <v>1644</v>
      </c>
      <c r="H186" s="260" t="s">
        <v>1386</v>
      </c>
      <c r="I186" s="171">
        <v>65000</v>
      </c>
      <c r="J186" s="171">
        <v>64899.9</v>
      </c>
      <c r="K186" s="171">
        <f t="shared" si="35"/>
        <v>99.846000000000004</v>
      </c>
    </row>
    <row r="187" spans="1:11" ht="71.25" customHeight="1">
      <c r="A187" s="202" t="s">
        <v>249</v>
      </c>
      <c r="B187" s="202" t="s">
        <v>206</v>
      </c>
      <c r="C187" s="202" t="s">
        <v>267</v>
      </c>
      <c r="D187" s="203" t="s">
        <v>1224</v>
      </c>
      <c r="E187" s="202" t="s">
        <v>271</v>
      </c>
      <c r="F187" s="202" t="s">
        <v>1898</v>
      </c>
      <c r="G187" s="202" t="s">
        <v>1644</v>
      </c>
      <c r="H187" s="206" t="s">
        <v>1892</v>
      </c>
      <c r="I187" s="171">
        <v>673200</v>
      </c>
      <c r="J187" s="171">
        <v>673200</v>
      </c>
      <c r="K187" s="171">
        <f t="shared" si="35"/>
        <v>100</v>
      </c>
    </row>
    <row r="188" spans="1:11" ht="71.25" customHeight="1">
      <c r="A188" s="202" t="s">
        <v>249</v>
      </c>
      <c r="B188" s="202" t="s">
        <v>206</v>
      </c>
      <c r="C188" s="202" t="s">
        <v>267</v>
      </c>
      <c r="D188" s="203" t="s">
        <v>1224</v>
      </c>
      <c r="E188" s="202" t="s">
        <v>271</v>
      </c>
      <c r="F188" s="202" t="s">
        <v>1456</v>
      </c>
      <c r="G188" s="202" t="s">
        <v>1644</v>
      </c>
      <c r="H188" s="206" t="s">
        <v>1455</v>
      </c>
      <c r="I188" s="171">
        <v>75675.679999999993</v>
      </c>
      <c r="J188" s="171">
        <v>75675.679999999993</v>
      </c>
      <c r="K188" s="171">
        <f t="shared" si="35"/>
        <v>100</v>
      </c>
    </row>
    <row r="189" spans="1:11" ht="63.75">
      <c r="A189" s="202" t="s">
        <v>249</v>
      </c>
      <c r="B189" s="202" t="s">
        <v>206</v>
      </c>
      <c r="C189" s="202" t="s">
        <v>267</v>
      </c>
      <c r="D189" s="203" t="s">
        <v>1224</v>
      </c>
      <c r="E189" s="202" t="s">
        <v>271</v>
      </c>
      <c r="F189" s="202" t="s">
        <v>336</v>
      </c>
      <c r="G189" s="202" t="s">
        <v>1644</v>
      </c>
      <c r="H189" s="206" t="s">
        <v>756</v>
      </c>
      <c r="I189" s="325">
        <v>1062400</v>
      </c>
      <c r="J189" s="325">
        <v>1062400</v>
      </c>
      <c r="K189" s="171">
        <f t="shared" si="35"/>
        <v>100</v>
      </c>
    </row>
    <row r="190" spans="1:11" ht="76.5">
      <c r="A190" s="202" t="s">
        <v>249</v>
      </c>
      <c r="B190" s="202" t="s">
        <v>206</v>
      </c>
      <c r="C190" s="202" t="s">
        <v>267</v>
      </c>
      <c r="D190" s="203" t="s">
        <v>1224</v>
      </c>
      <c r="E190" s="202" t="s">
        <v>271</v>
      </c>
      <c r="F190" s="202" t="s">
        <v>1965</v>
      </c>
      <c r="G190" s="202" t="s">
        <v>1644</v>
      </c>
      <c r="H190" s="206" t="s">
        <v>1964</v>
      </c>
      <c r="I190" s="325">
        <f>1315200+9144460</f>
        <v>10459660</v>
      </c>
      <c r="J190" s="325">
        <v>6738160</v>
      </c>
      <c r="K190" s="171">
        <f t="shared" si="35"/>
        <v>64.420449613084941</v>
      </c>
    </row>
    <row r="191" spans="1:11" ht="81" customHeight="1">
      <c r="A191" s="202" t="s">
        <v>249</v>
      </c>
      <c r="B191" s="202" t="s">
        <v>206</v>
      </c>
      <c r="C191" s="202" t="s">
        <v>267</v>
      </c>
      <c r="D191" s="203" t="s">
        <v>1224</v>
      </c>
      <c r="E191" s="202" t="s">
        <v>271</v>
      </c>
      <c r="F191" s="202" t="s">
        <v>1899</v>
      </c>
      <c r="G191" s="202" t="s">
        <v>1644</v>
      </c>
      <c r="H191" s="206" t="s">
        <v>1895</v>
      </c>
      <c r="I191" s="325">
        <v>358000</v>
      </c>
      <c r="J191" s="325">
        <v>358000</v>
      </c>
      <c r="K191" s="171">
        <f t="shared" si="35"/>
        <v>100</v>
      </c>
    </row>
    <row r="192" spans="1:11" ht="69" customHeight="1">
      <c r="A192" s="202" t="s">
        <v>249</v>
      </c>
      <c r="B192" s="202" t="s">
        <v>206</v>
      </c>
      <c r="C192" s="202" t="s">
        <v>267</v>
      </c>
      <c r="D192" s="203" t="s">
        <v>1224</v>
      </c>
      <c r="E192" s="202" t="s">
        <v>271</v>
      </c>
      <c r="F192" s="202" t="s">
        <v>1836</v>
      </c>
      <c r="G192" s="202" t="s">
        <v>1644</v>
      </c>
      <c r="H192" s="206" t="s">
        <v>1835</v>
      </c>
      <c r="I192" s="325">
        <f>296500+6.53</f>
        <v>296506.53000000003</v>
      </c>
      <c r="J192" s="325">
        <v>296506.53000000003</v>
      </c>
      <c r="K192" s="171">
        <f t="shared" si="35"/>
        <v>100</v>
      </c>
    </row>
    <row r="193" spans="1:11" ht="63.75">
      <c r="A193" s="202" t="s">
        <v>249</v>
      </c>
      <c r="B193" s="202" t="s">
        <v>206</v>
      </c>
      <c r="C193" s="202" t="s">
        <v>267</v>
      </c>
      <c r="D193" s="203" t="s">
        <v>1224</v>
      </c>
      <c r="E193" s="202" t="s">
        <v>271</v>
      </c>
      <c r="F193" s="202" t="s">
        <v>1395</v>
      </c>
      <c r="G193" s="202" t="s">
        <v>1644</v>
      </c>
      <c r="H193" s="206" t="s">
        <v>1396</v>
      </c>
      <c r="I193" s="325">
        <v>278800</v>
      </c>
      <c r="J193" s="325">
        <v>278800</v>
      </c>
      <c r="K193" s="171">
        <f t="shared" si="35"/>
        <v>100</v>
      </c>
    </row>
    <row r="194" spans="1:11" ht="59.25" customHeight="1">
      <c r="A194" s="202" t="s">
        <v>249</v>
      </c>
      <c r="B194" s="202" t="s">
        <v>206</v>
      </c>
      <c r="C194" s="202" t="s">
        <v>267</v>
      </c>
      <c r="D194" s="203" t="s">
        <v>1224</v>
      </c>
      <c r="E194" s="202" t="s">
        <v>271</v>
      </c>
      <c r="F194" s="202" t="s">
        <v>1613</v>
      </c>
      <c r="G194" s="202" t="s">
        <v>1644</v>
      </c>
      <c r="H194" s="206" t="s">
        <v>1610</v>
      </c>
      <c r="I194" s="325">
        <v>2191900</v>
      </c>
      <c r="J194" s="325">
        <v>0</v>
      </c>
      <c r="K194" s="171">
        <f t="shared" ref="K194:K257" si="45">J194/I194*100</f>
        <v>0</v>
      </c>
    </row>
    <row r="195" spans="1:11" ht="63.75">
      <c r="A195" s="202" t="s">
        <v>249</v>
      </c>
      <c r="B195" s="202" t="s">
        <v>206</v>
      </c>
      <c r="C195" s="202" t="s">
        <v>267</v>
      </c>
      <c r="D195" s="203" t="s">
        <v>1224</v>
      </c>
      <c r="E195" s="202" t="s">
        <v>271</v>
      </c>
      <c r="F195" s="202" t="s">
        <v>1397</v>
      </c>
      <c r="G195" s="202" t="s">
        <v>1644</v>
      </c>
      <c r="H195" s="206" t="s">
        <v>1398</v>
      </c>
      <c r="I195" s="325">
        <v>7923900</v>
      </c>
      <c r="J195" s="325">
        <v>7923900</v>
      </c>
      <c r="K195" s="171">
        <f t="shared" si="45"/>
        <v>100</v>
      </c>
    </row>
    <row r="196" spans="1:11" ht="63.75">
      <c r="A196" s="202" t="s">
        <v>249</v>
      </c>
      <c r="B196" s="202" t="s">
        <v>206</v>
      </c>
      <c r="C196" s="202" t="s">
        <v>267</v>
      </c>
      <c r="D196" s="203" t="s">
        <v>1224</v>
      </c>
      <c r="E196" s="202" t="s">
        <v>271</v>
      </c>
      <c r="F196" s="202" t="s">
        <v>1400</v>
      </c>
      <c r="G196" s="202" t="s">
        <v>1644</v>
      </c>
      <c r="H196" s="206" t="s">
        <v>1401</v>
      </c>
      <c r="I196" s="325">
        <v>21331000</v>
      </c>
      <c r="J196" s="325">
        <v>21330999.579999998</v>
      </c>
      <c r="K196" s="171">
        <f t="shared" si="45"/>
        <v>99.999998031034636</v>
      </c>
    </row>
    <row r="197" spans="1:11" ht="89.25">
      <c r="A197" s="202" t="s">
        <v>249</v>
      </c>
      <c r="B197" s="202" t="s">
        <v>206</v>
      </c>
      <c r="C197" s="202" t="s">
        <v>267</v>
      </c>
      <c r="D197" s="203" t="s">
        <v>1224</v>
      </c>
      <c r="E197" s="202" t="s">
        <v>271</v>
      </c>
      <c r="F197" s="202" t="s">
        <v>2029</v>
      </c>
      <c r="G197" s="202" t="s">
        <v>1644</v>
      </c>
      <c r="H197" s="206" t="s">
        <v>2028</v>
      </c>
      <c r="I197" s="325">
        <v>12306000</v>
      </c>
      <c r="J197" s="325">
        <v>12306000</v>
      </c>
      <c r="K197" s="171">
        <f t="shared" si="45"/>
        <v>100</v>
      </c>
    </row>
    <row r="198" spans="1:11" ht="76.5">
      <c r="A198" s="202" t="s">
        <v>249</v>
      </c>
      <c r="B198" s="202" t="s">
        <v>206</v>
      </c>
      <c r="C198" s="202" t="s">
        <v>267</v>
      </c>
      <c r="D198" s="203" t="s">
        <v>1224</v>
      </c>
      <c r="E198" s="202" t="s">
        <v>271</v>
      </c>
      <c r="F198" s="202" t="s">
        <v>1885</v>
      </c>
      <c r="G198" s="202" t="s">
        <v>1644</v>
      </c>
      <c r="H198" s="206" t="s">
        <v>1883</v>
      </c>
      <c r="I198" s="325">
        <v>2708700</v>
      </c>
      <c r="J198" s="325">
        <v>2519091</v>
      </c>
      <c r="K198" s="171">
        <f t="shared" si="45"/>
        <v>93</v>
      </c>
    </row>
    <row r="199" spans="1:11" ht="73.5" customHeight="1">
      <c r="A199" s="202" t="s">
        <v>249</v>
      </c>
      <c r="B199" s="202" t="s">
        <v>206</v>
      </c>
      <c r="C199" s="202" t="s">
        <v>267</v>
      </c>
      <c r="D199" s="203" t="s">
        <v>1224</v>
      </c>
      <c r="E199" s="202" t="s">
        <v>271</v>
      </c>
      <c r="F199" s="202" t="s">
        <v>1430</v>
      </c>
      <c r="G199" s="202" t="s">
        <v>1644</v>
      </c>
      <c r="H199" s="206" t="s">
        <v>1429</v>
      </c>
      <c r="I199" s="325">
        <f>4776300+2700000</f>
        <v>7476300</v>
      </c>
      <c r="J199" s="325">
        <v>7260470</v>
      </c>
      <c r="K199" s="171">
        <f t="shared" si="45"/>
        <v>97.113144202346078</v>
      </c>
    </row>
    <row r="200" spans="1:11" ht="102">
      <c r="A200" s="202" t="s">
        <v>249</v>
      </c>
      <c r="B200" s="202" t="s">
        <v>206</v>
      </c>
      <c r="C200" s="202" t="s">
        <v>267</v>
      </c>
      <c r="D200" s="203" t="s">
        <v>1224</v>
      </c>
      <c r="E200" s="202" t="s">
        <v>271</v>
      </c>
      <c r="F200" s="202" t="s">
        <v>335</v>
      </c>
      <c r="G200" s="202" t="s">
        <v>1644</v>
      </c>
      <c r="H200" s="206" t="s">
        <v>759</v>
      </c>
      <c r="I200" s="325">
        <v>60600</v>
      </c>
      <c r="J200" s="325">
        <v>60600</v>
      </c>
      <c r="K200" s="171">
        <f t="shared" si="45"/>
        <v>100</v>
      </c>
    </row>
    <row r="201" spans="1:11" ht="178.5">
      <c r="A201" s="202" t="s">
        <v>249</v>
      </c>
      <c r="B201" s="202" t="s">
        <v>206</v>
      </c>
      <c r="C201" s="202" t="s">
        <v>267</v>
      </c>
      <c r="D201" s="203" t="s">
        <v>1224</v>
      </c>
      <c r="E201" s="202" t="s">
        <v>271</v>
      </c>
      <c r="F201" s="202" t="s">
        <v>1445</v>
      </c>
      <c r="G201" s="202" t="s">
        <v>1644</v>
      </c>
      <c r="H201" s="206" t="s">
        <v>1444</v>
      </c>
      <c r="I201" s="325">
        <v>22300000</v>
      </c>
      <c r="J201" s="325">
        <v>22300000</v>
      </c>
      <c r="K201" s="171">
        <f t="shared" si="45"/>
        <v>100</v>
      </c>
    </row>
    <row r="202" spans="1:11" ht="153">
      <c r="A202" s="208" t="s">
        <v>249</v>
      </c>
      <c r="B202" s="208" t="s">
        <v>206</v>
      </c>
      <c r="C202" s="208" t="s">
        <v>267</v>
      </c>
      <c r="D202" s="208">
        <v>29999</v>
      </c>
      <c r="E202" s="208" t="s">
        <v>271</v>
      </c>
      <c r="F202" s="208">
        <v>7580</v>
      </c>
      <c r="G202" s="208">
        <v>150</v>
      </c>
      <c r="H202" s="206" t="s">
        <v>2033</v>
      </c>
      <c r="I202" s="325">
        <f>380300-124549.78</f>
        <v>255750.22</v>
      </c>
      <c r="J202" s="325">
        <v>255750.22</v>
      </c>
      <c r="K202" s="171">
        <f t="shared" si="45"/>
        <v>100</v>
      </c>
    </row>
    <row r="203" spans="1:11" ht="89.25">
      <c r="A203" s="202" t="s">
        <v>249</v>
      </c>
      <c r="B203" s="202" t="s">
        <v>206</v>
      </c>
      <c r="C203" s="202" t="s">
        <v>267</v>
      </c>
      <c r="D203" s="203" t="s">
        <v>1224</v>
      </c>
      <c r="E203" s="202" t="s">
        <v>271</v>
      </c>
      <c r="F203" s="202" t="s">
        <v>1463</v>
      </c>
      <c r="G203" s="202" t="s">
        <v>1644</v>
      </c>
      <c r="H203" s="206" t="s">
        <v>1462</v>
      </c>
      <c r="I203" s="325">
        <v>15388040</v>
      </c>
      <c r="J203" s="325">
        <v>15388040</v>
      </c>
      <c r="K203" s="171">
        <f t="shared" si="45"/>
        <v>100</v>
      </c>
    </row>
    <row r="204" spans="1:11" ht="76.5">
      <c r="A204" s="202" t="s">
        <v>249</v>
      </c>
      <c r="B204" s="202" t="s">
        <v>206</v>
      </c>
      <c r="C204" s="202" t="s">
        <v>267</v>
      </c>
      <c r="D204" s="203" t="s">
        <v>1224</v>
      </c>
      <c r="E204" s="202" t="s">
        <v>271</v>
      </c>
      <c r="F204" s="202" t="s">
        <v>1453</v>
      </c>
      <c r="G204" s="202" t="s">
        <v>1644</v>
      </c>
      <c r="H204" s="206" t="s">
        <v>1452</v>
      </c>
      <c r="I204" s="325">
        <v>2747520</v>
      </c>
      <c r="J204" s="325">
        <v>2615677.2000000002</v>
      </c>
      <c r="K204" s="171">
        <f t="shared" si="45"/>
        <v>95.2013888888889</v>
      </c>
    </row>
    <row r="205" spans="1:11" ht="76.5">
      <c r="A205" s="202" t="s">
        <v>249</v>
      </c>
      <c r="B205" s="202" t="s">
        <v>206</v>
      </c>
      <c r="C205" s="202" t="s">
        <v>267</v>
      </c>
      <c r="D205" s="203" t="s">
        <v>1224</v>
      </c>
      <c r="E205" s="202" t="s">
        <v>271</v>
      </c>
      <c r="F205" s="202" t="s">
        <v>1454</v>
      </c>
      <c r="G205" s="202" t="s">
        <v>1644</v>
      </c>
      <c r="H205" s="206" t="s">
        <v>1450</v>
      </c>
      <c r="I205" s="325">
        <v>210000</v>
      </c>
      <c r="J205" s="325">
        <v>210000</v>
      </c>
      <c r="K205" s="171">
        <f t="shared" si="45"/>
        <v>100</v>
      </c>
    </row>
    <row r="206" spans="1:11" ht="31.5" customHeight="1">
      <c r="A206" s="204" t="s">
        <v>249</v>
      </c>
      <c r="B206" s="204" t="s">
        <v>206</v>
      </c>
      <c r="C206" s="204" t="s">
        <v>267</v>
      </c>
      <c r="D206" s="205" t="s">
        <v>1225</v>
      </c>
      <c r="E206" s="204" t="s">
        <v>159</v>
      </c>
      <c r="F206" s="204" t="s">
        <v>161</v>
      </c>
      <c r="G206" s="204" t="s">
        <v>1644</v>
      </c>
      <c r="H206" s="195" t="s">
        <v>92</v>
      </c>
      <c r="I206" s="168">
        <f>I207+I233+I235+I237</f>
        <v>1049436866.6</v>
      </c>
      <c r="J206" s="168">
        <f>J207+J233+J235+J237</f>
        <v>1045312619.85</v>
      </c>
      <c r="K206" s="170">
        <f t="shared" si="45"/>
        <v>99.607003824502385</v>
      </c>
    </row>
    <row r="207" spans="1:11" ht="36" customHeight="1">
      <c r="A207" s="204" t="s">
        <v>249</v>
      </c>
      <c r="B207" s="204" t="s">
        <v>206</v>
      </c>
      <c r="C207" s="204" t="s">
        <v>267</v>
      </c>
      <c r="D207" s="205" t="s">
        <v>1227</v>
      </c>
      <c r="E207" s="204" t="s">
        <v>159</v>
      </c>
      <c r="F207" s="204" t="s">
        <v>161</v>
      </c>
      <c r="G207" s="204" t="s">
        <v>1644</v>
      </c>
      <c r="H207" s="192" t="s">
        <v>6</v>
      </c>
      <c r="I207" s="183">
        <f t="shared" ref="I207:J207" si="46">I208</f>
        <v>1042677866.6</v>
      </c>
      <c r="J207" s="183">
        <f t="shared" si="46"/>
        <v>1038573302.28</v>
      </c>
      <c r="K207" s="170">
        <f t="shared" si="45"/>
        <v>99.606343967635539</v>
      </c>
    </row>
    <row r="208" spans="1:11" ht="25.5">
      <c r="A208" s="204" t="s">
        <v>249</v>
      </c>
      <c r="B208" s="204" t="s">
        <v>206</v>
      </c>
      <c r="C208" s="204" t="s">
        <v>267</v>
      </c>
      <c r="D208" s="205" t="s">
        <v>1227</v>
      </c>
      <c r="E208" s="204" t="s">
        <v>271</v>
      </c>
      <c r="F208" s="204" t="s">
        <v>161</v>
      </c>
      <c r="G208" s="204" t="s">
        <v>1644</v>
      </c>
      <c r="H208" s="192" t="s">
        <v>7</v>
      </c>
      <c r="I208" s="183">
        <f t="shared" ref="I208:J208" si="47">SUM(I209:I232)</f>
        <v>1042677866.6</v>
      </c>
      <c r="J208" s="183">
        <f t="shared" si="47"/>
        <v>1038573302.28</v>
      </c>
      <c r="K208" s="170">
        <f t="shared" si="45"/>
        <v>99.606343967635539</v>
      </c>
    </row>
    <row r="209" spans="1:11" ht="114.75">
      <c r="A209" s="202" t="s">
        <v>249</v>
      </c>
      <c r="B209" s="202" t="s">
        <v>206</v>
      </c>
      <c r="C209" s="202" t="s">
        <v>267</v>
      </c>
      <c r="D209" s="207" t="s">
        <v>1227</v>
      </c>
      <c r="E209" s="202" t="s">
        <v>271</v>
      </c>
      <c r="F209" s="202" t="s">
        <v>338</v>
      </c>
      <c r="G209" s="202" t="s">
        <v>1644</v>
      </c>
      <c r="H209" s="206" t="s">
        <v>757</v>
      </c>
      <c r="I209" s="325">
        <f>63202800+2427700+337000+758070+171100+42600+2905900</f>
        <v>69845170</v>
      </c>
      <c r="J209" s="325">
        <v>69845170</v>
      </c>
      <c r="K209" s="171">
        <f t="shared" si="45"/>
        <v>100</v>
      </c>
    </row>
    <row r="210" spans="1:11" ht="51">
      <c r="A210" s="202" t="s">
        <v>249</v>
      </c>
      <c r="B210" s="202" t="s">
        <v>206</v>
      </c>
      <c r="C210" s="202" t="s">
        <v>267</v>
      </c>
      <c r="D210" s="207" t="s">
        <v>1227</v>
      </c>
      <c r="E210" s="202" t="s">
        <v>271</v>
      </c>
      <c r="F210" s="202" t="s">
        <v>2030</v>
      </c>
      <c r="G210" s="202" t="s">
        <v>1644</v>
      </c>
      <c r="H210" s="206" t="s">
        <v>2031</v>
      </c>
      <c r="I210" s="325">
        <f>180700-62140</f>
        <v>118560</v>
      </c>
      <c r="J210" s="325">
        <v>118556</v>
      </c>
      <c r="K210" s="171">
        <f t="shared" si="45"/>
        <v>99.996626180836714</v>
      </c>
    </row>
    <row r="211" spans="1:11" ht="89.25">
      <c r="A211" s="202" t="s">
        <v>249</v>
      </c>
      <c r="B211" s="202" t="s">
        <v>206</v>
      </c>
      <c r="C211" s="202" t="s">
        <v>267</v>
      </c>
      <c r="D211" s="207" t="s">
        <v>1227</v>
      </c>
      <c r="E211" s="202" t="s">
        <v>271</v>
      </c>
      <c r="F211" s="202" t="s">
        <v>1228</v>
      </c>
      <c r="G211" s="202" t="s">
        <v>1644</v>
      </c>
      <c r="H211" s="206" t="s">
        <v>1519</v>
      </c>
      <c r="I211" s="325">
        <v>192100</v>
      </c>
      <c r="J211" s="325">
        <v>181972.8</v>
      </c>
      <c r="K211" s="171">
        <f t="shared" si="45"/>
        <v>94.728162415408633</v>
      </c>
    </row>
    <row r="212" spans="1:11" ht="89.25">
      <c r="A212" s="202" t="s">
        <v>249</v>
      </c>
      <c r="B212" s="202" t="s">
        <v>206</v>
      </c>
      <c r="C212" s="202" t="s">
        <v>267</v>
      </c>
      <c r="D212" s="207" t="s">
        <v>1227</v>
      </c>
      <c r="E212" s="202" t="s">
        <v>271</v>
      </c>
      <c r="F212" s="202">
        <v>2438</v>
      </c>
      <c r="G212" s="202">
        <v>150</v>
      </c>
      <c r="H212" s="206" t="s">
        <v>1645</v>
      </c>
      <c r="I212" s="325">
        <v>9600</v>
      </c>
      <c r="J212" s="325">
        <v>9600</v>
      </c>
      <c r="K212" s="171">
        <f t="shared" si="45"/>
        <v>100</v>
      </c>
    </row>
    <row r="213" spans="1:11" ht="178.5">
      <c r="A213" s="202" t="s">
        <v>249</v>
      </c>
      <c r="B213" s="202" t="s">
        <v>206</v>
      </c>
      <c r="C213" s="202" t="s">
        <v>267</v>
      </c>
      <c r="D213" s="207" t="s">
        <v>1227</v>
      </c>
      <c r="E213" s="202" t="s">
        <v>271</v>
      </c>
      <c r="F213" s="202" t="s">
        <v>762</v>
      </c>
      <c r="G213" s="202" t="s">
        <v>1644</v>
      </c>
      <c r="H213" s="206" t="s">
        <v>1537</v>
      </c>
      <c r="I213" s="325">
        <f>69732400+4608600+2039860+635400+155000+1495200</f>
        <v>78666460</v>
      </c>
      <c r="J213" s="325">
        <v>78666460</v>
      </c>
      <c r="K213" s="171">
        <f t="shared" si="45"/>
        <v>100</v>
      </c>
    </row>
    <row r="214" spans="1:11" ht="178.5">
      <c r="A214" s="202" t="s">
        <v>249</v>
      </c>
      <c r="B214" s="202" t="s">
        <v>206</v>
      </c>
      <c r="C214" s="202" t="s">
        <v>267</v>
      </c>
      <c r="D214" s="207" t="s">
        <v>1227</v>
      </c>
      <c r="E214" s="202" t="s">
        <v>271</v>
      </c>
      <c r="F214" s="202" t="s">
        <v>763</v>
      </c>
      <c r="G214" s="202" t="s">
        <v>1644</v>
      </c>
      <c r="H214" s="206" t="s">
        <v>1538</v>
      </c>
      <c r="I214" s="325">
        <f>74361300+1826400+832960+781500+249100+43700+595080</f>
        <v>78690040</v>
      </c>
      <c r="J214" s="325">
        <v>78690040</v>
      </c>
      <c r="K214" s="171">
        <f t="shared" si="45"/>
        <v>100</v>
      </c>
    </row>
    <row r="215" spans="1:11" ht="89.25">
      <c r="A215" s="202" t="s">
        <v>249</v>
      </c>
      <c r="B215" s="202" t="s">
        <v>206</v>
      </c>
      <c r="C215" s="202" t="s">
        <v>267</v>
      </c>
      <c r="D215" s="207" t="s">
        <v>1227</v>
      </c>
      <c r="E215" s="202" t="s">
        <v>271</v>
      </c>
      <c r="F215" s="202" t="s">
        <v>647</v>
      </c>
      <c r="G215" s="202" t="s">
        <v>1644</v>
      </c>
      <c r="H215" s="206" t="s">
        <v>1521</v>
      </c>
      <c r="I215" s="325">
        <f>63200+700</f>
        <v>63900</v>
      </c>
      <c r="J215" s="325">
        <v>63900</v>
      </c>
      <c r="K215" s="171">
        <f t="shared" si="45"/>
        <v>100</v>
      </c>
    </row>
    <row r="216" spans="1:11" ht="102">
      <c r="A216" s="202" t="s">
        <v>249</v>
      </c>
      <c r="B216" s="202" t="s">
        <v>206</v>
      </c>
      <c r="C216" s="202" t="s">
        <v>267</v>
      </c>
      <c r="D216" s="207" t="s">
        <v>1227</v>
      </c>
      <c r="E216" s="202" t="s">
        <v>271</v>
      </c>
      <c r="F216" s="202" t="s">
        <v>351</v>
      </c>
      <c r="G216" s="202" t="s">
        <v>1644</v>
      </c>
      <c r="H216" s="206" t="s">
        <v>1522</v>
      </c>
      <c r="I216" s="325">
        <f>648300+6500</f>
        <v>654800</v>
      </c>
      <c r="J216" s="325">
        <v>654800.00000000012</v>
      </c>
      <c r="K216" s="171">
        <f t="shared" si="45"/>
        <v>100.00000000000003</v>
      </c>
    </row>
    <row r="217" spans="1:11" ht="140.25">
      <c r="A217" s="202" t="s">
        <v>249</v>
      </c>
      <c r="B217" s="202" t="s">
        <v>206</v>
      </c>
      <c r="C217" s="202" t="s">
        <v>267</v>
      </c>
      <c r="D217" s="207" t="s">
        <v>1227</v>
      </c>
      <c r="E217" s="202" t="s">
        <v>271</v>
      </c>
      <c r="F217" s="202" t="s">
        <v>344</v>
      </c>
      <c r="G217" s="202" t="s">
        <v>1644</v>
      </c>
      <c r="H217" s="206" t="s">
        <v>758</v>
      </c>
      <c r="I217" s="169">
        <f>21426900+172800+14080+194200+485800+6400+71900</f>
        <v>22372080</v>
      </c>
      <c r="J217" s="325">
        <v>22372079.93</v>
      </c>
      <c r="K217" s="171">
        <f t="shared" si="45"/>
        <v>99.999999687110005</v>
      </c>
    </row>
    <row r="218" spans="1:11" ht="63.75">
      <c r="A218" s="202" t="s">
        <v>249</v>
      </c>
      <c r="B218" s="202" t="s">
        <v>206</v>
      </c>
      <c r="C218" s="202" t="s">
        <v>267</v>
      </c>
      <c r="D218" s="207" t="s">
        <v>1227</v>
      </c>
      <c r="E218" s="202" t="s">
        <v>271</v>
      </c>
      <c r="F218" s="202" t="s">
        <v>347</v>
      </c>
      <c r="G218" s="202" t="s">
        <v>1644</v>
      </c>
      <c r="H218" s="206" t="s">
        <v>1523</v>
      </c>
      <c r="I218" s="325">
        <f>213800+1800</f>
        <v>215600</v>
      </c>
      <c r="J218" s="325">
        <v>189300</v>
      </c>
      <c r="K218" s="171">
        <f t="shared" si="45"/>
        <v>87.801484230055664</v>
      </c>
    </row>
    <row r="219" spans="1:11" ht="102">
      <c r="A219" s="202" t="s">
        <v>249</v>
      </c>
      <c r="B219" s="202" t="s">
        <v>206</v>
      </c>
      <c r="C219" s="202" t="s">
        <v>267</v>
      </c>
      <c r="D219" s="207" t="s">
        <v>1227</v>
      </c>
      <c r="E219" s="202" t="s">
        <v>271</v>
      </c>
      <c r="F219" s="202" t="s">
        <v>350</v>
      </c>
      <c r="G219" s="202" t="s">
        <v>1644</v>
      </c>
      <c r="H219" s="206" t="s">
        <v>1526</v>
      </c>
      <c r="I219" s="325">
        <f>1384900+12960</f>
        <v>1397860</v>
      </c>
      <c r="J219" s="325">
        <v>1397860</v>
      </c>
      <c r="K219" s="171">
        <f t="shared" si="45"/>
        <v>100</v>
      </c>
    </row>
    <row r="220" spans="1:11" ht="114.75">
      <c r="A220" s="208" t="s">
        <v>249</v>
      </c>
      <c r="B220" s="208" t="s">
        <v>206</v>
      </c>
      <c r="C220" s="208" t="s">
        <v>267</v>
      </c>
      <c r="D220" s="208" t="s">
        <v>1227</v>
      </c>
      <c r="E220" s="208" t="s">
        <v>271</v>
      </c>
      <c r="F220" s="208" t="s">
        <v>349</v>
      </c>
      <c r="G220" s="208">
        <v>150</v>
      </c>
      <c r="H220" s="206" t="s">
        <v>1527</v>
      </c>
      <c r="I220" s="169">
        <v>500700</v>
      </c>
      <c r="J220" s="325">
        <v>500700</v>
      </c>
      <c r="K220" s="171">
        <f t="shared" si="45"/>
        <v>100</v>
      </c>
    </row>
    <row r="221" spans="1:11" ht="76.5">
      <c r="A221" s="208" t="s">
        <v>249</v>
      </c>
      <c r="B221" s="208" t="s">
        <v>206</v>
      </c>
      <c r="C221" s="208" t="s">
        <v>267</v>
      </c>
      <c r="D221" s="208" t="s">
        <v>1227</v>
      </c>
      <c r="E221" s="208" t="s">
        <v>271</v>
      </c>
      <c r="F221" s="208" t="s">
        <v>345</v>
      </c>
      <c r="G221" s="208">
        <v>150</v>
      </c>
      <c r="H221" s="206" t="s">
        <v>1524</v>
      </c>
      <c r="I221" s="169">
        <f>74700+660</f>
        <v>75360</v>
      </c>
      <c r="J221" s="325">
        <v>75328</v>
      </c>
      <c r="K221" s="171">
        <f t="shared" si="45"/>
        <v>99.957537154989382</v>
      </c>
    </row>
    <row r="222" spans="1:11" ht="102">
      <c r="A222" s="208" t="s">
        <v>249</v>
      </c>
      <c r="B222" s="208" t="s">
        <v>206</v>
      </c>
      <c r="C222" s="208" t="s">
        <v>267</v>
      </c>
      <c r="D222" s="208" t="s">
        <v>1227</v>
      </c>
      <c r="E222" s="208" t="s">
        <v>271</v>
      </c>
      <c r="F222" s="208" t="s">
        <v>343</v>
      </c>
      <c r="G222" s="208">
        <v>150</v>
      </c>
      <c r="H222" s="206" t="s">
        <v>1528</v>
      </c>
      <c r="I222" s="325">
        <f>4901600+38880</f>
        <v>4940480</v>
      </c>
      <c r="J222" s="325">
        <v>4704300</v>
      </c>
      <c r="K222" s="171">
        <f t="shared" si="45"/>
        <v>95.219492842800705</v>
      </c>
    </row>
    <row r="223" spans="1:11" ht="127.5">
      <c r="A223" s="208" t="s">
        <v>249</v>
      </c>
      <c r="B223" s="208" t="s">
        <v>206</v>
      </c>
      <c r="C223" s="208" t="s">
        <v>267</v>
      </c>
      <c r="D223" s="208" t="s">
        <v>1227</v>
      </c>
      <c r="E223" s="208" t="s">
        <v>271</v>
      </c>
      <c r="F223" s="208" t="s">
        <v>339</v>
      </c>
      <c r="G223" s="208">
        <v>150</v>
      </c>
      <c r="H223" s="206" t="s">
        <v>1529</v>
      </c>
      <c r="I223" s="325">
        <v>734200</v>
      </c>
      <c r="J223" s="325">
        <v>734200</v>
      </c>
      <c r="K223" s="171">
        <f t="shared" si="45"/>
        <v>100</v>
      </c>
    </row>
    <row r="224" spans="1:11" ht="140.25">
      <c r="A224" s="208" t="s">
        <v>249</v>
      </c>
      <c r="B224" s="208" t="s">
        <v>206</v>
      </c>
      <c r="C224" s="208" t="s">
        <v>267</v>
      </c>
      <c r="D224" s="208" t="s">
        <v>1227</v>
      </c>
      <c r="E224" s="208" t="s">
        <v>271</v>
      </c>
      <c r="F224" s="208" t="s">
        <v>340</v>
      </c>
      <c r="G224" s="208">
        <v>150</v>
      </c>
      <c r="H224" s="206" t="s">
        <v>760</v>
      </c>
      <c r="I224" s="325">
        <f>368055200+1926900-8940900+238400+1022600+1901000</f>
        <v>364203200</v>
      </c>
      <c r="J224" s="325">
        <v>364203200</v>
      </c>
      <c r="K224" s="171">
        <f t="shared" si="45"/>
        <v>100</v>
      </c>
    </row>
    <row r="225" spans="1:11" ht="102">
      <c r="A225" s="208" t="s">
        <v>249</v>
      </c>
      <c r="B225" s="208" t="s">
        <v>206</v>
      </c>
      <c r="C225" s="208" t="s">
        <v>267</v>
      </c>
      <c r="D225" s="208" t="s">
        <v>1227</v>
      </c>
      <c r="E225" s="208" t="s">
        <v>271</v>
      </c>
      <c r="F225" s="208" t="s">
        <v>341</v>
      </c>
      <c r="G225" s="208">
        <v>150</v>
      </c>
      <c r="H225" s="206" t="s">
        <v>1531</v>
      </c>
      <c r="I225" s="325">
        <f>33909000+227500-4536500</f>
        <v>29600000</v>
      </c>
      <c r="J225" s="325">
        <v>29600000</v>
      </c>
      <c r="K225" s="171">
        <f t="shared" si="45"/>
        <v>100</v>
      </c>
    </row>
    <row r="226" spans="1:11" ht="102">
      <c r="A226" s="208" t="s">
        <v>249</v>
      </c>
      <c r="B226" s="208" t="s">
        <v>206</v>
      </c>
      <c r="C226" s="208" t="s">
        <v>267</v>
      </c>
      <c r="D226" s="208" t="s">
        <v>1227</v>
      </c>
      <c r="E226" s="208" t="s">
        <v>271</v>
      </c>
      <c r="F226" s="208" t="s">
        <v>648</v>
      </c>
      <c r="G226" s="208">
        <v>150</v>
      </c>
      <c r="H226" s="206" t="s">
        <v>1646</v>
      </c>
      <c r="I226" s="325">
        <f>183257500-11952600</f>
        <v>171304900</v>
      </c>
      <c r="J226" s="325">
        <v>171303900</v>
      </c>
      <c r="K226" s="171">
        <f t="shared" si="45"/>
        <v>99.999416245536466</v>
      </c>
    </row>
    <row r="227" spans="1:11" ht="127.5">
      <c r="A227" s="208" t="s">
        <v>249</v>
      </c>
      <c r="B227" s="208" t="s">
        <v>206</v>
      </c>
      <c r="C227" s="208" t="s">
        <v>267</v>
      </c>
      <c r="D227" s="208" t="s">
        <v>1227</v>
      </c>
      <c r="E227" s="208" t="s">
        <v>271</v>
      </c>
      <c r="F227" s="208" t="s">
        <v>348</v>
      </c>
      <c r="G227" s="208">
        <v>150</v>
      </c>
      <c r="H227" s="206" t="s">
        <v>1647</v>
      </c>
      <c r="I227" s="325">
        <f>15115900+147700</f>
        <v>15263600</v>
      </c>
      <c r="J227" s="325">
        <v>15263600</v>
      </c>
      <c r="K227" s="171">
        <f t="shared" si="45"/>
        <v>100</v>
      </c>
    </row>
    <row r="228" spans="1:11" ht="111" customHeight="1">
      <c r="A228" s="208" t="s">
        <v>249</v>
      </c>
      <c r="B228" s="208" t="s">
        <v>206</v>
      </c>
      <c r="C228" s="208" t="s">
        <v>267</v>
      </c>
      <c r="D228" s="208" t="s">
        <v>1227</v>
      </c>
      <c r="E228" s="208" t="s">
        <v>271</v>
      </c>
      <c r="F228" s="208">
        <v>7587</v>
      </c>
      <c r="G228" s="208">
        <v>150</v>
      </c>
      <c r="H228" s="206" t="s">
        <v>1837</v>
      </c>
      <c r="I228" s="325">
        <f>1417400+4274731.6</f>
        <v>5692131.5999999996</v>
      </c>
      <c r="J228" s="325">
        <v>2075835.5499999998</v>
      </c>
      <c r="K228" s="171">
        <f t="shared" si="45"/>
        <v>36.468509442051548</v>
      </c>
    </row>
    <row r="229" spans="1:11" ht="153">
      <c r="A229" s="208" t="s">
        <v>249</v>
      </c>
      <c r="B229" s="208" t="s">
        <v>206</v>
      </c>
      <c r="C229" s="208" t="s">
        <v>267</v>
      </c>
      <c r="D229" s="208" t="s">
        <v>1227</v>
      </c>
      <c r="E229" s="208" t="s">
        <v>271</v>
      </c>
      <c r="F229" s="208" t="s">
        <v>342</v>
      </c>
      <c r="G229" s="208">
        <v>150</v>
      </c>
      <c r="H229" s="206" t="s">
        <v>761</v>
      </c>
      <c r="I229" s="169">
        <f>127223900+6465400-6465400+8562300+6859400+3731100+376400</f>
        <v>146753100</v>
      </c>
      <c r="J229" s="169">
        <v>146753100</v>
      </c>
      <c r="K229" s="171">
        <f t="shared" si="45"/>
        <v>100</v>
      </c>
    </row>
    <row r="230" spans="1:11" ht="114.75">
      <c r="A230" s="208" t="s">
        <v>249</v>
      </c>
      <c r="B230" s="208" t="s">
        <v>206</v>
      </c>
      <c r="C230" s="208" t="s">
        <v>267</v>
      </c>
      <c r="D230" s="208" t="s">
        <v>1227</v>
      </c>
      <c r="E230" s="208" t="s">
        <v>271</v>
      </c>
      <c r="F230" s="208" t="s">
        <v>352</v>
      </c>
      <c r="G230" s="208">
        <v>150</v>
      </c>
      <c r="H230" s="206" t="s">
        <v>1535</v>
      </c>
      <c r="I230" s="169">
        <v>41401000</v>
      </c>
      <c r="J230" s="325">
        <v>41401000</v>
      </c>
      <c r="K230" s="171">
        <f t="shared" si="45"/>
        <v>100</v>
      </c>
    </row>
    <row r="231" spans="1:11" ht="76.5">
      <c r="A231" s="208" t="s">
        <v>249</v>
      </c>
      <c r="B231" s="208" t="s">
        <v>206</v>
      </c>
      <c r="C231" s="208" t="s">
        <v>267</v>
      </c>
      <c r="D231" s="208" t="s">
        <v>1227</v>
      </c>
      <c r="E231" s="208" t="s">
        <v>271</v>
      </c>
      <c r="F231" s="208" t="s">
        <v>346</v>
      </c>
      <c r="G231" s="208">
        <v>150</v>
      </c>
      <c r="H231" s="206" t="s">
        <v>1525</v>
      </c>
      <c r="I231" s="325">
        <f>1268200+13000-104375</f>
        <v>1176825</v>
      </c>
      <c r="J231" s="325">
        <v>1115000</v>
      </c>
      <c r="K231" s="171">
        <f t="shared" si="45"/>
        <v>94.746457629639067</v>
      </c>
    </row>
    <row r="232" spans="1:11" ht="63.75">
      <c r="A232" s="208">
        <v>890</v>
      </c>
      <c r="B232" s="203">
        <v>2</v>
      </c>
      <c r="C232" s="203" t="s">
        <v>267</v>
      </c>
      <c r="D232" s="203">
        <v>30024</v>
      </c>
      <c r="E232" s="203" t="s">
        <v>271</v>
      </c>
      <c r="F232" s="203" t="s">
        <v>1543</v>
      </c>
      <c r="G232" s="203" t="s">
        <v>1644</v>
      </c>
      <c r="H232" s="206" t="s">
        <v>1542</v>
      </c>
      <c r="I232" s="325">
        <v>8806200</v>
      </c>
      <c r="J232" s="325">
        <v>8653400</v>
      </c>
      <c r="K232" s="171">
        <f t="shared" si="45"/>
        <v>98.264858849446981</v>
      </c>
    </row>
    <row r="233" spans="1:11" ht="114.75">
      <c r="A233" s="205" t="s">
        <v>249</v>
      </c>
      <c r="B233" s="205" t="s">
        <v>206</v>
      </c>
      <c r="C233" s="205" t="s">
        <v>267</v>
      </c>
      <c r="D233" s="205" t="s">
        <v>1229</v>
      </c>
      <c r="E233" s="205" t="s">
        <v>159</v>
      </c>
      <c r="F233" s="205" t="s">
        <v>161</v>
      </c>
      <c r="G233" s="205" t="s">
        <v>1644</v>
      </c>
      <c r="H233" s="328" t="s">
        <v>1536</v>
      </c>
      <c r="I233" s="168">
        <f t="shared" ref="I233:J233" si="48">I234</f>
        <v>2216400</v>
      </c>
      <c r="J233" s="168">
        <f t="shared" si="48"/>
        <v>2216317.5699999998</v>
      </c>
      <c r="K233" s="171">
        <f t="shared" si="45"/>
        <v>99.996280905973649</v>
      </c>
    </row>
    <row r="234" spans="1:11" ht="89.25">
      <c r="A234" s="203" t="s">
        <v>249</v>
      </c>
      <c r="B234" s="203" t="s">
        <v>206</v>
      </c>
      <c r="C234" s="203" t="s">
        <v>267</v>
      </c>
      <c r="D234" s="203" t="s">
        <v>1229</v>
      </c>
      <c r="E234" s="203" t="s">
        <v>271</v>
      </c>
      <c r="F234" s="203" t="s">
        <v>161</v>
      </c>
      <c r="G234" s="203" t="s">
        <v>1644</v>
      </c>
      <c r="H234" s="206" t="s">
        <v>1536</v>
      </c>
      <c r="I234" s="325">
        <f>5631800-3415400</f>
        <v>2216400</v>
      </c>
      <c r="J234" s="325">
        <v>2216317.5699999998</v>
      </c>
      <c r="K234" s="171">
        <f t="shared" si="45"/>
        <v>99.996280905973649</v>
      </c>
    </row>
    <row r="235" spans="1:11" ht="76.5">
      <c r="A235" s="204" t="s">
        <v>249</v>
      </c>
      <c r="B235" s="204" t="s">
        <v>206</v>
      </c>
      <c r="C235" s="204" t="s">
        <v>267</v>
      </c>
      <c r="D235" s="205" t="s">
        <v>1226</v>
      </c>
      <c r="E235" s="204" t="s">
        <v>159</v>
      </c>
      <c r="F235" s="204" t="s">
        <v>161</v>
      </c>
      <c r="G235" s="204" t="s">
        <v>1644</v>
      </c>
      <c r="H235" s="184" t="s">
        <v>337</v>
      </c>
      <c r="I235" s="168">
        <f t="shared" ref="I235:J235" si="49">I236</f>
        <v>4523000</v>
      </c>
      <c r="J235" s="168">
        <f t="shared" si="49"/>
        <v>4523000</v>
      </c>
      <c r="K235" s="171">
        <f t="shared" si="45"/>
        <v>100</v>
      </c>
    </row>
    <row r="236" spans="1:11" ht="51">
      <c r="A236" s="202" t="s">
        <v>249</v>
      </c>
      <c r="B236" s="202" t="s">
        <v>206</v>
      </c>
      <c r="C236" s="202" t="s">
        <v>267</v>
      </c>
      <c r="D236" s="203" t="s">
        <v>1226</v>
      </c>
      <c r="E236" s="202" t="s">
        <v>271</v>
      </c>
      <c r="F236" s="202" t="s">
        <v>161</v>
      </c>
      <c r="G236" s="202" t="s">
        <v>1644</v>
      </c>
      <c r="H236" s="9" t="s">
        <v>1540</v>
      </c>
      <c r="I236" s="325">
        <f>4289600+421000-187600</f>
        <v>4523000</v>
      </c>
      <c r="J236" s="325">
        <v>4523000</v>
      </c>
      <c r="K236" s="171">
        <f t="shared" si="45"/>
        <v>100</v>
      </c>
    </row>
    <row r="237" spans="1:11" ht="51">
      <c r="A237" s="204" t="s">
        <v>196</v>
      </c>
      <c r="B237" s="204" t="s">
        <v>206</v>
      </c>
      <c r="C237" s="204" t="s">
        <v>267</v>
      </c>
      <c r="D237" s="205" t="s">
        <v>1545</v>
      </c>
      <c r="E237" s="204" t="s">
        <v>159</v>
      </c>
      <c r="F237" s="204" t="s">
        <v>161</v>
      </c>
      <c r="G237" s="204" t="s">
        <v>1644</v>
      </c>
      <c r="H237" s="184" t="s">
        <v>1544</v>
      </c>
      <c r="I237" s="183">
        <f t="shared" ref="I237:J237" si="50">I238</f>
        <v>19600</v>
      </c>
      <c r="J237" s="183">
        <f t="shared" si="50"/>
        <v>0</v>
      </c>
      <c r="K237" s="170">
        <f t="shared" si="45"/>
        <v>0</v>
      </c>
    </row>
    <row r="238" spans="1:11" ht="51">
      <c r="A238" s="202" t="s">
        <v>249</v>
      </c>
      <c r="B238" s="202" t="s">
        <v>206</v>
      </c>
      <c r="C238" s="202" t="s">
        <v>267</v>
      </c>
      <c r="D238" s="203" t="s">
        <v>1545</v>
      </c>
      <c r="E238" s="202" t="s">
        <v>271</v>
      </c>
      <c r="F238" s="202" t="s">
        <v>161</v>
      </c>
      <c r="G238" s="202" t="s">
        <v>1644</v>
      </c>
      <c r="H238" s="9" t="s">
        <v>1648</v>
      </c>
      <c r="I238" s="325">
        <f>1800+17800</f>
        <v>19600</v>
      </c>
      <c r="J238" s="325">
        <v>0</v>
      </c>
      <c r="K238" s="171">
        <f t="shared" si="45"/>
        <v>0</v>
      </c>
    </row>
    <row r="239" spans="1:11">
      <c r="A239" s="209" t="s">
        <v>249</v>
      </c>
      <c r="B239" s="209" t="s">
        <v>206</v>
      </c>
      <c r="C239" s="209" t="s">
        <v>267</v>
      </c>
      <c r="D239" s="209" t="s">
        <v>1230</v>
      </c>
      <c r="E239" s="209" t="s">
        <v>159</v>
      </c>
      <c r="F239" s="209" t="s">
        <v>161</v>
      </c>
      <c r="G239" s="209">
        <v>150</v>
      </c>
      <c r="H239" s="184" t="s">
        <v>94</v>
      </c>
      <c r="I239" s="168">
        <f>I240+I244+I242</f>
        <v>3954072</v>
      </c>
      <c r="J239" s="168">
        <f>J240+J244+J242</f>
        <v>3954072</v>
      </c>
      <c r="K239" s="170">
        <f t="shared" si="45"/>
        <v>100</v>
      </c>
    </row>
    <row r="240" spans="1:11" ht="51">
      <c r="A240" s="205">
        <v>890</v>
      </c>
      <c r="B240" s="205">
        <v>2</v>
      </c>
      <c r="C240" s="205" t="s">
        <v>267</v>
      </c>
      <c r="D240" s="205">
        <v>40014</v>
      </c>
      <c r="E240" s="205" t="s">
        <v>159</v>
      </c>
      <c r="F240" s="205" t="s">
        <v>161</v>
      </c>
      <c r="G240" s="205" t="s">
        <v>1644</v>
      </c>
      <c r="H240" s="184" t="s">
        <v>1407</v>
      </c>
      <c r="I240" s="168">
        <f t="shared" ref="I240:J240" si="51">I241</f>
        <v>1797240</v>
      </c>
      <c r="J240" s="168">
        <f t="shared" si="51"/>
        <v>1797240</v>
      </c>
      <c r="K240" s="170">
        <f t="shared" si="45"/>
        <v>100</v>
      </c>
    </row>
    <row r="241" spans="1:11" ht="51">
      <c r="A241" s="208" t="s">
        <v>249</v>
      </c>
      <c r="B241" s="208" t="s">
        <v>206</v>
      </c>
      <c r="C241" s="208" t="s">
        <v>267</v>
      </c>
      <c r="D241" s="208" t="s">
        <v>1231</v>
      </c>
      <c r="E241" s="208" t="s">
        <v>271</v>
      </c>
      <c r="F241" s="208" t="s">
        <v>161</v>
      </c>
      <c r="G241" s="208">
        <v>150</v>
      </c>
      <c r="H241" s="9" t="s">
        <v>262</v>
      </c>
      <c r="I241" s="169">
        <f>21710568-19939965+15000+5149+6488</f>
        <v>1797240</v>
      </c>
      <c r="J241" s="325">
        <v>1797240</v>
      </c>
      <c r="K241" s="171">
        <f t="shared" si="45"/>
        <v>100</v>
      </c>
    </row>
    <row r="242" spans="1:11" ht="27.75" customHeight="1">
      <c r="A242" s="205">
        <v>890</v>
      </c>
      <c r="B242" s="205">
        <v>2</v>
      </c>
      <c r="C242" s="205" t="s">
        <v>267</v>
      </c>
      <c r="D242" s="205" t="s">
        <v>1997</v>
      </c>
      <c r="E242" s="205" t="s">
        <v>159</v>
      </c>
      <c r="F242" s="205" t="s">
        <v>161</v>
      </c>
      <c r="G242" s="205" t="s">
        <v>1644</v>
      </c>
      <c r="H242" s="184" t="s">
        <v>1996</v>
      </c>
      <c r="I242" s="168">
        <f>I243</f>
        <v>100000</v>
      </c>
      <c r="J242" s="168">
        <f>J243</f>
        <v>100000</v>
      </c>
      <c r="K242" s="170">
        <f t="shared" si="45"/>
        <v>100</v>
      </c>
    </row>
    <row r="243" spans="1:11" ht="49.5" customHeight="1">
      <c r="A243" s="203" t="s">
        <v>249</v>
      </c>
      <c r="B243" s="203" t="s">
        <v>206</v>
      </c>
      <c r="C243" s="203" t="s">
        <v>267</v>
      </c>
      <c r="D243" s="203" t="s">
        <v>1997</v>
      </c>
      <c r="E243" s="203" t="s">
        <v>271</v>
      </c>
      <c r="F243" s="203" t="s">
        <v>161</v>
      </c>
      <c r="G243" s="203" t="s">
        <v>1644</v>
      </c>
      <c r="H243" s="9" t="s">
        <v>1998</v>
      </c>
      <c r="I243" s="169">
        <v>100000</v>
      </c>
      <c r="J243" s="325">
        <v>100000</v>
      </c>
      <c r="K243" s="171">
        <f t="shared" si="45"/>
        <v>100</v>
      </c>
    </row>
    <row r="244" spans="1:11">
      <c r="A244" s="205" t="s">
        <v>249</v>
      </c>
      <c r="B244" s="205" t="s">
        <v>206</v>
      </c>
      <c r="C244" s="205" t="s">
        <v>267</v>
      </c>
      <c r="D244" s="205" t="s">
        <v>1409</v>
      </c>
      <c r="E244" s="205" t="s">
        <v>159</v>
      </c>
      <c r="F244" s="205" t="s">
        <v>161</v>
      </c>
      <c r="G244" s="205" t="s">
        <v>1644</v>
      </c>
      <c r="H244" s="184" t="s">
        <v>1408</v>
      </c>
      <c r="I244" s="168">
        <f>I245+I246</f>
        <v>2056832</v>
      </c>
      <c r="J244" s="168">
        <f>J245+J246</f>
        <v>2056832</v>
      </c>
      <c r="K244" s="170">
        <f t="shared" si="45"/>
        <v>100</v>
      </c>
    </row>
    <row r="245" spans="1:11" ht="25.5">
      <c r="A245" s="203" t="s">
        <v>249</v>
      </c>
      <c r="B245" s="203" t="s">
        <v>206</v>
      </c>
      <c r="C245" s="203" t="s">
        <v>267</v>
      </c>
      <c r="D245" s="203" t="s">
        <v>1409</v>
      </c>
      <c r="E245" s="203" t="s">
        <v>271</v>
      </c>
      <c r="F245" s="203" t="s">
        <v>1571</v>
      </c>
      <c r="G245" s="203" t="s">
        <v>1644</v>
      </c>
      <c r="H245" s="9" t="s">
        <v>1410</v>
      </c>
      <c r="I245" s="169">
        <v>29932</v>
      </c>
      <c r="J245" s="325">
        <v>29932</v>
      </c>
      <c r="K245" s="171">
        <f t="shared" si="45"/>
        <v>100</v>
      </c>
    </row>
    <row r="246" spans="1:11" ht="63.75">
      <c r="A246" s="203" t="s">
        <v>249</v>
      </c>
      <c r="B246" s="203" t="s">
        <v>206</v>
      </c>
      <c r="C246" s="203" t="s">
        <v>267</v>
      </c>
      <c r="D246" s="203" t="s">
        <v>1409</v>
      </c>
      <c r="E246" s="203" t="s">
        <v>271</v>
      </c>
      <c r="F246" s="203" t="s">
        <v>1973</v>
      </c>
      <c r="G246" s="203" t="s">
        <v>1644</v>
      </c>
      <c r="H246" s="9" t="s">
        <v>1541</v>
      </c>
      <c r="I246" s="169">
        <v>2026900</v>
      </c>
      <c r="J246" s="325">
        <v>2026900</v>
      </c>
      <c r="K246" s="171">
        <f t="shared" si="45"/>
        <v>100</v>
      </c>
    </row>
    <row r="247" spans="1:11">
      <c r="A247" s="205" t="s">
        <v>196</v>
      </c>
      <c r="B247" s="205" t="s">
        <v>206</v>
      </c>
      <c r="C247" s="205" t="s">
        <v>281</v>
      </c>
      <c r="D247" s="205" t="s">
        <v>160</v>
      </c>
      <c r="E247" s="205" t="s">
        <v>159</v>
      </c>
      <c r="F247" s="205" t="s">
        <v>161</v>
      </c>
      <c r="G247" s="204" t="s">
        <v>196</v>
      </c>
      <c r="H247" s="184" t="s">
        <v>1436</v>
      </c>
      <c r="I247" s="168">
        <f t="shared" ref="I247:J248" si="52">I248</f>
        <v>2649190</v>
      </c>
      <c r="J247" s="168">
        <f t="shared" si="52"/>
        <v>2649190</v>
      </c>
      <c r="K247" s="170">
        <f t="shared" si="45"/>
        <v>100</v>
      </c>
    </row>
    <row r="248" spans="1:11" ht="25.5">
      <c r="A248" s="205" t="s">
        <v>196</v>
      </c>
      <c r="B248" s="205" t="s">
        <v>206</v>
      </c>
      <c r="C248" s="205" t="s">
        <v>281</v>
      </c>
      <c r="D248" s="205" t="s">
        <v>38</v>
      </c>
      <c r="E248" s="205" t="s">
        <v>271</v>
      </c>
      <c r="F248" s="205" t="s">
        <v>161</v>
      </c>
      <c r="G248" s="204" t="s">
        <v>1644</v>
      </c>
      <c r="H248" s="184" t="s">
        <v>1437</v>
      </c>
      <c r="I248" s="168">
        <f t="shared" si="52"/>
        <v>2649190</v>
      </c>
      <c r="J248" s="168">
        <f t="shared" si="52"/>
        <v>2649190</v>
      </c>
      <c r="K248" s="170">
        <f t="shared" si="45"/>
        <v>100</v>
      </c>
    </row>
    <row r="249" spans="1:11" ht="25.5">
      <c r="A249" s="205" t="s">
        <v>196</v>
      </c>
      <c r="B249" s="205" t="s">
        <v>206</v>
      </c>
      <c r="C249" s="205" t="s">
        <v>281</v>
      </c>
      <c r="D249" s="205" t="s">
        <v>1439</v>
      </c>
      <c r="E249" s="205" t="s">
        <v>271</v>
      </c>
      <c r="F249" s="205" t="s">
        <v>161</v>
      </c>
      <c r="G249" s="204" t="s">
        <v>1644</v>
      </c>
      <c r="H249" s="184" t="s">
        <v>1438</v>
      </c>
      <c r="I249" s="168">
        <f>I250</f>
        <v>2649190</v>
      </c>
      <c r="J249" s="168">
        <f>J250</f>
        <v>2649190</v>
      </c>
      <c r="K249" s="170">
        <f t="shared" si="45"/>
        <v>100</v>
      </c>
    </row>
    <row r="250" spans="1:11" ht="25.5">
      <c r="A250" s="203" t="s">
        <v>248</v>
      </c>
      <c r="B250" s="203" t="s">
        <v>206</v>
      </c>
      <c r="C250" s="203" t="s">
        <v>281</v>
      </c>
      <c r="D250" s="203" t="s">
        <v>1439</v>
      </c>
      <c r="E250" s="203" t="s">
        <v>271</v>
      </c>
      <c r="F250" s="203" t="s">
        <v>649</v>
      </c>
      <c r="G250" s="202" t="s">
        <v>1644</v>
      </c>
      <c r="H250" s="9" t="s">
        <v>1438</v>
      </c>
      <c r="I250" s="169">
        <f>1800000+841690+7500</f>
        <v>2649190</v>
      </c>
      <c r="J250" s="325">
        <v>2649190</v>
      </c>
      <c r="K250" s="171">
        <f t="shared" si="45"/>
        <v>100</v>
      </c>
    </row>
    <row r="251" spans="1:11" ht="25.5">
      <c r="A251" s="205" t="s">
        <v>196</v>
      </c>
      <c r="B251" s="205" t="s">
        <v>206</v>
      </c>
      <c r="C251" s="205" t="s">
        <v>31</v>
      </c>
      <c r="D251" s="205" t="s">
        <v>38</v>
      </c>
      <c r="E251" s="205" t="s">
        <v>271</v>
      </c>
      <c r="F251" s="205" t="s">
        <v>161</v>
      </c>
      <c r="G251" s="205" t="s">
        <v>1644</v>
      </c>
      <c r="H251" s="310" t="s">
        <v>384</v>
      </c>
      <c r="I251" s="168">
        <f t="shared" ref="I251:J251" si="53">I252</f>
        <v>10200</v>
      </c>
      <c r="J251" s="168">
        <f t="shared" si="53"/>
        <v>10200</v>
      </c>
      <c r="K251" s="170">
        <f t="shared" si="45"/>
        <v>100</v>
      </c>
    </row>
    <row r="252" spans="1:11" ht="41.25" customHeight="1">
      <c r="A252" s="205" t="s">
        <v>196</v>
      </c>
      <c r="B252" s="205" t="s">
        <v>206</v>
      </c>
      <c r="C252" s="205" t="s">
        <v>31</v>
      </c>
      <c r="D252" s="205" t="s">
        <v>234</v>
      </c>
      <c r="E252" s="205" t="s">
        <v>271</v>
      </c>
      <c r="F252" s="205" t="s">
        <v>161</v>
      </c>
      <c r="G252" s="205" t="s">
        <v>1644</v>
      </c>
      <c r="H252" s="310" t="s">
        <v>2034</v>
      </c>
      <c r="I252" s="168">
        <f t="shared" ref="I252:J252" si="54">SUM(I253:I253)</f>
        <v>10200</v>
      </c>
      <c r="J252" s="168">
        <f t="shared" si="54"/>
        <v>10200</v>
      </c>
      <c r="K252" s="170">
        <f t="shared" si="45"/>
        <v>100</v>
      </c>
    </row>
    <row r="253" spans="1:11" ht="63.75">
      <c r="A253" s="203" t="s">
        <v>248</v>
      </c>
      <c r="B253" s="208" t="s">
        <v>206</v>
      </c>
      <c r="C253" s="208" t="s">
        <v>31</v>
      </c>
      <c r="D253" s="203" t="s">
        <v>234</v>
      </c>
      <c r="E253" s="208" t="s">
        <v>271</v>
      </c>
      <c r="F253" s="208" t="s">
        <v>649</v>
      </c>
      <c r="G253" s="208">
        <v>150</v>
      </c>
      <c r="H253" s="9" t="s">
        <v>659</v>
      </c>
      <c r="I253" s="325">
        <v>10200</v>
      </c>
      <c r="J253" s="325">
        <v>10200</v>
      </c>
      <c r="K253" s="171">
        <f t="shared" si="45"/>
        <v>100</v>
      </c>
    </row>
    <row r="254" spans="1:11" ht="51">
      <c r="A254" s="205" t="s">
        <v>249</v>
      </c>
      <c r="B254" s="209" t="s">
        <v>206</v>
      </c>
      <c r="C254" s="209" t="s">
        <v>1414</v>
      </c>
      <c r="D254" s="205" t="s">
        <v>160</v>
      </c>
      <c r="E254" s="209" t="s">
        <v>271</v>
      </c>
      <c r="F254" s="209" t="s">
        <v>161</v>
      </c>
      <c r="G254" s="209">
        <v>150</v>
      </c>
      <c r="H254" s="184" t="s">
        <v>1413</v>
      </c>
      <c r="I254" s="168">
        <f t="shared" ref="I254:J255" si="55">I255</f>
        <v>3868</v>
      </c>
      <c r="J254" s="168">
        <f t="shared" si="55"/>
        <v>3868</v>
      </c>
      <c r="K254" s="170">
        <f t="shared" si="45"/>
        <v>100</v>
      </c>
    </row>
    <row r="255" spans="1:11" ht="51">
      <c r="A255" s="205" t="s">
        <v>196</v>
      </c>
      <c r="B255" s="209">
        <v>2</v>
      </c>
      <c r="C255" s="209">
        <v>18</v>
      </c>
      <c r="D255" s="205" t="s">
        <v>160</v>
      </c>
      <c r="E255" s="205" t="s">
        <v>271</v>
      </c>
      <c r="F255" s="205" t="s">
        <v>161</v>
      </c>
      <c r="G255" s="209">
        <v>150</v>
      </c>
      <c r="H255" s="184" t="s">
        <v>1337</v>
      </c>
      <c r="I255" s="168">
        <f>I256</f>
        <v>3868</v>
      </c>
      <c r="J255" s="168">
        <f t="shared" si="55"/>
        <v>3868</v>
      </c>
      <c r="K255" s="170">
        <f t="shared" si="45"/>
        <v>100</v>
      </c>
    </row>
    <row r="256" spans="1:11" ht="40.5" customHeight="1">
      <c r="A256" s="203" t="s">
        <v>249</v>
      </c>
      <c r="B256" s="208" t="s">
        <v>206</v>
      </c>
      <c r="C256" s="208" t="s">
        <v>1414</v>
      </c>
      <c r="D256" s="208">
        <v>35118</v>
      </c>
      <c r="E256" s="208" t="s">
        <v>271</v>
      </c>
      <c r="F256" s="203" t="s">
        <v>161</v>
      </c>
      <c r="G256" s="208">
        <v>150</v>
      </c>
      <c r="H256" s="9" t="s">
        <v>1566</v>
      </c>
      <c r="I256" s="325">
        <v>3868</v>
      </c>
      <c r="J256" s="325">
        <v>3868</v>
      </c>
      <c r="K256" s="171">
        <f t="shared" si="45"/>
        <v>100</v>
      </c>
    </row>
    <row r="257" spans="1:13" ht="25.5">
      <c r="A257" s="205" t="s">
        <v>249</v>
      </c>
      <c r="B257" s="209">
        <v>2</v>
      </c>
      <c r="C257" s="209">
        <v>18</v>
      </c>
      <c r="D257" s="205" t="s">
        <v>160</v>
      </c>
      <c r="E257" s="205" t="s">
        <v>159</v>
      </c>
      <c r="F257" s="205" t="s">
        <v>161</v>
      </c>
      <c r="G257" s="205" t="s">
        <v>1644</v>
      </c>
      <c r="H257" s="184" t="s">
        <v>1415</v>
      </c>
      <c r="I257" s="168">
        <f t="shared" ref="I257:J257" si="56">I258</f>
        <v>3099615.88</v>
      </c>
      <c r="J257" s="168">
        <f t="shared" si="56"/>
        <v>3099615.88</v>
      </c>
      <c r="K257" s="170">
        <f t="shared" si="45"/>
        <v>100</v>
      </c>
    </row>
    <row r="258" spans="1:13" ht="25.5">
      <c r="A258" s="205" t="s">
        <v>196</v>
      </c>
      <c r="B258" s="209">
        <v>2</v>
      </c>
      <c r="C258" s="209">
        <v>18</v>
      </c>
      <c r="D258" s="205" t="s">
        <v>38</v>
      </c>
      <c r="E258" s="205" t="s">
        <v>271</v>
      </c>
      <c r="F258" s="205" t="s">
        <v>161</v>
      </c>
      <c r="G258" s="205" t="s">
        <v>1644</v>
      </c>
      <c r="H258" s="184" t="s">
        <v>1416</v>
      </c>
      <c r="I258" s="168">
        <f>I259</f>
        <v>3099615.88</v>
      </c>
      <c r="J258" s="168">
        <f>J259</f>
        <v>3099615.88</v>
      </c>
      <c r="K258" s="170">
        <f t="shared" ref="K258:K267" si="57">J258/I258*100</f>
        <v>100</v>
      </c>
    </row>
    <row r="259" spans="1:13" ht="25.5">
      <c r="A259" s="205" t="s">
        <v>196</v>
      </c>
      <c r="B259" s="209">
        <v>2</v>
      </c>
      <c r="C259" s="209">
        <v>18</v>
      </c>
      <c r="D259" s="205" t="s">
        <v>236</v>
      </c>
      <c r="E259" s="205" t="s">
        <v>271</v>
      </c>
      <c r="F259" s="205" t="s">
        <v>161</v>
      </c>
      <c r="G259" s="209">
        <v>150</v>
      </c>
      <c r="H259" s="326" t="s">
        <v>1218</v>
      </c>
      <c r="I259" s="168">
        <f>I260+I261+I262</f>
        <v>3099615.88</v>
      </c>
      <c r="J259" s="168">
        <f>J260+J261+J262</f>
        <v>3099615.88</v>
      </c>
      <c r="K259" s="170">
        <f t="shared" si="57"/>
        <v>100</v>
      </c>
      <c r="M259" s="128"/>
    </row>
    <row r="260" spans="1:13" ht="25.5">
      <c r="A260" s="203" t="s">
        <v>5</v>
      </c>
      <c r="B260" s="208">
        <v>2</v>
      </c>
      <c r="C260" s="208">
        <v>18</v>
      </c>
      <c r="D260" s="203" t="s">
        <v>236</v>
      </c>
      <c r="E260" s="203" t="s">
        <v>271</v>
      </c>
      <c r="F260" s="203" t="s">
        <v>1446</v>
      </c>
      <c r="G260" s="208">
        <v>150</v>
      </c>
      <c r="H260" s="54" t="s">
        <v>1218</v>
      </c>
      <c r="I260" s="325">
        <f>858045.55+532214+233048.47+240000+240000+120000+786467.46</f>
        <v>3009775.48</v>
      </c>
      <c r="J260" s="325">
        <f>858045.55+532214+233048.47+240000+240000+120000+786467.46</f>
        <v>3009775.48</v>
      </c>
      <c r="K260" s="171">
        <f t="shared" si="57"/>
        <v>100</v>
      </c>
      <c r="M260" s="128"/>
    </row>
    <row r="261" spans="1:13" ht="25.5">
      <c r="A261" s="203" t="s">
        <v>176</v>
      </c>
      <c r="B261" s="208">
        <v>2</v>
      </c>
      <c r="C261" s="208">
        <v>18</v>
      </c>
      <c r="D261" s="203" t="s">
        <v>236</v>
      </c>
      <c r="E261" s="203" t="s">
        <v>271</v>
      </c>
      <c r="F261" s="203" t="s">
        <v>1593</v>
      </c>
      <c r="G261" s="208">
        <v>150</v>
      </c>
      <c r="H261" s="54" t="s">
        <v>1218</v>
      </c>
      <c r="I261" s="8">
        <v>28.4</v>
      </c>
      <c r="J261" s="8">
        <v>28.4</v>
      </c>
      <c r="K261" s="171">
        <f t="shared" si="57"/>
        <v>100</v>
      </c>
    </row>
    <row r="262" spans="1:13" ht="25.5">
      <c r="A262" s="203" t="s">
        <v>1080</v>
      </c>
      <c r="B262" s="208">
        <v>2</v>
      </c>
      <c r="C262" s="208">
        <v>18</v>
      </c>
      <c r="D262" s="203" t="s">
        <v>236</v>
      </c>
      <c r="E262" s="203" t="s">
        <v>271</v>
      </c>
      <c r="F262" s="203" t="s">
        <v>1446</v>
      </c>
      <c r="G262" s="208">
        <v>150</v>
      </c>
      <c r="H262" s="54" t="s">
        <v>1218</v>
      </c>
      <c r="I262" s="325">
        <v>89812</v>
      </c>
      <c r="J262" s="325">
        <v>89812</v>
      </c>
      <c r="K262" s="171">
        <f t="shared" si="57"/>
        <v>100</v>
      </c>
    </row>
    <row r="263" spans="1:13" ht="25.5">
      <c r="A263" s="205" t="s">
        <v>196</v>
      </c>
      <c r="B263" s="205">
        <v>2</v>
      </c>
      <c r="C263" s="205">
        <v>19</v>
      </c>
      <c r="D263" s="205" t="s">
        <v>160</v>
      </c>
      <c r="E263" s="205" t="s">
        <v>159</v>
      </c>
      <c r="F263" s="205" t="s">
        <v>161</v>
      </c>
      <c r="G263" s="205" t="s">
        <v>196</v>
      </c>
      <c r="H263" s="303" t="s">
        <v>1403</v>
      </c>
      <c r="I263" s="168">
        <f t="shared" ref="I263:J263" si="58">I264</f>
        <v>-17074359.550000001</v>
      </c>
      <c r="J263" s="168">
        <f t="shared" si="58"/>
        <v>-17074359.550000001</v>
      </c>
      <c r="K263" s="170">
        <f t="shared" si="57"/>
        <v>100</v>
      </c>
    </row>
    <row r="264" spans="1:13" ht="38.25">
      <c r="A264" s="205" t="s">
        <v>249</v>
      </c>
      <c r="B264" s="205" t="s">
        <v>206</v>
      </c>
      <c r="C264" s="205" t="s">
        <v>1405</v>
      </c>
      <c r="D264" s="205" t="s">
        <v>160</v>
      </c>
      <c r="E264" s="205" t="s">
        <v>271</v>
      </c>
      <c r="F264" s="205" t="s">
        <v>161</v>
      </c>
      <c r="G264" s="205" t="s">
        <v>1644</v>
      </c>
      <c r="H264" s="184" t="s">
        <v>1404</v>
      </c>
      <c r="I264" s="168">
        <f>I265+I266</f>
        <v>-17074359.550000001</v>
      </c>
      <c r="J264" s="168">
        <f>J265+J266</f>
        <v>-17074359.550000001</v>
      </c>
      <c r="K264" s="170">
        <f t="shared" si="57"/>
        <v>100</v>
      </c>
    </row>
    <row r="265" spans="1:13" ht="38.25">
      <c r="A265" s="203" t="s">
        <v>249</v>
      </c>
      <c r="B265" s="203" t="s">
        <v>206</v>
      </c>
      <c r="C265" s="203" t="s">
        <v>1405</v>
      </c>
      <c r="D265" s="203" t="s">
        <v>1226</v>
      </c>
      <c r="E265" s="203" t="s">
        <v>271</v>
      </c>
      <c r="F265" s="203" t="s">
        <v>161</v>
      </c>
      <c r="G265" s="203" t="s">
        <v>1644</v>
      </c>
      <c r="H265" s="9" t="s">
        <v>1564</v>
      </c>
      <c r="I265" s="169">
        <v>-3868</v>
      </c>
      <c r="J265" s="169">
        <v>-3868</v>
      </c>
      <c r="K265" s="171">
        <f t="shared" si="57"/>
        <v>100</v>
      </c>
    </row>
    <row r="266" spans="1:13" ht="38.25">
      <c r="A266" s="203" t="s">
        <v>249</v>
      </c>
      <c r="B266" s="203" t="s">
        <v>206</v>
      </c>
      <c r="C266" s="203" t="s">
        <v>1405</v>
      </c>
      <c r="D266" s="203" t="s">
        <v>1406</v>
      </c>
      <c r="E266" s="203" t="s">
        <v>271</v>
      </c>
      <c r="F266" s="203" t="s">
        <v>161</v>
      </c>
      <c r="G266" s="203" t="s">
        <v>1644</v>
      </c>
      <c r="H266" s="9" t="s">
        <v>1342</v>
      </c>
      <c r="I266" s="325">
        <f>-858045.55-13942922.75-532214-233048.47-117764.92-240000-28.4-240000-120000-786467.46</f>
        <v>-17070491.550000001</v>
      </c>
      <c r="J266" s="8">
        <v>-17070491.550000001</v>
      </c>
      <c r="K266" s="171">
        <f t="shared" si="57"/>
        <v>100</v>
      </c>
    </row>
    <row r="267" spans="1:13">
      <c r="A267" s="181" t="s">
        <v>196</v>
      </c>
      <c r="B267" s="181" t="s">
        <v>32</v>
      </c>
      <c r="C267" s="181" t="s">
        <v>33</v>
      </c>
      <c r="D267" s="181" t="s">
        <v>160</v>
      </c>
      <c r="E267" s="181" t="s">
        <v>159</v>
      </c>
      <c r="F267" s="181" t="s">
        <v>161</v>
      </c>
      <c r="G267" s="182" t="s">
        <v>196</v>
      </c>
      <c r="H267" s="390" t="s">
        <v>34</v>
      </c>
      <c r="I267" s="183">
        <f>I9+I151</f>
        <v>2274000903.6100006</v>
      </c>
      <c r="J267" s="183">
        <f>J9+J151</f>
        <v>2274205053.02</v>
      </c>
      <c r="K267" s="170">
        <f t="shared" si="57"/>
        <v>100.0089775430465</v>
      </c>
    </row>
  </sheetData>
  <autoFilter ref="A7:M267">
    <filterColumn colId="5"/>
    <filterColumn colId="7"/>
  </autoFilter>
  <mergeCells count="8">
    <mergeCell ref="A3:K3"/>
    <mergeCell ref="A2:K2"/>
    <mergeCell ref="A1:K1"/>
    <mergeCell ref="K5:K7"/>
    <mergeCell ref="I5:I7"/>
    <mergeCell ref="A5:G6"/>
    <mergeCell ref="J5:J7"/>
    <mergeCell ref="H5:H7"/>
  </mergeCells>
  <pageMargins left="0.15748031496062992" right="0.15748031496062992" top="0.19685039370078741" bottom="0.19685039370078741" header="0.15748031496062992" footer="0.19685039370078741"/>
  <pageSetup paperSize="9" scale="67" fitToHeight="0" orientation="portrait" r:id="rId1"/>
  <headerFooter alignWithMargins="0"/>
</worksheet>
</file>

<file path=xl/worksheets/sheet6.xml><?xml version="1.0" encoding="utf-8"?>
<worksheet xmlns="http://schemas.openxmlformats.org/spreadsheetml/2006/main" xmlns:r="http://schemas.openxmlformats.org/officeDocument/2006/relationships">
  <sheetPr codeName="Лист7">
    <tabColor rgb="FF00B0F0"/>
  </sheetPr>
  <dimension ref="A1:M1722"/>
  <sheetViews>
    <sheetView topLeftCell="A920" workbookViewId="0">
      <selection activeCell="J408" sqref="J408"/>
    </sheetView>
  </sheetViews>
  <sheetFormatPr defaultRowHeight="12.75"/>
  <cols>
    <col min="1" max="1" width="47.28515625" style="4" customWidth="1"/>
    <col min="2" max="3" width="7" style="148" customWidth="1"/>
    <col min="4" max="4" width="13.85546875" style="148" customWidth="1"/>
    <col min="5" max="5" width="7.7109375" style="149" customWidth="1"/>
    <col min="6" max="6" width="16.5703125" style="365" customWidth="1"/>
    <col min="7" max="7" width="17" style="365" customWidth="1"/>
    <col min="8" max="8" width="14.28515625" style="365" customWidth="1"/>
    <col min="9" max="9" width="25.85546875" style="4" customWidth="1"/>
    <col min="10" max="10" width="13.5703125" style="4" bestFit="1" customWidth="1"/>
    <col min="11" max="16384" width="9.140625" style="4"/>
  </cols>
  <sheetData>
    <row r="1" spans="1:13" ht="46.5" hidden="1" customHeight="1">
      <c r="A1" s="442" t="str">
        <f>"Приложение №"&amp;Н2вед&amp;"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2"/>
      <c r="C1" s="442"/>
      <c r="D1" s="442"/>
      <c r="E1" s="442"/>
      <c r="F1" s="442"/>
      <c r="G1" s="391"/>
      <c r="H1" s="392"/>
    </row>
    <row r="2" spans="1:13" ht="45.75" customHeight="1">
      <c r="A2" s="442" t="str">
        <f>"Приложение "&amp;Н1вед&amp;" к решению
Богучанского районного Совета депутатов
от "&amp;Р1дата&amp;" года №"&amp;Р1номер</f>
        <v>Приложение 3 к решению
Богучанского районного Совета депутатов
от 2020  года №</v>
      </c>
      <c r="B2" s="442"/>
      <c r="C2" s="442"/>
      <c r="D2" s="442"/>
      <c r="E2" s="442"/>
      <c r="F2" s="442"/>
      <c r="G2" s="442"/>
      <c r="H2" s="442"/>
      <c r="I2" s="55"/>
      <c r="J2" s="55"/>
      <c r="K2" s="55"/>
      <c r="L2" s="55"/>
      <c r="M2" s="55"/>
    </row>
    <row r="3" spans="1:13" ht="18" customHeight="1">
      <c r="A3" s="475" t="str">
        <f>"Ведомственная структура расходов районного бюджета на "&amp;год&amp;" год"</f>
        <v>Ведомственная структура расходов районного бюджета на 2019 год</v>
      </c>
      <c r="B3" s="475"/>
      <c r="C3" s="475"/>
      <c r="D3" s="475"/>
      <c r="E3" s="475"/>
      <c r="F3" s="475"/>
      <c r="G3" s="475"/>
      <c r="H3" s="393"/>
    </row>
    <row r="4" spans="1:13">
      <c r="G4" s="364"/>
      <c r="H4" s="364" t="s">
        <v>95</v>
      </c>
    </row>
    <row r="5" spans="1:13" ht="12.75" customHeight="1">
      <c r="A5" s="476" t="s">
        <v>1773</v>
      </c>
      <c r="B5" s="478" t="s">
        <v>212</v>
      </c>
      <c r="C5" s="479"/>
      <c r="D5" s="479"/>
      <c r="E5" s="480"/>
      <c r="F5" s="474" t="s">
        <v>2086</v>
      </c>
      <c r="G5" s="474" t="s">
        <v>2087</v>
      </c>
      <c r="H5" s="474" t="s">
        <v>2085</v>
      </c>
    </row>
    <row r="6" spans="1:13" ht="51">
      <c r="A6" s="477"/>
      <c r="B6" s="352" t="s">
        <v>1770</v>
      </c>
      <c r="C6" s="352" t="s">
        <v>1769</v>
      </c>
      <c r="D6" s="352" t="s">
        <v>1771</v>
      </c>
      <c r="E6" s="352" t="s">
        <v>1772</v>
      </c>
      <c r="F6" s="474"/>
      <c r="G6" s="474"/>
      <c r="H6" s="474"/>
    </row>
    <row r="7" spans="1:13" s="13" customFormat="1">
      <c r="A7" s="329" t="s">
        <v>96</v>
      </c>
      <c r="B7" s="330" t="s">
        <v>1468</v>
      </c>
      <c r="C7" s="330" t="s">
        <v>1468</v>
      </c>
      <c r="D7" s="330" t="s">
        <v>1468</v>
      </c>
      <c r="E7" s="330" t="s">
        <v>1468</v>
      </c>
      <c r="F7" s="368">
        <f>F8+F37+F61+F398+F423+F521+F555+F896+F978+F1470+F1553</f>
        <v>2317056677.21</v>
      </c>
      <c r="G7" s="368">
        <f>G8+G37+G61+G398+G423+G521+G555+G896+G978+G1470+G1553</f>
        <v>2232600466.23</v>
      </c>
      <c r="H7" s="368">
        <f>G7/F7*100</f>
        <v>96.355021790761938</v>
      </c>
      <c r="J7" s="98"/>
    </row>
    <row r="8" spans="1:13">
      <c r="A8" s="329" t="s">
        <v>408</v>
      </c>
      <c r="B8" s="330" t="s">
        <v>213</v>
      </c>
      <c r="C8" s="330" t="s">
        <v>1468</v>
      </c>
      <c r="D8" s="330" t="s">
        <v>1468</v>
      </c>
      <c r="E8" s="330" t="s">
        <v>1468</v>
      </c>
      <c r="F8" s="368">
        <v>4504264</v>
      </c>
      <c r="G8" s="368">
        <f>G9</f>
        <v>3965842.5900000003</v>
      </c>
      <c r="H8" s="368">
        <f t="shared" ref="H8:H71" si="0">G8/F8*100</f>
        <v>88.046406471734358</v>
      </c>
      <c r="I8" s="147" t="str">
        <f>CONCATENATE(C8,D8,E8)</f>
        <v/>
      </c>
    </row>
    <row r="9" spans="1:13">
      <c r="A9" s="329" t="s">
        <v>278</v>
      </c>
      <c r="B9" s="330" t="s">
        <v>213</v>
      </c>
      <c r="C9" s="330" t="s">
        <v>1357</v>
      </c>
      <c r="D9" s="330" t="s">
        <v>1468</v>
      </c>
      <c r="E9" s="330" t="s">
        <v>1468</v>
      </c>
      <c r="F9" s="368">
        <v>4504264</v>
      </c>
      <c r="G9" s="368">
        <f>G10</f>
        <v>3965842.5900000003</v>
      </c>
      <c r="H9" s="368">
        <f t="shared" si="0"/>
        <v>88.046406471734358</v>
      </c>
      <c r="I9" s="147" t="str">
        <f t="shared" ref="I9:I72" si="1">CONCATENATE(C9,D9,E9)</f>
        <v>0100</v>
      </c>
      <c r="J9" s="147"/>
    </row>
    <row r="10" spans="1:13" ht="51">
      <c r="A10" s="329" t="s">
        <v>93</v>
      </c>
      <c r="B10" s="330" t="s">
        <v>213</v>
      </c>
      <c r="C10" s="330" t="s">
        <v>414</v>
      </c>
      <c r="D10" s="330" t="s">
        <v>1468</v>
      </c>
      <c r="E10" s="330" t="s">
        <v>1468</v>
      </c>
      <c r="F10" s="368">
        <v>4504264</v>
      </c>
      <c r="G10" s="368">
        <f>G11</f>
        <v>3965842.5900000003</v>
      </c>
      <c r="H10" s="368">
        <f t="shared" si="0"/>
        <v>88.046406471734358</v>
      </c>
      <c r="I10" s="147" t="str">
        <f t="shared" si="1"/>
        <v>0103</v>
      </c>
    </row>
    <row r="11" spans="1:13" ht="25.5">
      <c r="A11" s="329" t="s">
        <v>708</v>
      </c>
      <c r="B11" s="330" t="s">
        <v>213</v>
      </c>
      <c r="C11" s="330" t="s">
        <v>414</v>
      </c>
      <c r="D11" s="330" t="s">
        <v>1146</v>
      </c>
      <c r="E11" s="330" t="s">
        <v>1468</v>
      </c>
      <c r="F11" s="368">
        <v>4504264</v>
      </c>
      <c r="G11" s="368">
        <f>G12+G29</f>
        <v>3965842.5900000003</v>
      </c>
      <c r="H11" s="368">
        <f t="shared" si="0"/>
        <v>88.046406471734358</v>
      </c>
      <c r="I11" s="147" t="str">
        <f t="shared" si="1"/>
        <v>01038000000000</v>
      </c>
    </row>
    <row r="12" spans="1:13" ht="38.25">
      <c r="A12" s="329" t="s">
        <v>709</v>
      </c>
      <c r="B12" s="330" t="s">
        <v>213</v>
      </c>
      <c r="C12" s="330" t="s">
        <v>414</v>
      </c>
      <c r="D12" s="330" t="s">
        <v>1148</v>
      </c>
      <c r="E12" s="330" t="s">
        <v>1468</v>
      </c>
      <c r="F12" s="368">
        <v>2589085.2000000002</v>
      </c>
      <c r="G12" s="368">
        <f>G13+G25</f>
        <v>2497725.7200000002</v>
      </c>
      <c r="H12" s="368">
        <f t="shared" si="0"/>
        <v>96.471360618028328</v>
      </c>
      <c r="I12" s="147" t="str">
        <f t="shared" si="1"/>
        <v>01038020000000</v>
      </c>
    </row>
    <row r="13" spans="1:13" ht="38.25">
      <c r="A13" s="329" t="s">
        <v>415</v>
      </c>
      <c r="B13" s="330" t="s">
        <v>213</v>
      </c>
      <c r="C13" s="330" t="s">
        <v>414</v>
      </c>
      <c r="D13" s="330" t="s">
        <v>766</v>
      </c>
      <c r="E13" s="330" t="s">
        <v>1468</v>
      </c>
      <c r="F13" s="368">
        <v>2539085.2000000002</v>
      </c>
      <c r="G13" s="368">
        <f>G14+G19+G22</f>
        <v>2452520.52</v>
      </c>
      <c r="H13" s="368">
        <f t="shared" si="0"/>
        <v>96.590713852374847</v>
      </c>
      <c r="I13" s="147" t="str">
        <f t="shared" si="1"/>
        <v>01038020060000</v>
      </c>
    </row>
    <row r="14" spans="1:13" ht="63.75">
      <c r="A14" s="329" t="s">
        <v>1754</v>
      </c>
      <c r="B14" s="330" t="s">
        <v>213</v>
      </c>
      <c r="C14" s="330" t="s">
        <v>414</v>
      </c>
      <c r="D14" s="330" t="s">
        <v>766</v>
      </c>
      <c r="E14" s="330" t="s">
        <v>322</v>
      </c>
      <c r="F14" s="368">
        <v>2003980.4</v>
      </c>
      <c r="G14" s="368">
        <f>G15</f>
        <v>1955015.72</v>
      </c>
      <c r="H14" s="368">
        <f t="shared" si="0"/>
        <v>97.55662879736748</v>
      </c>
      <c r="I14" s="147" t="str">
        <f t="shared" si="1"/>
        <v>01038020060000100</v>
      </c>
    </row>
    <row r="15" spans="1:13" ht="25.5">
      <c r="A15" s="329" t="s">
        <v>1509</v>
      </c>
      <c r="B15" s="330" t="s">
        <v>213</v>
      </c>
      <c r="C15" s="330" t="s">
        <v>414</v>
      </c>
      <c r="D15" s="330" t="s">
        <v>766</v>
      </c>
      <c r="E15" s="330" t="s">
        <v>37</v>
      </c>
      <c r="F15" s="368">
        <v>2003980.4</v>
      </c>
      <c r="G15" s="368">
        <f>SUM(G16:G18)</f>
        <v>1955015.72</v>
      </c>
      <c r="H15" s="368">
        <f t="shared" si="0"/>
        <v>97.55662879736748</v>
      </c>
      <c r="I15" s="147" t="str">
        <f t="shared" si="1"/>
        <v>01038020060000120</v>
      </c>
    </row>
    <row r="16" spans="1:13" ht="25.5">
      <c r="A16" s="329" t="s">
        <v>1081</v>
      </c>
      <c r="B16" s="330" t="s">
        <v>213</v>
      </c>
      <c r="C16" s="330" t="s">
        <v>414</v>
      </c>
      <c r="D16" s="330" t="s">
        <v>766</v>
      </c>
      <c r="E16" s="330" t="s">
        <v>411</v>
      </c>
      <c r="F16" s="368">
        <v>1540743.2</v>
      </c>
      <c r="G16" s="368">
        <v>1540743.2</v>
      </c>
      <c r="H16" s="368">
        <f t="shared" si="0"/>
        <v>100</v>
      </c>
      <c r="I16" s="147" t="str">
        <f t="shared" si="1"/>
        <v>01038020060000121</v>
      </c>
    </row>
    <row r="17" spans="1:9" ht="38.25">
      <c r="A17" s="329" t="s">
        <v>412</v>
      </c>
      <c r="B17" s="330" t="s">
        <v>213</v>
      </c>
      <c r="C17" s="330" t="s">
        <v>414</v>
      </c>
      <c r="D17" s="330" t="s">
        <v>766</v>
      </c>
      <c r="E17" s="330" t="s">
        <v>413</v>
      </c>
      <c r="F17" s="368">
        <v>6345.2</v>
      </c>
      <c r="G17" s="368">
        <v>6345.2</v>
      </c>
      <c r="H17" s="368">
        <f t="shared" si="0"/>
        <v>100</v>
      </c>
      <c r="I17" s="147" t="str">
        <f t="shared" si="1"/>
        <v>01038020060000122</v>
      </c>
    </row>
    <row r="18" spans="1:9" ht="51">
      <c r="A18" s="329" t="s">
        <v>1195</v>
      </c>
      <c r="B18" s="330" t="s">
        <v>213</v>
      </c>
      <c r="C18" s="330" t="s">
        <v>414</v>
      </c>
      <c r="D18" s="330" t="s">
        <v>766</v>
      </c>
      <c r="E18" s="330" t="s">
        <v>1196</v>
      </c>
      <c r="F18" s="368">
        <v>456892</v>
      </c>
      <c r="G18" s="368">
        <v>407927.32</v>
      </c>
      <c r="H18" s="368">
        <f t="shared" si="0"/>
        <v>89.28309534857253</v>
      </c>
      <c r="I18" s="147" t="str">
        <f t="shared" si="1"/>
        <v>01038020060000129</v>
      </c>
    </row>
    <row r="19" spans="1:9" ht="25.5">
      <c r="A19" s="329" t="s">
        <v>1755</v>
      </c>
      <c r="B19" s="330" t="s">
        <v>213</v>
      </c>
      <c r="C19" s="330" t="s">
        <v>414</v>
      </c>
      <c r="D19" s="330" t="s">
        <v>766</v>
      </c>
      <c r="E19" s="330" t="s">
        <v>1756</v>
      </c>
      <c r="F19" s="368">
        <v>534626.43000000005</v>
      </c>
      <c r="G19" s="368">
        <f>G20</f>
        <v>497026.43</v>
      </c>
      <c r="H19" s="368">
        <f t="shared" si="0"/>
        <v>92.967051778566187</v>
      </c>
      <c r="I19" s="147" t="str">
        <f t="shared" si="1"/>
        <v>01038020060000200</v>
      </c>
    </row>
    <row r="20" spans="1:9" ht="38.25">
      <c r="A20" s="329" t="s">
        <v>1502</v>
      </c>
      <c r="B20" s="330" t="s">
        <v>213</v>
      </c>
      <c r="C20" s="330" t="s">
        <v>414</v>
      </c>
      <c r="D20" s="330" t="s">
        <v>766</v>
      </c>
      <c r="E20" s="330" t="s">
        <v>1503</v>
      </c>
      <c r="F20" s="368">
        <v>534626.43000000005</v>
      </c>
      <c r="G20" s="368">
        <f>G21</f>
        <v>497026.43</v>
      </c>
      <c r="H20" s="368">
        <f t="shared" si="0"/>
        <v>92.967051778566187</v>
      </c>
      <c r="I20" s="147" t="str">
        <f t="shared" si="1"/>
        <v>01038020060000240</v>
      </c>
    </row>
    <row r="21" spans="1:9">
      <c r="A21" s="329" t="s">
        <v>1577</v>
      </c>
      <c r="B21" s="330" t="s">
        <v>213</v>
      </c>
      <c r="C21" s="330" t="s">
        <v>414</v>
      </c>
      <c r="D21" s="330" t="s">
        <v>766</v>
      </c>
      <c r="E21" s="330" t="s">
        <v>416</v>
      </c>
      <c r="F21" s="368">
        <v>534626.43000000005</v>
      </c>
      <c r="G21" s="368">
        <v>497026.43</v>
      </c>
      <c r="H21" s="368">
        <f t="shared" si="0"/>
        <v>92.967051778566187</v>
      </c>
      <c r="I21" s="147" t="str">
        <f t="shared" si="1"/>
        <v>01038020060000244</v>
      </c>
    </row>
    <row r="22" spans="1:9">
      <c r="A22" s="329" t="s">
        <v>1757</v>
      </c>
      <c r="B22" s="330" t="s">
        <v>213</v>
      </c>
      <c r="C22" s="330" t="s">
        <v>414</v>
      </c>
      <c r="D22" s="330" t="s">
        <v>766</v>
      </c>
      <c r="E22" s="330" t="s">
        <v>1758</v>
      </c>
      <c r="F22" s="368">
        <v>478.37</v>
      </c>
      <c r="G22" s="368">
        <f>G23</f>
        <v>478.37</v>
      </c>
      <c r="H22" s="368">
        <f t="shared" si="0"/>
        <v>100</v>
      </c>
      <c r="I22" s="147" t="str">
        <f t="shared" si="1"/>
        <v>01038020060000800</v>
      </c>
    </row>
    <row r="23" spans="1:9">
      <c r="A23" s="329" t="s">
        <v>1507</v>
      </c>
      <c r="B23" s="330" t="s">
        <v>213</v>
      </c>
      <c r="C23" s="330" t="s">
        <v>414</v>
      </c>
      <c r="D23" s="330" t="s">
        <v>766</v>
      </c>
      <c r="E23" s="330" t="s">
        <v>1508</v>
      </c>
      <c r="F23" s="368">
        <v>478.37</v>
      </c>
      <c r="G23" s="368">
        <f>G24</f>
        <v>478.37</v>
      </c>
      <c r="H23" s="368">
        <f t="shared" si="0"/>
        <v>100</v>
      </c>
      <c r="I23" s="147" t="str">
        <f t="shared" si="1"/>
        <v>01038020060000850</v>
      </c>
    </row>
    <row r="24" spans="1:9">
      <c r="A24" s="329" t="s">
        <v>1198</v>
      </c>
      <c r="B24" s="330" t="s">
        <v>213</v>
      </c>
      <c r="C24" s="330" t="s">
        <v>414</v>
      </c>
      <c r="D24" s="330" t="s">
        <v>766</v>
      </c>
      <c r="E24" s="330" t="s">
        <v>1199</v>
      </c>
      <c r="F24" s="368">
        <v>478.37</v>
      </c>
      <c r="G24" s="368">
        <v>478.37</v>
      </c>
      <c r="H24" s="368">
        <f t="shared" si="0"/>
        <v>100</v>
      </c>
      <c r="I24" s="147" t="str">
        <f t="shared" si="1"/>
        <v>01038020060000853</v>
      </c>
    </row>
    <row r="25" spans="1:9" ht="63.75">
      <c r="A25" s="329" t="s">
        <v>667</v>
      </c>
      <c r="B25" s="330" t="s">
        <v>213</v>
      </c>
      <c r="C25" s="330" t="s">
        <v>414</v>
      </c>
      <c r="D25" s="330" t="s">
        <v>767</v>
      </c>
      <c r="E25" s="330" t="s">
        <v>1468</v>
      </c>
      <c r="F25" s="368">
        <v>50000</v>
      </c>
      <c r="G25" s="368">
        <v>45205.2</v>
      </c>
      <c r="H25" s="368">
        <f t="shared" si="0"/>
        <v>90.410399999999996</v>
      </c>
      <c r="I25" s="147" t="str">
        <f t="shared" si="1"/>
        <v>01038020067000</v>
      </c>
    </row>
    <row r="26" spans="1:9" ht="63.75">
      <c r="A26" s="329" t="s">
        <v>1754</v>
      </c>
      <c r="B26" s="330" t="s">
        <v>213</v>
      </c>
      <c r="C26" s="330" t="s">
        <v>414</v>
      </c>
      <c r="D26" s="330" t="s">
        <v>767</v>
      </c>
      <c r="E26" s="330" t="s">
        <v>322</v>
      </c>
      <c r="F26" s="368">
        <v>50000</v>
      </c>
      <c r="G26" s="368">
        <v>45205.2</v>
      </c>
      <c r="H26" s="368">
        <f t="shared" si="0"/>
        <v>90.410399999999996</v>
      </c>
      <c r="I26" s="147" t="str">
        <f t="shared" si="1"/>
        <v>01038020067000100</v>
      </c>
    </row>
    <row r="27" spans="1:9" ht="25.5">
      <c r="A27" s="329" t="s">
        <v>1509</v>
      </c>
      <c r="B27" s="330" t="s">
        <v>213</v>
      </c>
      <c r="C27" s="330" t="s">
        <v>414</v>
      </c>
      <c r="D27" s="330" t="s">
        <v>767</v>
      </c>
      <c r="E27" s="330" t="s">
        <v>37</v>
      </c>
      <c r="F27" s="368">
        <v>50000</v>
      </c>
      <c r="G27" s="368">
        <v>45205.2</v>
      </c>
      <c r="H27" s="368">
        <f t="shared" si="0"/>
        <v>90.410399999999996</v>
      </c>
      <c r="I27" s="147" t="str">
        <f t="shared" si="1"/>
        <v>01038020067000120</v>
      </c>
    </row>
    <row r="28" spans="1:9" ht="38.25">
      <c r="A28" s="329" t="s">
        <v>412</v>
      </c>
      <c r="B28" s="330" t="s">
        <v>213</v>
      </c>
      <c r="C28" s="330" t="s">
        <v>414</v>
      </c>
      <c r="D28" s="330" t="s">
        <v>767</v>
      </c>
      <c r="E28" s="330" t="s">
        <v>413</v>
      </c>
      <c r="F28" s="368">
        <v>50000</v>
      </c>
      <c r="G28" s="368">
        <v>45205.2</v>
      </c>
      <c r="H28" s="368">
        <f t="shared" si="0"/>
        <v>90.410399999999996</v>
      </c>
      <c r="I28" s="147" t="str">
        <f t="shared" si="1"/>
        <v>01038020067000122</v>
      </c>
    </row>
    <row r="29" spans="1:9" ht="51">
      <c r="A29" s="329" t="s">
        <v>417</v>
      </c>
      <c r="B29" s="330" t="s">
        <v>213</v>
      </c>
      <c r="C29" s="330" t="s">
        <v>414</v>
      </c>
      <c r="D29" s="330" t="s">
        <v>1149</v>
      </c>
      <c r="E29" s="330" t="s">
        <v>1468</v>
      </c>
      <c r="F29" s="368">
        <v>1915178.8</v>
      </c>
      <c r="G29" s="368">
        <v>1468116.87</v>
      </c>
      <c r="H29" s="368">
        <f t="shared" si="0"/>
        <v>76.656909005049556</v>
      </c>
      <c r="I29" s="147" t="str">
        <f t="shared" si="1"/>
        <v>01038030000000</v>
      </c>
    </row>
    <row r="30" spans="1:9" ht="51">
      <c r="A30" s="329" t="s">
        <v>417</v>
      </c>
      <c r="B30" s="330" t="s">
        <v>213</v>
      </c>
      <c r="C30" s="330" t="s">
        <v>414</v>
      </c>
      <c r="D30" s="330" t="s">
        <v>768</v>
      </c>
      <c r="E30" s="330" t="s">
        <v>1468</v>
      </c>
      <c r="F30" s="368">
        <v>1915178.8</v>
      </c>
      <c r="G30" s="368">
        <v>1468116.87</v>
      </c>
      <c r="H30" s="368">
        <f t="shared" si="0"/>
        <v>76.656909005049556</v>
      </c>
      <c r="I30" s="147" t="str">
        <f t="shared" si="1"/>
        <v>01038030060000</v>
      </c>
    </row>
    <row r="31" spans="1:9" ht="63.75">
      <c r="A31" s="329" t="s">
        <v>1754</v>
      </c>
      <c r="B31" s="330" t="s">
        <v>213</v>
      </c>
      <c r="C31" s="330" t="s">
        <v>414</v>
      </c>
      <c r="D31" s="330" t="s">
        <v>768</v>
      </c>
      <c r="E31" s="330" t="s">
        <v>322</v>
      </c>
      <c r="F31" s="368">
        <v>1915178.8</v>
      </c>
      <c r="G31" s="368">
        <v>1468116.87</v>
      </c>
      <c r="H31" s="368">
        <f t="shared" si="0"/>
        <v>76.656909005049556</v>
      </c>
      <c r="I31" s="147" t="str">
        <f t="shared" si="1"/>
        <v>01038030060000100</v>
      </c>
    </row>
    <row r="32" spans="1:9" ht="25.5">
      <c r="A32" s="329" t="s">
        <v>1509</v>
      </c>
      <c r="B32" s="330" t="s">
        <v>213</v>
      </c>
      <c r="C32" s="330" t="s">
        <v>414</v>
      </c>
      <c r="D32" s="330" t="s">
        <v>768</v>
      </c>
      <c r="E32" s="330" t="s">
        <v>37</v>
      </c>
      <c r="F32" s="368">
        <v>1915178.8</v>
      </c>
      <c r="G32" s="368">
        <v>1468116.87</v>
      </c>
      <c r="H32" s="368">
        <f t="shared" si="0"/>
        <v>76.656909005049556</v>
      </c>
      <c r="I32" s="147" t="str">
        <f t="shared" si="1"/>
        <v>01038030060000120</v>
      </c>
    </row>
    <row r="33" spans="1:9" ht="25.5">
      <c r="A33" s="329" t="s">
        <v>1081</v>
      </c>
      <c r="B33" s="330" t="s">
        <v>213</v>
      </c>
      <c r="C33" s="330" t="s">
        <v>414</v>
      </c>
      <c r="D33" s="330" t="s">
        <v>768</v>
      </c>
      <c r="E33" s="330" t="s">
        <v>411</v>
      </c>
      <c r="F33" s="368">
        <v>1181270.8</v>
      </c>
      <c r="G33" s="368">
        <v>935096.2</v>
      </c>
      <c r="H33" s="368">
        <f t="shared" si="0"/>
        <v>79.16018917931433</v>
      </c>
      <c r="I33" s="147" t="str">
        <f t="shared" si="1"/>
        <v>01038030060000121</v>
      </c>
    </row>
    <row r="34" spans="1:9" ht="38.25">
      <c r="A34" s="329" t="s">
        <v>412</v>
      </c>
      <c r="B34" s="330" t="s">
        <v>213</v>
      </c>
      <c r="C34" s="330" t="s">
        <v>414</v>
      </c>
      <c r="D34" s="330" t="s">
        <v>768</v>
      </c>
      <c r="E34" s="330" t="s">
        <v>413</v>
      </c>
      <c r="F34" s="368">
        <v>28950</v>
      </c>
      <c r="G34" s="368">
        <v>28950</v>
      </c>
      <c r="H34" s="368">
        <f t="shared" si="0"/>
        <v>100</v>
      </c>
      <c r="I34" s="147" t="str">
        <f t="shared" si="1"/>
        <v>01038030060000122</v>
      </c>
    </row>
    <row r="35" spans="1:9" ht="51">
      <c r="A35" s="329" t="s">
        <v>1358</v>
      </c>
      <c r="B35" s="330" t="s">
        <v>213</v>
      </c>
      <c r="C35" s="330" t="s">
        <v>414</v>
      </c>
      <c r="D35" s="330" t="s">
        <v>768</v>
      </c>
      <c r="E35" s="330" t="s">
        <v>589</v>
      </c>
      <c r="F35" s="368">
        <v>212500</v>
      </c>
      <c r="G35" s="368">
        <v>212500</v>
      </c>
      <c r="H35" s="368">
        <f t="shared" si="0"/>
        <v>100</v>
      </c>
      <c r="I35" s="147" t="str">
        <f t="shared" si="1"/>
        <v>01038030060000123</v>
      </c>
    </row>
    <row r="36" spans="1:9" ht="51">
      <c r="A36" s="329" t="s">
        <v>1195</v>
      </c>
      <c r="B36" s="330" t="s">
        <v>213</v>
      </c>
      <c r="C36" s="330" t="s">
        <v>414</v>
      </c>
      <c r="D36" s="330" t="s">
        <v>768</v>
      </c>
      <c r="E36" s="330" t="s">
        <v>1196</v>
      </c>
      <c r="F36" s="368">
        <v>492458</v>
      </c>
      <c r="G36" s="368">
        <v>291570.67</v>
      </c>
      <c r="H36" s="368">
        <f t="shared" si="0"/>
        <v>59.207215640724684</v>
      </c>
      <c r="I36" s="147" t="str">
        <f t="shared" si="1"/>
        <v>01038030060000129</v>
      </c>
    </row>
    <row r="37" spans="1:9">
      <c r="A37" s="329" t="s">
        <v>215</v>
      </c>
      <c r="B37" s="330" t="s">
        <v>214</v>
      </c>
      <c r="C37" s="330" t="s">
        <v>1468</v>
      </c>
      <c r="D37" s="330" t="s">
        <v>1468</v>
      </c>
      <c r="E37" s="330" t="s">
        <v>1468</v>
      </c>
      <c r="F37" s="368">
        <v>1655651</v>
      </c>
      <c r="G37" s="368">
        <v>1640025.81</v>
      </c>
      <c r="H37" s="368">
        <f t="shared" si="0"/>
        <v>99.056250985261997</v>
      </c>
      <c r="I37" s="147" t="str">
        <f t="shared" si="1"/>
        <v/>
      </c>
    </row>
    <row r="38" spans="1:9">
      <c r="A38" s="329" t="s">
        <v>278</v>
      </c>
      <c r="B38" s="330" t="s">
        <v>214</v>
      </c>
      <c r="C38" s="330" t="s">
        <v>1357</v>
      </c>
      <c r="D38" s="330" t="s">
        <v>1468</v>
      </c>
      <c r="E38" s="330" t="s">
        <v>1468</v>
      </c>
      <c r="F38" s="368">
        <v>1655651</v>
      </c>
      <c r="G38" s="368">
        <v>1640025.81</v>
      </c>
      <c r="H38" s="368">
        <f t="shared" si="0"/>
        <v>99.056250985261997</v>
      </c>
      <c r="I38" s="147" t="str">
        <f t="shared" si="1"/>
        <v>0100</v>
      </c>
    </row>
    <row r="39" spans="1:9" ht="38.25">
      <c r="A39" s="329" t="s">
        <v>260</v>
      </c>
      <c r="B39" s="330" t="s">
        <v>214</v>
      </c>
      <c r="C39" s="330" t="s">
        <v>418</v>
      </c>
      <c r="D39" s="330" t="s">
        <v>1468</v>
      </c>
      <c r="E39" s="330" t="s">
        <v>1468</v>
      </c>
      <c r="F39" s="368">
        <v>1655651</v>
      </c>
      <c r="G39" s="368">
        <v>1640025.81</v>
      </c>
      <c r="H39" s="368">
        <f t="shared" si="0"/>
        <v>99.056250985261997</v>
      </c>
      <c r="I39" s="147" t="str">
        <f t="shared" si="1"/>
        <v>0106</v>
      </c>
    </row>
    <row r="40" spans="1:9" ht="25.5">
      <c r="A40" s="329" t="s">
        <v>708</v>
      </c>
      <c r="B40" s="330" t="s">
        <v>214</v>
      </c>
      <c r="C40" s="330" t="s">
        <v>418</v>
      </c>
      <c r="D40" s="330" t="s">
        <v>1146</v>
      </c>
      <c r="E40" s="330" t="s">
        <v>1468</v>
      </c>
      <c r="F40" s="368">
        <v>1655651</v>
      </c>
      <c r="G40" s="368">
        <v>1640025.81</v>
      </c>
      <c r="H40" s="368">
        <f t="shared" si="0"/>
        <v>99.056250985261997</v>
      </c>
      <c r="I40" s="147" t="str">
        <f t="shared" si="1"/>
        <v>01068000000000</v>
      </c>
    </row>
    <row r="41" spans="1:9" ht="38.25">
      <c r="A41" s="329" t="s">
        <v>709</v>
      </c>
      <c r="B41" s="330" t="s">
        <v>214</v>
      </c>
      <c r="C41" s="330" t="s">
        <v>418</v>
      </c>
      <c r="D41" s="330" t="s">
        <v>1148</v>
      </c>
      <c r="E41" s="330" t="s">
        <v>1468</v>
      </c>
      <c r="F41" s="368">
        <v>729876.67</v>
      </c>
      <c r="G41" s="368">
        <v>717871.1</v>
      </c>
      <c r="H41" s="368">
        <f t="shared" si="0"/>
        <v>98.355123475860651</v>
      </c>
      <c r="I41" s="147" t="str">
        <f t="shared" si="1"/>
        <v>01068020000000</v>
      </c>
    </row>
    <row r="42" spans="1:9" ht="38.25">
      <c r="A42" s="329" t="s">
        <v>415</v>
      </c>
      <c r="B42" s="330" t="s">
        <v>214</v>
      </c>
      <c r="C42" s="330" t="s">
        <v>418</v>
      </c>
      <c r="D42" s="330" t="s">
        <v>766</v>
      </c>
      <c r="E42" s="330" t="s">
        <v>1468</v>
      </c>
      <c r="F42" s="368">
        <v>729876.67</v>
      </c>
      <c r="G42" s="368">
        <v>717871.1</v>
      </c>
      <c r="H42" s="368">
        <f t="shared" si="0"/>
        <v>98.355123475860651</v>
      </c>
      <c r="I42" s="147" t="str">
        <f t="shared" si="1"/>
        <v>01068020060000</v>
      </c>
    </row>
    <row r="43" spans="1:9" ht="63.75">
      <c r="A43" s="329" t="s">
        <v>1754</v>
      </c>
      <c r="B43" s="330" t="s">
        <v>214</v>
      </c>
      <c r="C43" s="330" t="s">
        <v>418</v>
      </c>
      <c r="D43" s="330" t="s">
        <v>766</v>
      </c>
      <c r="E43" s="330" t="s">
        <v>322</v>
      </c>
      <c r="F43" s="368">
        <v>689626.67</v>
      </c>
      <c r="G43" s="368">
        <f>G44</f>
        <v>683033.17</v>
      </c>
      <c r="H43" s="368">
        <f t="shared" si="0"/>
        <v>99.043902985944555</v>
      </c>
      <c r="I43" s="147" t="str">
        <f t="shared" si="1"/>
        <v>01068020060000100</v>
      </c>
    </row>
    <row r="44" spans="1:9" ht="25.5">
      <c r="A44" s="329" t="s">
        <v>1509</v>
      </c>
      <c r="B44" s="330" t="s">
        <v>214</v>
      </c>
      <c r="C44" s="330" t="s">
        <v>418</v>
      </c>
      <c r="D44" s="330" t="s">
        <v>766</v>
      </c>
      <c r="E44" s="330" t="s">
        <v>37</v>
      </c>
      <c r="F44" s="368">
        <v>689626.67</v>
      </c>
      <c r="G44" s="368">
        <f>G45+G46+G47</f>
        <v>683033.17</v>
      </c>
      <c r="H44" s="368">
        <f t="shared" si="0"/>
        <v>99.043902985944555</v>
      </c>
      <c r="I44" s="147" t="str">
        <f t="shared" si="1"/>
        <v>01068020060000120</v>
      </c>
    </row>
    <row r="45" spans="1:9" ht="25.5">
      <c r="A45" s="329" t="s">
        <v>1081</v>
      </c>
      <c r="B45" s="330" t="s">
        <v>214</v>
      </c>
      <c r="C45" s="330" t="s">
        <v>418</v>
      </c>
      <c r="D45" s="330" t="s">
        <v>766</v>
      </c>
      <c r="E45" s="330" t="s">
        <v>411</v>
      </c>
      <c r="F45" s="368">
        <v>525665.67000000004</v>
      </c>
      <c r="G45" s="368">
        <v>524603.04</v>
      </c>
      <c r="H45" s="368">
        <f t="shared" si="0"/>
        <v>99.797850599602597</v>
      </c>
      <c r="I45" s="147" t="str">
        <f t="shared" si="1"/>
        <v>01068020060000121</v>
      </c>
    </row>
    <row r="46" spans="1:9" ht="38.25">
      <c r="A46" s="329" t="s">
        <v>412</v>
      </c>
      <c r="B46" s="330" t="s">
        <v>214</v>
      </c>
      <c r="C46" s="330" t="s">
        <v>418</v>
      </c>
      <c r="D46" s="330" t="s">
        <v>766</v>
      </c>
      <c r="E46" s="330" t="s">
        <v>413</v>
      </c>
      <c r="F46" s="368">
        <v>5200</v>
      </c>
      <c r="G46" s="368">
        <v>0</v>
      </c>
      <c r="H46" s="368">
        <f t="shared" si="0"/>
        <v>0</v>
      </c>
      <c r="I46" s="147" t="str">
        <f t="shared" si="1"/>
        <v>01068020060000122</v>
      </c>
    </row>
    <row r="47" spans="1:9" ht="51">
      <c r="A47" s="329" t="s">
        <v>1195</v>
      </c>
      <c r="B47" s="330" t="s">
        <v>214</v>
      </c>
      <c r="C47" s="330" t="s">
        <v>418</v>
      </c>
      <c r="D47" s="330" t="s">
        <v>766</v>
      </c>
      <c r="E47" s="330" t="s">
        <v>1196</v>
      </c>
      <c r="F47" s="368">
        <v>158761</v>
      </c>
      <c r="G47" s="368">
        <v>158430.13</v>
      </c>
      <c r="H47" s="368">
        <f t="shared" si="0"/>
        <v>99.791592393597924</v>
      </c>
      <c r="I47" s="147" t="str">
        <f t="shared" si="1"/>
        <v>01068020060000129</v>
      </c>
    </row>
    <row r="48" spans="1:9" ht="25.5">
      <c r="A48" s="329" t="s">
        <v>1755</v>
      </c>
      <c r="B48" s="330" t="s">
        <v>214</v>
      </c>
      <c r="C48" s="330" t="s">
        <v>418</v>
      </c>
      <c r="D48" s="330" t="s">
        <v>766</v>
      </c>
      <c r="E48" s="330" t="s">
        <v>1756</v>
      </c>
      <c r="F48" s="368">
        <v>40150</v>
      </c>
      <c r="G48" s="368">
        <v>34837.9</v>
      </c>
      <c r="H48" s="368">
        <f t="shared" si="0"/>
        <v>86.769364881693662</v>
      </c>
      <c r="I48" s="147" t="str">
        <f t="shared" si="1"/>
        <v>01068020060000200</v>
      </c>
    </row>
    <row r="49" spans="1:9" ht="38.25">
      <c r="A49" s="329" t="s">
        <v>1502</v>
      </c>
      <c r="B49" s="330" t="s">
        <v>214</v>
      </c>
      <c r="C49" s="330" t="s">
        <v>418</v>
      </c>
      <c r="D49" s="330" t="s">
        <v>766</v>
      </c>
      <c r="E49" s="330" t="s">
        <v>1503</v>
      </c>
      <c r="F49" s="368">
        <v>40150</v>
      </c>
      <c r="G49" s="368">
        <v>34837.9</v>
      </c>
      <c r="H49" s="368">
        <f t="shared" si="0"/>
        <v>86.769364881693662</v>
      </c>
      <c r="I49" s="147" t="str">
        <f t="shared" si="1"/>
        <v>01068020060000240</v>
      </c>
    </row>
    <row r="50" spans="1:9">
      <c r="A50" s="329" t="s">
        <v>1577</v>
      </c>
      <c r="B50" s="330" t="s">
        <v>214</v>
      </c>
      <c r="C50" s="330" t="s">
        <v>418</v>
      </c>
      <c r="D50" s="330" t="s">
        <v>766</v>
      </c>
      <c r="E50" s="330" t="s">
        <v>416</v>
      </c>
      <c r="F50" s="368">
        <v>40150</v>
      </c>
      <c r="G50" s="368">
        <v>34837.9</v>
      </c>
      <c r="H50" s="368">
        <f t="shared" si="0"/>
        <v>86.769364881693662</v>
      </c>
      <c r="I50" s="147" t="str">
        <f t="shared" si="1"/>
        <v>01068020060000244</v>
      </c>
    </row>
    <row r="51" spans="1:9">
      <c r="A51" s="329" t="s">
        <v>1757</v>
      </c>
      <c r="B51" s="330" t="s">
        <v>214</v>
      </c>
      <c r="C51" s="330" t="s">
        <v>418</v>
      </c>
      <c r="D51" s="330" t="s">
        <v>766</v>
      </c>
      <c r="E51" s="330" t="s">
        <v>1758</v>
      </c>
      <c r="F51" s="368">
        <v>100</v>
      </c>
      <c r="G51" s="368">
        <v>0.03</v>
      </c>
      <c r="H51" s="368">
        <f t="shared" si="0"/>
        <v>0.03</v>
      </c>
      <c r="I51" s="147" t="str">
        <f t="shared" si="1"/>
        <v>01068020060000800</v>
      </c>
    </row>
    <row r="52" spans="1:9">
      <c r="A52" s="329" t="s">
        <v>1507</v>
      </c>
      <c r="B52" s="330" t="s">
        <v>214</v>
      </c>
      <c r="C52" s="330" t="s">
        <v>418</v>
      </c>
      <c r="D52" s="330" t="s">
        <v>766</v>
      </c>
      <c r="E52" s="330" t="s">
        <v>1508</v>
      </c>
      <c r="F52" s="368">
        <v>100</v>
      </c>
      <c r="G52" s="368">
        <v>0.03</v>
      </c>
      <c r="H52" s="368">
        <f t="shared" si="0"/>
        <v>0.03</v>
      </c>
      <c r="I52" s="147" t="str">
        <f t="shared" si="1"/>
        <v>01068020060000850</v>
      </c>
    </row>
    <row r="53" spans="1:9">
      <c r="A53" s="329" t="s">
        <v>1198</v>
      </c>
      <c r="B53" s="330" t="s">
        <v>214</v>
      </c>
      <c r="C53" s="330" t="s">
        <v>418</v>
      </c>
      <c r="D53" s="330" t="s">
        <v>766</v>
      </c>
      <c r="E53" s="330" t="s">
        <v>1199</v>
      </c>
      <c r="F53" s="368">
        <v>100</v>
      </c>
      <c r="G53" s="368">
        <v>0.03</v>
      </c>
      <c r="H53" s="368">
        <f t="shared" si="0"/>
        <v>0.03</v>
      </c>
      <c r="I53" s="147" t="str">
        <f t="shared" si="1"/>
        <v>01068020060000853</v>
      </c>
    </row>
    <row r="54" spans="1:9" ht="63.75">
      <c r="A54" s="329" t="s">
        <v>419</v>
      </c>
      <c r="B54" s="330" t="s">
        <v>214</v>
      </c>
      <c r="C54" s="330" t="s">
        <v>418</v>
      </c>
      <c r="D54" s="330" t="s">
        <v>1150</v>
      </c>
      <c r="E54" s="330" t="s">
        <v>1468</v>
      </c>
      <c r="F54" s="368">
        <v>925774.33</v>
      </c>
      <c r="G54" s="368">
        <v>922154.71</v>
      </c>
      <c r="H54" s="368">
        <f t="shared" si="0"/>
        <v>99.609017026860101</v>
      </c>
      <c r="I54" s="147" t="str">
        <f t="shared" si="1"/>
        <v>01068040000000</v>
      </c>
    </row>
    <row r="55" spans="1:9" ht="63.75">
      <c r="A55" s="329" t="s">
        <v>419</v>
      </c>
      <c r="B55" s="330" t="s">
        <v>214</v>
      </c>
      <c r="C55" s="330" t="s">
        <v>418</v>
      </c>
      <c r="D55" s="330" t="s">
        <v>770</v>
      </c>
      <c r="E55" s="330" t="s">
        <v>1468</v>
      </c>
      <c r="F55" s="368">
        <v>925774.33</v>
      </c>
      <c r="G55" s="368">
        <v>922154.71</v>
      </c>
      <c r="H55" s="368">
        <f t="shared" si="0"/>
        <v>99.609017026860101</v>
      </c>
      <c r="I55" s="147" t="str">
        <f t="shared" si="1"/>
        <v>01068040060000</v>
      </c>
    </row>
    <row r="56" spans="1:9" ht="63.75">
      <c r="A56" s="329" t="s">
        <v>1754</v>
      </c>
      <c r="B56" s="330" t="s">
        <v>214</v>
      </c>
      <c r="C56" s="330" t="s">
        <v>418</v>
      </c>
      <c r="D56" s="330" t="s">
        <v>770</v>
      </c>
      <c r="E56" s="330" t="s">
        <v>322</v>
      </c>
      <c r="F56" s="368">
        <v>925774.33</v>
      </c>
      <c r="G56" s="368">
        <v>922154.71</v>
      </c>
      <c r="H56" s="368">
        <f t="shared" si="0"/>
        <v>99.609017026860101</v>
      </c>
      <c r="I56" s="147" t="str">
        <f t="shared" si="1"/>
        <v>01068040060000100</v>
      </c>
    </row>
    <row r="57" spans="1:9" ht="25.5">
      <c r="A57" s="329" t="s">
        <v>1509</v>
      </c>
      <c r="B57" s="330" t="s">
        <v>214</v>
      </c>
      <c r="C57" s="330" t="s">
        <v>418</v>
      </c>
      <c r="D57" s="330" t="s">
        <v>770</v>
      </c>
      <c r="E57" s="330" t="s">
        <v>37</v>
      </c>
      <c r="F57" s="368">
        <v>925774.33</v>
      </c>
      <c r="G57" s="368">
        <v>922154.71</v>
      </c>
      <c r="H57" s="368">
        <f t="shared" si="0"/>
        <v>99.609017026860101</v>
      </c>
      <c r="I57" s="147" t="str">
        <f t="shared" si="1"/>
        <v>01068040060000120</v>
      </c>
    </row>
    <row r="58" spans="1:9" ht="25.5">
      <c r="A58" s="329" t="s">
        <v>1081</v>
      </c>
      <c r="B58" s="330" t="s">
        <v>214</v>
      </c>
      <c r="C58" s="330" t="s">
        <v>418</v>
      </c>
      <c r="D58" s="330" t="s">
        <v>770</v>
      </c>
      <c r="E58" s="330" t="s">
        <v>411</v>
      </c>
      <c r="F58" s="368">
        <v>699942.33</v>
      </c>
      <c r="G58" s="368">
        <v>696596.01</v>
      </c>
      <c r="H58" s="368">
        <f t="shared" si="0"/>
        <v>99.521914898331701</v>
      </c>
      <c r="I58" s="147" t="str">
        <f t="shared" si="1"/>
        <v>01068040060000121</v>
      </c>
    </row>
    <row r="59" spans="1:9" ht="38.25">
      <c r="A59" s="329" t="s">
        <v>412</v>
      </c>
      <c r="B59" s="330" t="s">
        <v>214</v>
      </c>
      <c r="C59" s="330" t="s">
        <v>418</v>
      </c>
      <c r="D59" s="330" t="s">
        <v>770</v>
      </c>
      <c r="E59" s="330" t="s">
        <v>413</v>
      </c>
      <c r="F59" s="368">
        <v>6200</v>
      </c>
      <c r="G59" s="368">
        <v>5945.9</v>
      </c>
      <c r="H59" s="368">
        <f t="shared" si="0"/>
        <v>95.901612903225796</v>
      </c>
      <c r="I59" s="147" t="str">
        <f t="shared" si="1"/>
        <v>01068040060000122</v>
      </c>
    </row>
    <row r="60" spans="1:9" ht="51">
      <c r="A60" s="329" t="s">
        <v>1195</v>
      </c>
      <c r="B60" s="330" t="s">
        <v>214</v>
      </c>
      <c r="C60" s="330" t="s">
        <v>418</v>
      </c>
      <c r="D60" s="330" t="s">
        <v>770</v>
      </c>
      <c r="E60" s="330" t="s">
        <v>1196</v>
      </c>
      <c r="F60" s="368">
        <v>219632</v>
      </c>
      <c r="G60" s="368">
        <v>219612.79999999999</v>
      </c>
      <c r="H60" s="368">
        <f t="shared" si="0"/>
        <v>99.991258104465643</v>
      </c>
      <c r="I60" s="147" t="str">
        <f t="shared" si="1"/>
        <v>01068040060000129</v>
      </c>
    </row>
    <row r="61" spans="1:9">
      <c r="A61" s="329" t="s">
        <v>216</v>
      </c>
      <c r="B61" s="330" t="s">
        <v>5</v>
      </c>
      <c r="C61" s="330" t="s">
        <v>1468</v>
      </c>
      <c r="D61" s="330" t="s">
        <v>1468</v>
      </c>
      <c r="E61" s="330" t="s">
        <v>1468</v>
      </c>
      <c r="F61" s="368">
        <f>F62+F176+F226+F314+F365</f>
        <v>331664162.5</v>
      </c>
      <c r="G61" s="368">
        <f>G62+G176+G226+G314+G365</f>
        <v>323069409.12</v>
      </c>
      <c r="H61" s="368">
        <f t="shared" si="0"/>
        <v>97.408597505616839</v>
      </c>
      <c r="I61" s="147" t="str">
        <f t="shared" si="1"/>
        <v/>
      </c>
    </row>
    <row r="62" spans="1:9">
      <c r="A62" s="329" t="s">
        <v>278</v>
      </c>
      <c r="B62" s="330" t="s">
        <v>5</v>
      </c>
      <c r="C62" s="330" t="s">
        <v>1357</v>
      </c>
      <c r="D62" s="330" t="s">
        <v>1468</v>
      </c>
      <c r="E62" s="330" t="s">
        <v>1468</v>
      </c>
      <c r="F62" s="368">
        <f>F63+F139+F146</f>
        <v>57046678.020000003</v>
      </c>
      <c r="G62" s="368">
        <f>G63+G139+G146</f>
        <v>52360922.960000001</v>
      </c>
      <c r="H62" s="368">
        <f t="shared" si="0"/>
        <v>91.78610355127563</v>
      </c>
      <c r="I62" s="147" t="str">
        <f t="shared" si="1"/>
        <v>0100</v>
      </c>
    </row>
    <row r="63" spans="1:9" ht="51">
      <c r="A63" s="329" t="s">
        <v>280</v>
      </c>
      <c r="B63" s="330" t="s">
        <v>5</v>
      </c>
      <c r="C63" s="330" t="s">
        <v>420</v>
      </c>
      <c r="D63" s="330" t="s">
        <v>1468</v>
      </c>
      <c r="E63" s="330" t="s">
        <v>1468</v>
      </c>
      <c r="F63" s="368">
        <v>56616864.18</v>
      </c>
      <c r="G63" s="368">
        <v>51956491.119999997</v>
      </c>
      <c r="H63" s="368">
        <f t="shared" si="0"/>
        <v>91.768577918438851</v>
      </c>
      <c r="I63" s="147" t="str">
        <f t="shared" si="1"/>
        <v>0104</v>
      </c>
    </row>
    <row r="64" spans="1:9" ht="38.25">
      <c r="A64" s="329" t="s">
        <v>549</v>
      </c>
      <c r="B64" s="330" t="s">
        <v>5</v>
      </c>
      <c r="C64" s="330" t="s">
        <v>420</v>
      </c>
      <c r="D64" s="330" t="s">
        <v>1117</v>
      </c>
      <c r="E64" s="330" t="s">
        <v>1468</v>
      </c>
      <c r="F64" s="368">
        <v>12702.75</v>
      </c>
      <c r="G64" s="368">
        <v>12702.75</v>
      </c>
      <c r="H64" s="368">
        <f t="shared" si="0"/>
        <v>100</v>
      </c>
      <c r="I64" s="147" t="str">
        <f t="shared" si="1"/>
        <v>01040400000000</v>
      </c>
    </row>
    <row r="65" spans="1:9" ht="25.5">
      <c r="A65" s="329" t="s">
        <v>552</v>
      </c>
      <c r="B65" s="330" t="s">
        <v>5</v>
      </c>
      <c r="C65" s="330" t="s">
        <v>420</v>
      </c>
      <c r="D65" s="330" t="s">
        <v>1119</v>
      </c>
      <c r="E65" s="330" t="s">
        <v>1468</v>
      </c>
      <c r="F65" s="368">
        <v>12702.75</v>
      </c>
      <c r="G65" s="368">
        <v>12702.75</v>
      </c>
      <c r="H65" s="368">
        <f t="shared" si="0"/>
        <v>100</v>
      </c>
      <c r="I65" s="147" t="str">
        <f t="shared" si="1"/>
        <v>01040420000000</v>
      </c>
    </row>
    <row r="66" spans="1:9" ht="89.25">
      <c r="A66" s="329" t="s">
        <v>421</v>
      </c>
      <c r="B66" s="330" t="s">
        <v>5</v>
      </c>
      <c r="C66" s="330" t="s">
        <v>420</v>
      </c>
      <c r="D66" s="330" t="s">
        <v>773</v>
      </c>
      <c r="E66" s="330" t="s">
        <v>1468</v>
      </c>
      <c r="F66" s="368">
        <v>12702.75</v>
      </c>
      <c r="G66" s="368">
        <v>12702.75</v>
      </c>
      <c r="H66" s="368">
        <f t="shared" si="0"/>
        <v>100</v>
      </c>
      <c r="I66" s="147" t="str">
        <f t="shared" si="1"/>
        <v>01040420080040</v>
      </c>
    </row>
    <row r="67" spans="1:9" ht="25.5">
      <c r="A67" s="329" t="s">
        <v>1755</v>
      </c>
      <c r="B67" s="330" t="s">
        <v>5</v>
      </c>
      <c r="C67" s="330" t="s">
        <v>420</v>
      </c>
      <c r="D67" s="330" t="s">
        <v>773</v>
      </c>
      <c r="E67" s="330" t="s">
        <v>1756</v>
      </c>
      <c r="F67" s="368">
        <v>12702.75</v>
      </c>
      <c r="G67" s="368">
        <v>12702.75</v>
      </c>
      <c r="H67" s="368">
        <f t="shared" si="0"/>
        <v>100</v>
      </c>
      <c r="I67" s="147" t="str">
        <f t="shared" si="1"/>
        <v>01040420080040200</v>
      </c>
    </row>
    <row r="68" spans="1:9" ht="38.25">
      <c r="A68" s="329" t="s">
        <v>1502</v>
      </c>
      <c r="B68" s="330" t="s">
        <v>5</v>
      </c>
      <c r="C68" s="330" t="s">
        <v>420</v>
      </c>
      <c r="D68" s="330" t="s">
        <v>773</v>
      </c>
      <c r="E68" s="330" t="s">
        <v>1503</v>
      </c>
      <c r="F68" s="368">
        <v>12702.75</v>
      </c>
      <c r="G68" s="368">
        <v>12702.75</v>
      </c>
      <c r="H68" s="368">
        <f t="shared" si="0"/>
        <v>100</v>
      </c>
      <c r="I68" s="147" t="str">
        <f t="shared" si="1"/>
        <v>01040420080040240</v>
      </c>
    </row>
    <row r="69" spans="1:9">
      <c r="A69" s="329" t="s">
        <v>1577</v>
      </c>
      <c r="B69" s="330" t="s">
        <v>5</v>
      </c>
      <c r="C69" s="330" t="s">
        <v>420</v>
      </c>
      <c r="D69" s="330" t="s">
        <v>773</v>
      </c>
      <c r="E69" s="330" t="s">
        <v>416</v>
      </c>
      <c r="F69" s="368">
        <v>12702.75</v>
      </c>
      <c r="G69" s="368">
        <v>12702.75</v>
      </c>
      <c r="H69" s="368">
        <f t="shared" si="0"/>
        <v>100</v>
      </c>
      <c r="I69" s="147" t="str">
        <f t="shared" si="1"/>
        <v>01040420080040244</v>
      </c>
    </row>
    <row r="70" spans="1:9" ht="25.5">
      <c r="A70" s="329" t="s">
        <v>708</v>
      </c>
      <c r="B70" s="330" t="s">
        <v>5</v>
      </c>
      <c r="C70" s="330" t="s">
        <v>420</v>
      </c>
      <c r="D70" s="330" t="s">
        <v>1146</v>
      </c>
      <c r="E70" s="330" t="s">
        <v>1468</v>
      </c>
      <c r="F70" s="368">
        <v>56604161.43</v>
      </c>
      <c r="G70" s="368">
        <v>51943788.369999997</v>
      </c>
      <c r="H70" s="368">
        <f t="shared" si="0"/>
        <v>91.766730674451765</v>
      </c>
      <c r="I70" s="147" t="str">
        <f t="shared" si="1"/>
        <v>01048000000000</v>
      </c>
    </row>
    <row r="71" spans="1:9" ht="38.25">
      <c r="A71" s="329" t="s">
        <v>709</v>
      </c>
      <c r="B71" s="330" t="s">
        <v>5</v>
      </c>
      <c r="C71" s="330" t="s">
        <v>420</v>
      </c>
      <c r="D71" s="330" t="s">
        <v>1148</v>
      </c>
      <c r="E71" s="330" t="s">
        <v>1468</v>
      </c>
      <c r="F71" s="368">
        <v>56604161.43</v>
      </c>
      <c r="G71" s="368">
        <v>51943788.369999997</v>
      </c>
      <c r="H71" s="368">
        <f t="shared" si="0"/>
        <v>91.766730674451765</v>
      </c>
      <c r="I71" s="147" t="str">
        <f t="shared" si="1"/>
        <v>01048020000000</v>
      </c>
    </row>
    <row r="72" spans="1:9" ht="76.5">
      <c r="A72" s="329" t="s">
        <v>1903</v>
      </c>
      <c r="B72" s="330" t="s">
        <v>5</v>
      </c>
      <c r="C72" s="330" t="s">
        <v>420</v>
      </c>
      <c r="D72" s="330" t="s">
        <v>1958</v>
      </c>
      <c r="E72" s="330" t="s">
        <v>1468</v>
      </c>
      <c r="F72" s="368">
        <v>1249400</v>
      </c>
      <c r="G72" s="368">
        <v>1249400</v>
      </c>
      <c r="H72" s="368">
        <f t="shared" ref="H72:H135" si="2">G72/F72*100</f>
        <v>100</v>
      </c>
      <c r="I72" s="147" t="str">
        <f t="shared" si="1"/>
        <v>01048020010390</v>
      </c>
    </row>
    <row r="73" spans="1:9" ht="63.75">
      <c r="A73" s="329" t="s">
        <v>1754</v>
      </c>
      <c r="B73" s="330" t="s">
        <v>5</v>
      </c>
      <c r="C73" s="330" t="s">
        <v>420</v>
      </c>
      <c r="D73" s="330" t="s">
        <v>1958</v>
      </c>
      <c r="E73" s="330" t="s">
        <v>322</v>
      </c>
      <c r="F73" s="368">
        <v>1249400</v>
      </c>
      <c r="G73" s="368">
        <v>1249400</v>
      </c>
      <c r="H73" s="368">
        <f t="shared" si="2"/>
        <v>100</v>
      </c>
      <c r="I73" s="147" t="str">
        <f t="shared" ref="I73:I130" si="3">CONCATENATE(C73,D73,E73)</f>
        <v>01048020010390100</v>
      </c>
    </row>
    <row r="74" spans="1:9" ht="25.5">
      <c r="A74" s="329" t="s">
        <v>1509</v>
      </c>
      <c r="B74" s="330" t="s">
        <v>5</v>
      </c>
      <c r="C74" s="330" t="s">
        <v>420</v>
      </c>
      <c r="D74" s="330" t="s">
        <v>1958</v>
      </c>
      <c r="E74" s="330" t="s">
        <v>37</v>
      </c>
      <c r="F74" s="368">
        <v>1249400</v>
      </c>
      <c r="G74" s="368">
        <v>1249400</v>
      </c>
      <c r="H74" s="368">
        <f t="shared" si="2"/>
        <v>100</v>
      </c>
      <c r="I74" s="147" t="str">
        <f t="shared" si="3"/>
        <v>01048020010390120</v>
      </c>
    </row>
    <row r="75" spans="1:9" ht="25.5">
      <c r="A75" s="329" t="s">
        <v>1081</v>
      </c>
      <c r="B75" s="330" t="s">
        <v>5</v>
      </c>
      <c r="C75" s="330" t="s">
        <v>420</v>
      </c>
      <c r="D75" s="330" t="s">
        <v>1958</v>
      </c>
      <c r="E75" s="330" t="s">
        <v>411</v>
      </c>
      <c r="F75" s="368">
        <v>959601</v>
      </c>
      <c r="G75" s="368">
        <v>959601</v>
      </c>
      <c r="H75" s="368">
        <f t="shared" si="2"/>
        <v>100</v>
      </c>
      <c r="I75" s="147" t="str">
        <f t="shared" si="3"/>
        <v>01048020010390121</v>
      </c>
    </row>
    <row r="76" spans="1:9" ht="51">
      <c r="A76" s="329" t="s">
        <v>1195</v>
      </c>
      <c r="B76" s="330" t="s">
        <v>5</v>
      </c>
      <c r="C76" s="330" t="s">
        <v>420</v>
      </c>
      <c r="D76" s="330" t="s">
        <v>1958</v>
      </c>
      <c r="E76" s="330" t="s">
        <v>1196</v>
      </c>
      <c r="F76" s="368">
        <v>289799</v>
      </c>
      <c r="G76" s="368">
        <v>289799</v>
      </c>
      <c r="H76" s="368">
        <f t="shared" si="2"/>
        <v>100</v>
      </c>
      <c r="I76" s="147" t="str">
        <f t="shared" si="3"/>
        <v>01048020010390129</v>
      </c>
    </row>
    <row r="77" spans="1:9" ht="38.25">
      <c r="A77" s="329" t="s">
        <v>415</v>
      </c>
      <c r="B77" s="330" t="s">
        <v>5</v>
      </c>
      <c r="C77" s="330" t="s">
        <v>420</v>
      </c>
      <c r="D77" s="330" t="s">
        <v>766</v>
      </c>
      <c r="E77" s="330" t="s">
        <v>1468</v>
      </c>
      <c r="F77" s="368">
        <v>39062798.520000003</v>
      </c>
      <c r="G77" s="368">
        <v>35225073.450000003</v>
      </c>
      <c r="H77" s="368">
        <f t="shared" si="2"/>
        <v>90.17549890073775</v>
      </c>
      <c r="I77" s="147" t="str">
        <f t="shared" si="3"/>
        <v>01048020060000</v>
      </c>
    </row>
    <row r="78" spans="1:9" ht="63.75">
      <c r="A78" s="329" t="s">
        <v>1754</v>
      </c>
      <c r="B78" s="330" t="s">
        <v>5</v>
      </c>
      <c r="C78" s="330" t="s">
        <v>420</v>
      </c>
      <c r="D78" s="330" t="s">
        <v>766</v>
      </c>
      <c r="E78" s="330" t="s">
        <v>322</v>
      </c>
      <c r="F78" s="368">
        <v>29710208</v>
      </c>
      <c r="G78" s="368">
        <f>G79</f>
        <v>26865485.599999998</v>
      </c>
      <c r="H78" s="368">
        <f t="shared" si="2"/>
        <v>90.425101029248935</v>
      </c>
      <c r="I78" s="147" t="str">
        <f t="shared" si="3"/>
        <v>01048020060000100</v>
      </c>
    </row>
    <row r="79" spans="1:9" ht="25.5">
      <c r="A79" s="329" t="s">
        <v>1509</v>
      </c>
      <c r="B79" s="330" t="s">
        <v>5</v>
      </c>
      <c r="C79" s="330" t="s">
        <v>420</v>
      </c>
      <c r="D79" s="330" t="s">
        <v>766</v>
      </c>
      <c r="E79" s="330" t="s">
        <v>37</v>
      </c>
      <c r="F79" s="368">
        <v>29710208</v>
      </c>
      <c r="G79" s="368">
        <f>SUBTOTAL(9,G80:G82)</f>
        <v>26865485.599999998</v>
      </c>
      <c r="H79" s="368">
        <f t="shared" si="2"/>
        <v>90.425101029248935</v>
      </c>
      <c r="I79" s="147" t="str">
        <f t="shared" si="3"/>
        <v>01048020060000120</v>
      </c>
    </row>
    <row r="80" spans="1:9" ht="25.5">
      <c r="A80" s="329" t="s">
        <v>1081</v>
      </c>
      <c r="B80" s="330" t="s">
        <v>5</v>
      </c>
      <c r="C80" s="330" t="s">
        <v>420</v>
      </c>
      <c r="D80" s="330" t="s">
        <v>766</v>
      </c>
      <c r="E80" s="330" t="s">
        <v>411</v>
      </c>
      <c r="F80" s="368">
        <v>22188486</v>
      </c>
      <c r="G80" s="368">
        <v>20149209.02</v>
      </c>
      <c r="H80" s="368">
        <f t="shared" si="2"/>
        <v>90.809300913996566</v>
      </c>
      <c r="I80" s="147" t="str">
        <f t="shared" si="3"/>
        <v>01048020060000121</v>
      </c>
    </row>
    <row r="81" spans="1:9" ht="38.25">
      <c r="A81" s="329" t="s">
        <v>412</v>
      </c>
      <c r="B81" s="330" t="s">
        <v>5</v>
      </c>
      <c r="C81" s="330" t="s">
        <v>420</v>
      </c>
      <c r="D81" s="330" t="s">
        <v>766</v>
      </c>
      <c r="E81" s="330" t="s">
        <v>413</v>
      </c>
      <c r="F81" s="368">
        <v>820800</v>
      </c>
      <c r="G81" s="368">
        <v>759769.4</v>
      </c>
      <c r="H81" s="368">
        <f t="shared" si="2"/>
        <v>92.564498050682261</v>
      </c>
      <c r="I81" s="147" t="str">
        <f t="shared" si="3"/>
        <v>01048020060000122</v>
      </c>
    </row>
    <row r="82" spans="1:9" ht="51">
      <c r="A82" s="329" t="s">
        <v>1195</v>
      </c>
      <c r="B82" s="330" t="s">
        <v>5</v>
      </c>
      <c r="C82" s="330" t="s">
        <v>420</v>
      </c>
      <c r="D82" s="330" t="s">
        <v>766</v>
      </c>
      <c r="E82" s="330" t="s">
        <v>1196</v>
      </c>
      <c r="F82" s="368">
        <v>6700922</v>
      </c>
      <c r="G82" s="368">
        <v>5956507.1799999997</v>
      </c>
      <c r="H82" s="368">
        <f t="shared" si="2"/>
        <v>88.890859795114764</v>
      </c>
      <c r="I82" s="147" t="str">
        <f t="shared" si="3"/>
        <v>01048020060000129</v>
      </c>
    </row>
    <row r="83" spans="1:9" ht="25.5">
      <c r="A83" s="329" t="s">
        <v>1755</v>
      </c>
      <c r="B83" s="330" t="s">
        <v>5</v>
      </c>
      <c r="C83" s="330" t="s">
        <v>420</v>
      </c>
      <c r="D83" s="330" t="s">
        <v>766</v>
      </c>
      <c r="E83" s="330" t="s">
        <v>1756</v>
      </c>
      <c r="F83" s="368">
        <v>8986569.5199999996</v>
      </c>
      <c r="G83" s="368">
        <v>7994567.9800000004</v>
      </c>
      <c r="H83" s="368">
        <f t="shared" si="2"/>
        <v>88.961287866384865</v>
      </c>
      <c r="I83" s="147" t="str">
        <f t="shared" si="3"/>
        <v>01048020060000200</v>
      </c>
    </row>
    <row r="84" spans="1:9" ht="38.25">
      <c r="A84" s="329" t="s">
        <v>1502</v>
      </c>
      <c r="B84" s="330" t="s">
        <v>5</v>
      </c>
      <c r="C84" s="330" t="s">
        <v>420</v>
      </c>
      <c r="D84" s="330" t="s">
        <v>766</v>
      </c>
      <c r="E84" s="330" t="s">
        <v>1503</v>
      </c>
      <c r="F84" s="368">
        <v>8986569.5199999996</v>
      </c>
      <c r="G84" s="368">
        <v>7994567.9800000004</v>
      </c>
      <c r="H84" s="368">
        <f t="shared" si="2"/>
        <v>88.961287866384865</v>
      </c>
      <c r="I84" s="147" t="str">
        <f t="shared" si="3"/>
        <v>01048020060000240</v>
      </c>
    </row>
    <row r="85" spans="1:9">
      <c r="A85" s="329" t="s">
        <v>1577</v>
      </c>
      <c r="B85" s="330" t="s">
        <v>5</v>
      </c>
      <c r="C85" s="330" t="s">
        <v>420</v>
      </c>
      <c r="D85" s="330" t="s">
        <v>766</v>
      </c>
      <c r="E85" s="330" t="s">
        <v>416</v>
      </c>
      <c r="F85" s="368">
        <v>8986569.5199999996</v>
      </c>
      <c r="G85" s="368">
        <v>7994567.9800000004</v>
      </c>
      <c r="H85" s="368">
        <f t="shared" si="2"/>
        <v>88.961287866384865</v>
      </c>
      <c r="I85" s="147" t="str">
        <f t="shared" si="3"/>
        <v>01048020060000244</v>
      </c>
    </row>
    <row r="86" spans="1:9">
      <c r="A86" s="329" t="s">
        <v>1757</v>
      </c>
      <c r="B86" s="330" t="s">
        <v>5</v>
      </c>
      <c r="C86" s="330" t="s">
        <v>420</v>
      </c>
      <c r="D86" s="330" t="s">
        <v>766</v>
      </c>
      <c r="E86" s="330" t="s">
        <v>1758</v>
      </c>
      <c r="F86" s="368">
        <v>366021</v>
      </c>
      <c r="G86" s="368">
        <f>G87</f>
        <v>365019.87</v>
      </c>
      <c r="H86" s="368">
        <f t="shared" si="2"/>
        <v>99.726482906718459</v>
      </c>
      <c r="I86" s="147" t="str">
        <f t="shared" si="3"/>
        <v>01048020060000800</v>
      </c>
    </row>
    <row r="87" spans="1:9">
      <c r="A87" s="329" t="s">
        <v>1507</v>
      </c>
      <c r="B87" s="330" t="s">
        <v>5</v>
      </c>
      <c r="C87" s="330" t="s">
        <v>420</v>
      </c>
      <c r="D87" s="330" t="s">
        <v>766</v>
      </c>
      <c r="E87" s="330" t="s">
        <v>1508</v>
      </c>
      <c r="F87" s="368">
        <v>366021</v>
      </c>
      <c r="G87" s="368">
        <f>G88+G89</f>
        <v>365019.87</v>
      </c>
      <c r="H87" s="368">
        <f t="shared" si="2"/>
        <v>99.726482906718459</v>
      </c>
      <c r="I87" s="147" t="str">
        <f t="shared" si="3"/>
        <v>01048020060000850</v>
      </c>
    </row>
    <row r="88" spans="1:9">
      <c r="A88" s="329" t="s">
        <v>1082</v>
      </c>
      <c r="B88" s="330" t="s">
        <v>5</v>
      </c>
      <c r="C88" s="330" t="s">
        <v>420</v>
      </c>
      <c r="D88" s="330" t="s">
        <v>766</v>
      </c>
      <c r="E88" s="330" t="s">
        <v>591</v>
      </c>
      <c r="F88" s="368">
        <v>12700</v>
      </c>
      <c r="G88" s="368">
        <v>12700</v>
      </c>
      <c r="H88" s="368">
        <f t="shared" si="2"/>
        <v>100</v>
      </c>
      <c r="I88" s="147" t="str">
        <f t="shared" si="3"/>
        <v>01048020060000852</v>
      </c>
    </row>
    <row r="89" spans="1:9">
      <c r="A89" s="329" t="s">
        <v>1198</v>
      </c>
      <c r="B89" s="330" t="s">
        <v>5</v>
      </c>
      <c r="C89" s="330" t="s">
        <v>420</v>
      </c>
      <c r="D89" s="330" t="s">
        <v>766</v>
      </c>
      <c r="E89" s="330" t="s">
        <v>1199</v>
      </c>
      <c r="F89" s="368">
        <v>353321</v>
      </c>
      <c r="G89" s="368">
        <v>352319.87</v>
      </c>
      <c r="H89" s="368">
        <f t="shared" si="2"/>
        <v>99.716651430285779</v>
      </c>
      <c r="I89" s="147" t="str">
        <f t="shared" si="3"/>
        <v>01048020060000853</v>
      </c>
    </row>
    <row r="90" spans="1:9" ht="76.5">
      <c r="A90" s="329" t="s">
        <v>669</v>
      </c>
      <c r="B90" s="330" t="s">
        <v>5</v>
      </c>
      <c r="C90" s="330" t="s">
        <v>420</v>
      </c>
      <c r="D90" s="330" t="s">
        <v>776</v>
      </c>
      <c r="E90" s="330" t="s">
        <v>1468</v>
      </c>
      <c r="F90" s="368">
        <v>1492576.43</v>
      </c>
      <c r="G90" s="368">
        <v>1492576.15</v>
      </c>
      <c r="H90" s="368">
        <f t="shared" si="2"/>
        <v>99.99998124049165</v>
      </c>
      <c r="I90" s="147" t="str">
        <f t="shared" si="3"/>
        <v>01048020061000</v>
      </c>
    </row>
    <row r="91" spans="1:9" ht="63.75">
      <c r="A91" s="329" t="s">
        <v>1754</v>
      </c>
      <c r="B91" s="330" t="s">
        <v>5</v>
      </c>
      <c r="C91" s="330" t="s">
        <v>420</v>
      </c>
      <c r="D91" s="330" t="s">
        <v>776</v>
      </c>
      <c r="E91" s="330" t="s">
        <v>322</v>
      </c>
      <c r="F91" s="368">
        <v>1492576.43</v>
      </c>
      <c r="G91" s="368">
        <v>1492576.15</v>
      </c>
      <c r="H91" s="368">
        <f t="shared" si="2"/>
        <v>99.99998124049165</v>
      </c>
      <c r="I91" s="147" t="str">
        <f t="shared" si="3"/>
        <v>01048020061000100</v>
      </c>
    </row>
    <row r="92" spans="1:9" ht="25.5">
      <c r="A92" s="329" t="s">
        <v>1509</v>
      </c>
      <c r="B92" s="330" t="s">
        <v>5</v>
      </c>
      <c r="C92" s="330" t="s">
        <v>420</v>
      </c>
      <c r="D92" s="330" t="s">
        <v>776</v>
      </c>
      <c r="E92" s="330" t="s">
        <v>37</v>
      </c>
      <c r="F92" s="368">
        <v>1492576.43</v>
      </c>
      <c r="G92" s="368">
        <v>1492576.15</v>
      </c>
      <c r="H92" s="368">
        <f t="shared" si="2"/>
        <v>99.99998124049165</v>
      </c>
      <c r="I92" s="147" t="str">
        <f t="shared" si="3"/>
        <v>01048020061000120</v>
      </c>
    </row>
    <row r="93" spans="1:9" ht="25.5">
      <c r="A93" s="329" t="s">
        <v>1081</v>
      </c>
      <c r="B93" s="330" t="s">
        <v>5</v>
      </c>
      <c r="C93" s="330" t="s">
        <v>420</v>
      </c>
      <c r="D93" s="330" t="s">
        <v>776</v>
      </c>
      <c r="E93" s="330" t="s">
        <v>411</v>
      </c>
      <c r="F93" s="368">
        <v>1146372</v>
      </c>
      <c r="G93" s="368">
        <v>1146372</v>
      </c>
      <c r="H93" s="368">
        <f t="shared" si="2"/>
        <v>100</v>
      </c>
      <c r="I93" s="147" t="str">
        <f t="shared" si="3"/>
        <v>01048020061000121</v>
      </c>
    </row>
    <row r="94" spans="1:9" ht="51">
      <c r="A94" s="329" t="s">
        <v>1195</v>
      </c>
      <c r="B94" s="330" t="s">
        <v>5</v>
      </c>
      <c r="C94" s="330" t="s">
        <v>420</v>
      </c>
      <c r="D94" s="330" t="s">
        <v>776</v>
      </c>
      <c r="E94" s="330" t="s">
        <v>1196</v>
      </c>
      <c r="F94" s="368">
        <v>346204.43</v>
      </c>
      <c r="G94" s="368">
        <v>346204.15</v>
      </c>
      <c r="H94" s="368">
        <f t="shared" si="2"/>
        <v>99.999919122929782</v>
      </c>
      <c r="I94" s="147" t="str">
        <f t="shared" si="3"/>
        <v>01048020061000129</v>
      </c>
    </row>
    <row r="95" spans="1:9" ht="63.75">
      <c r="A95" s="329" t="s">
        <v>667</v>
      </c>
      <c r="B95" s="330" t="s">
        <v>5</v>
      </c>
      <c r="C95" s="330" t="s">
        <v>420</v>
      </c>
      <c r="D95" s="330" t="s">
        <v>767</v>
      </c>
      <c r="E95" s="330" t="s">
        <v>1468</v>
      </c>
      <c r="F95" s="368">
        <v>397150</v>
      </c>
      <c r="G95" s="368">
        <v>334646.44</v>
      </c>
      <c r="H95" s="368">
        <f t="shared" si="2"/>
        <v>84.26197658315499</v>
      </c>
      <c r="I95" s="147" t="str">
        <f t="shared" si="3"/>
        <v>01048020067000</v>
      </c>
    </row>
    <row r="96" spans="1:9" ht="63.75">
      <c r="A96" s="329" t="s">
        <v>1754</v>
      </c>
      <c r="B96" s="330" t="s">
        <v>5</v>
      </c>
      <c r="C96" s="330" t="s">
        <v>420</v>
      </c>
      <c r="D96" s="330" t="s">
        <v>767</v>
      </c>
      <c r="E96" s="330" t="s">
        <v>322</v>
      </c>
      <c r="F96" s="368">
        <v>397150</v>
      </c>
      <c r="G96" s="368">
        <v>334646.44</v>
      </c>
      <c r="H96" s="368">
        <f t="shared" si="2"/>
        <v>84.26197658315499</v>
      </c>
      <c r="I96" s="147" t="str">
        <f t="shared" si="3"/>
        <v>01048020067000100</v>
      </c>
    </row>
    <row r="97" spans="1:9" ht="25.5">
      <c r="A97" s="329" t="s">
        <v>1509</v>
      </c>
      <c r="B97" s="330" t="s">
        <v>5</v>
      </c>
      <c r="C97" s="330" t="s">
        <v>420</v>
      </c>
      <c r="D97" s="330" t="s">
        <v>767</v>
      </c>
      <c r="E97" s="330" t="s">
        <v>37</v>
      </c>
      <c r="F97" s="368">
        <v>397150</v>
      </c>
      <c r="G97" s="368">
        <v>334646.44</v>
      </c>
      <c r="H97" s="368">
        <f t="shared" si="2"/>
        <v>84.26197658315499</v>
      </c>
      <c r="I97" s="147" t="str">
        <f t="shared" si="3"/>
        <v>01048020067000120</v>
      </c>
    </row>
    <row r="98" spans="1:9" ht="38.25">
      <c r="A98" s="329" t="s">
        <v>412</v>
      </c>
      <c r="B98" s="330" t="s">
        <v>5</v>
      </c>
      <c r="C98" s="330" t="s">
        <v>420</v>
      </c>
      <c r="D98" s="330" t="s">
        <v>767</v>
      </c>
      <c r="E98" s="330" t="s">
        <v>413</v>
      </c>
      <c r="F98" s="368">
        <v>397150</v>
      </c>
      <c r="G98" s="368">
        <v>334646.44</v>
      </c>
      <c r="H98" s="368">
        <f t="shared" si="2"/>
        <v>84.26197658315499</v>
      </c>
      <c r="I98" s="147" t="str">
        <f t="shared" si="3"/>
        <v>01048020067000122</v>
      </c>
    </row>
    <row r="99" spans="1:9" ht="63.75">
      <c r="A99" s="329" t="s">
        <v>670</v>
      </c>
      <c r="B99" s="330" t="s">
        <v>5</v>
      </c>
      <c r="C99" s="330" t="s">
        <v>420</v>
      </c>
      <c r="D99" s="330" t="s">
        <v>777</v>
      </c>
      <c r="E99" s="330" t="s">
        <v>1468</v>
      </c>
      <c r="F99" s="368">
        <v>5987879</v>
      </c>
      <c r="G99" s="368">
        <v>5915966.7400000002</v>
      </c>
      <c r="H99" s="368">
        <f t="shared" si="2"/>
        <v>98.799036186268964</v>
      </c>
      <c r="I99" s="147" t="str">
        <f t="shared" si="3"/>
        <v>0104802006Б000</v>
      </c>
    </row>
    <row r="100" spans="1:9" ht="63.75">
      <c r="A100" s="329" t="s">
        <v>1754</v>
      </c>
      <c r="B100" s="330" t="s">
        <v>5</v>
      </c>
      <c r="C100" s="330" t="s">
        <v>420</v>
      </c>
      <c r="D100" s="330" t="s">
        <v>777</v>
      </c>
      <c r="E100" s="330" t="s">
        <v>322</v>
      </c>
      <c r="F100" s="368">
        <v>5987879</v>
      </c>
      <c r="G100" s="368">
        <v>5915966.7400000002</v>
      </c>
      <c r="H100" s="368">
        <f t="shared" si="2"/>
        <v>98.799036186268964</v>
      </c>
      <c r="I100" s="147" t="str">
        <f t="shared" si="3"/>
        <v>0104802006Б000100</v>
      </c>
    </row>
    <row r="101" spans="1:9" ht="25.5">
      <c r="A101" s="329" t="s">
        <v>1509</v>
      </c>
      <c r="B101" s="330" t="s">
        <v>5</v>
      </c>
      <c r="C101" s="330" t="s">
        <v>420</v>
      </c>
      <c r="D101" s="330" t="s">
        <v>777</v>
      </c>
      <c r="E101" s="330" t="s">
        <v>37</v>
      </c>
      <c r="F101" s="368">
        <v>5987879</v>
      </c>
      <c r="G101" s="368">
        <v>5915966.7400000002</v>
      </c>
      <c r="H101" s="368">
        <f t="shared" si="2"/>
        <v>98.799036186268964</v>
      </c>
      <c r="I101" s="147" t="str">
        <f t="shared" si="3"/>
        <v>0104802006Б000120</v>
      </c>
    </row>
    <row r="102" spans="1:9" ht="25.5">
      <c r="A102" s="329" t="s">
        <v>1081</v>
      </c>
      <c r="B102" s="330" t="s">
        <v>5</v>
      </c>
      <c r="C102" s="330" t="s">
        <v>420</v>
      </c>
      <c r="D102" s="330" t="s">
        <v>777</v>
      </c>
      <c r="E102" s="330" t="s">
        <v>411</v>
      </c>
      <c r="F102" s="368">
        <v>4576777</v>
      </c>
      <c r="G102" s="368">
        <v>4541903.8499999996</v>
      </c>
      <c r="H102" s="368">
        <f t="shared" si="2"/>
        <v>99.238041311604206</v>
      </c>
      <c r="I102" s="147" t="str">
        <f t="shared" si="3"/>
        <v>0104802006Б000121</v>
      </c>
    </row>
    <row r="103" spans="1:9" ht="51">
      <c r="A103" s="329" t="s">
        <v>1195</v>
      </c>
      <c r="B103" s="330" t="s">
        <v>5</v>
      </c>
      <c r="C103" s="330" t="s">
        <v>420</v>
      </c>
      <c r="D103" s="330" t="s">
        <v>777</v>
      </c>
      <c r="E103" s="330" t="s">
        <v>1196</v>
      </c>
      <c r="F103" s="368">
        <v>1411102</v>
      </c>
      <c r="G103" s="368">
        <v>1374062.89</v>
      </c>
      <c r="H103" s="368">
        <f t="shared" si="2"/>
        <v>97.375164233343853</v>
      </c>
      <c r="I103" s="147" t="str">
        <f t="shared" si="3"/>
        <v>0104802006Б000129</v>
      </c>
    </row>
    <row r="104" spans="1:9" ht="51">
      <c r="A104" s="329" t="s">
        <v>1083</v>
      </c>
      <c r="B104" s="330" t="s">
        <v>5</v>
      </c>
      <c r="C104" s="330" t="s">
        <v>420</v>
      </c>
      <c r="D104" s="330" t="s">
        <v>1084</v>
      </c>
      <c r="E104" s="330" t="s">
        <v>1468</v>
      </c>
      <c r="F104" s="368">
        <v>2657008.13</v>
      </c>
      <c r="G104" s="368">
        <v>2413747.37</v>
      </c>
      <c r="H104" s="368">
        <f t="shared" si="2"/>
        <v>90.844560946074353</v>
      </c>
      <c r="I104" s="147" t="str">
        <f t="shared" si="3"/>
        <v>0104802006Г000</v>
      </c>
    </row>
    <row r="105" spans="1:9" ht="25.5">
      <c r="A105" s="329" t="s">
        <v>1755</v>
      </c>
      <c r="B105" s="330" t="s">
        <v>5</v>
      </c>
      <c r="C105" s="330" t="s">
        <v>420</v>
      </c>
      <c r="D105" s="330" t="s">
        <v>1084</v>
      </c>
      <c r="E105" s="330" t="s">
        <v>1756</v>
      </c>
      <c r="F105" s="368">
        <v>2657008.13</v>
      </c>
      <c r="G105" s="368">
        <v>2413747.37</v>
      </c>
      <c r="H105" s="368">
        <f t="shared" si="2"/>
        <v>90.844560946074353</v>
      </c>
      <c r="I105" s="147" t="str">
        <f t="shared" si="3"/>
        <v>0104802006Г000200</v>
      </c>
    </row>
    <row r="106" spans="1:9" ht="38.25">
      <c r="A106" s="329" t="s">
        <v>1502</v>
      </c>
      <c r="B106" s="330" t="s">
        <v>5</v>
      </c>
      <c r="C106" s="330" t="s">
        <v>420</v>
      </c>
      <c r="D106" s="330" t="s">
        <v>1084</v>
      </c>
      <c r="E106" s="330" t="s">
        <v>1503</v>
      </c>
      <c r="F106" s="368">
        <v>2657008.13</v>
      </c>
      <c r="G106" s="368">
        <v>2413747.37</v>
      </c>
      <c r="H106" s="368">
        <f t="shared" si="2"/>
        <v>90.844560946074353</v>
      </c>
      <c r="I106" s="147" t="str">
        <f t="shared" si="3"/>
        <v>0104802006Г000240</v>
      </c>
    </row>
    <row r="107" spans="1:9">
      <c r="A107" s="329" t="s">
        <v>1577</v>
      </c>
      <c r="B107" s="330" t="s">
        <v>5</v>
      </c>
      <c r="C107" s="330" t="s">
        <v>420</v>
      </c>
      <c r="D107" s="330" t="s">
        <v>1084</v>
      </c>
      <c r="E107" s="330" t="s">
        <v>416</v>
      </c>
      <c r="F107" s="368">
        <v>2657008.13</v>
      </c>
      <c r="G107" s="368">
        <v>2413747.37</v>
      </c>
      <c r="H107" s="368">
        <f t="shared" si="2"/>
        <v>90.844560946074353</v>
      </c>
      <c r="I107" s="147" t="str">
        <f t="shared" si="3"/>
        <v>0104802006Г000244</v>
      </c>
    </row>
    <row r="108" spans="1:9" ht="38.25">
      <c r="A108" s="329" t="s">
        <v>1578</v>
      </c>
      <c r="B108" s="330" t="s">
        <v>5</v>
      </c>
      <c r="C108" s="330" t="s">
        <v>420</v>
      </c>
      <c r="D108" s="330" t="s">
        <v>1579</v>
      </c>
      <c r="E108" s="330" t="s">
        <v>1468</v>
      </c>
      <c r="F108" s="368">
        <v>2342400</v>
      </c>
      <c r="G108" s="368">
        <v>2195054.69</v>
      </c>
      <c r="H108" s="368">
        <f t="shared" si="2"/>
        <v>93.709643528005458</v>
      </c>
      <c r="I108" s="147" t="str">
        <f t="shared" si="3"/>
        <v>0104802006Ф000</v>
      </c>
    </row>
    <row r="109" spans="1:9" ht="25.5">
      <c r="A109" s="329" t="s">
        <v>1755</v>
      </c>
      <c r="B109" s="330" t="s">
        <v>5</v>
      </c>
      <c r="C109" s="330" t="s">
        <v>420</v>
      </c>
      <c r="D109" s="330" t="s">
        <v>1579</v>
      </c>
      <c r="E109" s="330" t="s">
        <v>1756</v>
      </c>
      <c r="F109" s="368">
        <v>2342400</v>
      </c>
      <c r="G109" s="368">
        <v>2195054.69</v>
      </c>
      <c r="H109" s="368">
        <f t="shared" si="2"/>
        <v>93.709643528005458</v>
      </c>
      <c r="I109" s="147" t="str">
        <f t="shared" si="3"/>
        <v>0104802006Ф000200</v>
      </c>
    </row>
    <row r="110" spans="1:9" ht="38.25">
      <c r="A110" s="329" t="s">
        <v>1502</v>
      </c>
      <c r="B110" s="330" t="s">
        <v>5</v>
      </c>
      <c r="C110" s="330" t="s">
        <v>420</v>
      </c>
      <c r="D110" s="330" t="s">
        <v>1579</v>
      </c>
      <c r="E110" s="330" t="s">
        <v>1503</v>
      </c>
      <c r="F110" s="368">
        <v>2342400</v>
      </c>
      <c r="G110" s="368">
        <v>2195054.69</v>
      </c>
      <c r="H110" s="368">
        <f t="shared" si="2"/>
        <v>93.709643528005458</v>
      </c>
      <c r="I110" s="147" t="str">
        <f t="shared" si="3"/>
        <v>0104802006Ф000240</v>
      </c>
    </row>
    <row r="111" spans="1:9">
      <c r="A111" s="329" t="s">
        <v>1577</v>
      </c>
      <c r="B111" s="330" t="s">
        <v>5</v>
      </c>
      <c r="C111" s="330" t="s">
        <v>420</v>
      </c>
      <c r="D111" s="330" t="s">
        <v>1579</v>
      </c>
      <c r="E111" s="330" t="s">
        <v>416</v>
      </c>
      <c r="F111" s="368">
        <v>2342400</v>
      </c>
      <c r="G111" s="368">
        <v>2195054.69</v>
      </c>
      <c r="H111" s="368">
        <f t="shared" si="2"/>
        <v>93.709643528005458</v>
      </c>
      <c r="I111" s="147" t="str">
        <f t="shared" si="3"/>
        <v>0104802006Ф000244</v>
      </c>
    </row>
    <row r="112" spans="1:9" ht="38.25">
      <c r="A112" s="329" t="s">
        <v>1236</v>
      </c>
      <c r="B112" s="330" t="s">
        <v>5</v>
      </c>
      <c r="C112" s="330" t="s">
        <v>420</v>
      </c>
      <c r="D112" s="330" t="s">
        <v>1237</v>
      </c>
      <c r="E112" s="330" t="s">
        <v>1468</v>
      </c>
      <c r="F112" s="368">
        <v>974024.35</v>
      </c>
      <c r="G112" s="368">
        <v>845992.82</v>
      </c>
      <c r="H112" s="368">
        <f t="shared" si="2"/>
        <v>86.855407670249718</v>
      </c>
      <c r="I112" s="147" t="str">
        <f t="shared" si="3"/>
        <v>0104802006Э000</v>
      </c>
    </row>
    <row r="113" spans="1:9" ht="25.5">
      <c r="A113" s="329" t="s">
        <v>1755</v>
      </c>
      <c r="B113" s="330" t="s">
        <v>5</v>
      </c>
      <c r="C113" s="330" t="s">
        <v>420</v>
      </c>
      <c r="D113" s="330" t="s">
        <v>1237</v>
      </c>
      <c r="E113" s="330" t="s">
        <v>1756</v>
      </c>
      <c r="F113" s="368">
        <v>974024.35</v>
      </c>
      <c r="G113" s="368">
        <v>845992.82</v>
      </c>
      <c r="H113" s="368">
        <f t="shared" si="2"/>
        <v>86.855407670249718</v>
      </c>
      <c r="I113" s="147" t="str">
        <f t="shared" si="3"/>
        <v>0104802006Э000200</v>
      </c>
    </row>
    <row r="114" spans="1:9" ht="38.25">
      <c r="A114" s="329" t="s">
        <v>1502</v>
      </c>
      <c r="B114" s="330" t="s">
        <v>5</v>
      </c>
      <c r="C114" s="330" t="s">
        <v>420</v>
      </c>
      <c r="D114" s="330" t="s">
        <v>1237</v>
      </c>
      <c r="E114" s="330" t="s">
        <v>1503</v>
      </c>
      <c r="F114" s="368">
        <v>974024.35</v>
      </c>
      <c r="G114" s="368">
        <v>845992.82</v>
      </c>
      <c r="H114" s="368">
        <f t="shared" si="2"/>
        <v>86.855407670249718</v>
      </c>
      <c r="I114" s="147" t="str">
        <f t="shared" si="3"/>
        <v>0104802006Э000240</v>
      </c>
    </row>
    <row r="115" spans="1:9">
      <c r="A115" s="329" t="s">
        <v>1577</v>
      </c>
      <c r="B115" s="330" t="s">
        <v>5</v>
      </c>
      <c r="C115" s="330" t="s">
        <v>420</v>
      </c>
      <c r="D115" s="330" t="s">
        <v>1237</v>
      </c>
      <c r="E115" s="330" t="s">
        <v>416</v>
      </c>
      <c r="F115" s="368">
        <v>974024.35</v>
      </c>
      <c r="G115" s="368">
        <v>845992.82</v>
      </c>
      <c r="H115" s="368">
        <f t="shared" si="2"/>
        <v>86.855407670249718</v>
      </c>
      <c r="I115" s="147" t="str">
        <f t="shared" si="3"/>
        <v>0104802006Э000244</v>
      </c>
    </row>
    <row r="116" spans="1:9" ht="76.5">
      <c r="A116" s="329" t="s">
        <v>422</v>
      </c>
      <c r="B116" s="330" t="s">
        <v>5</v>
      </c>
      <c r="C116" s="330" t="s">
        <v>420</v>
      </c>
      <c r="D116" s="330" t="s">
        <v>774</v>
      </c>
      <c r="E116" s="330" t="s">
        <v>1468</v>
      </c>
      <c r="F116" s="368">
        <v>654800</v>
      </c>
      <c r="G116" s="368">
        <v>653009.35</v>
      </c>
      <c r="H116" s="368">
        <f t="shared" si="2"/>
        <v>99.726534819792306</v>
      </c>
      <c r="I116" s="147" t="str">
        <f t="shared" si="3"/>
        <v>01048020074670</v>
      </c>
    </row>
    <row r="117" spans="1:9" ht="63.75">
      <c r="A117" s="329" t="s">
        <v>1754</v>
      </c>
      <c r="B117" s="330" t="s">
        <v>5</v>
      </c>
      <c r="C117" s="330" t="s">
        <v>420</v>
      </c>
      <c r="D117" s="330" t="s">
        <v>774</v>
      </c>
      <c r="E117" s="330" t="s">
        <v>322</v>
      </c>
      <c r="F117" s="368">
        <v>622600</v>
      </c>
      <c r="G117" s="368">
        <f>G118</f>
        <v>621715.4</v>
      </c>
      <c r="H117" s="368">
        <f t="shared" si="2"/>
        <v>99.857918406681662</v>
      </c>
      <c r="I117" s="147" t="str">
        <f t="shared" si="3"/>
        <v>01048020074670100</v>
      </c>
    </row>
    <row r="118" spans="1:9" ht="25.5">
      <c r="A118" s="329" t="s">
        <v>1509</v>
      </c>
      <c r="B118" s="330" t="s">
        <v>5</v>
      </c>
      <c r="C118" s="330" t="s">
        <v>420</v>
      </c>
      <c r="D118" s="330" t="s">
        <v>774</v>
      </c>
      <c r="E118" s="330" t="s">
        <v>37</v>
      </c>
      <c r="F118" s="368">
        <v>622600</v>
      </c>
      <c r="G118" s="368">
        <f>SUBTOTAL(9,G119:G121)</f>
        <v>621715.4</v>
      </c>
      <c r="H118" s="368">
        <f t="shared" si="2"/>
        <v>99.857918406681662</v>
      </c>
      <c r="I118" s="147" t="str">
        <f t="shared" si="3"/>
        <v>01048020074670120</v>
      </c>
    </row>
    <row r="119" spans="1:9" ht="25.5">
      <c r="A119" s="329" t="s">
        <v>1081</v>
      </c>
      <c r="B119" s="330" t="s">
        <v>5</v>
      </c>
      <c r="C119" s="330" t="s">
        <v>420</v>
      </c>
      <c r="D119" s="330" t="s">
        <v>774</v>
      </c>
      <c r="E119" s="330" t="s">
        <v>411</v>
      </c>
      <c r="F119" s="368">
        <v>467895</v>
      </c>
      <c r="G119" s="368">
        <v>467895</v>
      </c>
      <c r="H119" s="368">
        <f t="shared" si="2"/>
        <v>100</v>
      </c>
      <c r="I119" s="147" t="str">
        <f t="shared" si="3"/>
        <v>01048020074670121</v>
      </c>
    </row>
    <row r="120" spans="1:9" ht="38.25">
      <c r="A120" s="329" t="s">
        <v>412</v>
      </c>
      <c r="B120" s="330" t="s">
        <v>5</v>
      </c>
      <c r="C120" s="330" t="s">
        <v>420</v>
      </c>
      <c r="D120" s="330" t="s">
        <v>774</v>
      </c>
      <c r="E120" s="330" t="s">
        <v>413</v>
      </c>
      <c r="F120" s="368">
        <v>13400</v>
      </c>
      <c r="G120" s="368">
        <v>12515.4</v>
      </c>
      <c r="H120" s="368">
        <f t="shared" si="2"/>
        <v>93.398507462686567</v>
      </c>
      <c r="I120" s="147" t="str">
        <f t="shared" si="3"/>
        <v>01048020074670122</v>
      </c>
    </row>
    <row r="121" spans="1:9" ht="51">
      <c r="A121" s="329" t="s">
        <v>1195</v>
      </c>
      <c r="B121" s="330" t="s">
        <v>5</v>
      </c>
      <c r="C121" s="330" t="s">
        <v>420</v>
      </c>
      <c r="D121" s="330" t="s">
        <v>774</v>
      </c>
      <c r="E121" s="330" t="s">
        <v>1196</v>
      </c>
      <c r="F121" s="368">
        <v>141305</v>
      </c>
      <c r="G121" s="368">
        <v>141305</v>
      </c>
      <c r="H121" s="368">
        <f t="shared" si="2"/>
        <v>100</v>
      </c>
      <c r="I121" s="147" t="str">
        <f t="shared" si="3"/>
        <v>01048020074670129</v>
      </c>
    </row>
    <row r="122" spans="1:9" ht="25.5">
      <c r="A122" s="329" t="s">
        <v>1755</v>
      </c>
      <c r="B122" s="330" t="s">
        <v>5</v>
      </c>
      <c r="C122" s="330" t="s">
        <v>420</v>
      </c>
      <c r="D122" s="330" t="s">
        <v>774</v>
      </c>
      <c r="E122" s="330" t="s">
        <v>1756</v>
      </c>
      <c r="F122" s="368">
        <v>32200</v>
      </c>
      <c r="G122" s="368">
        <v>31293.95</v>
      </c>
      <c r="H122" s="368">
        <f t="shared" si="2"/>
        <v>97.186180124223611</v>
      </c>
      <c r="I122" s="147" t="str">
        <f t="shared" si="3"/>
        <v>01048020074670200</v>
      </c>
    </row>
    <row r="123" spans="1:9" ht="38.25">
      <c r="A123" s="329" t="s">
        <v>1502</v>
      </c>
      <c r="B123" s="330" t="s">
        <v>5</v>
      </c>
      <c r="C123" s="330" t="s">
        <v>420</v>
      </c>
      <c r="D123" s="330" t="s">
        <v>774</v>
      </c>
      <c r="E123" s="330" t="s">
        <v>1503</v>
      </c>
      <c r="F123" s="368">
        <v>32200</v>
      </c>
      <c r="G123" s="368">
        <v>31293.95</v>
      </c>
      <c r="H123" s="368">
        <f t="shared" si="2"/>
        <v>97.186180124223611</v>
      </c>
      <c r="I123" s="147" t="str">
        <f t="shared" si="3"/>
        <v>01048020074670240</v>
      </c>
    </row>
    <row r="124" spans="1:9">
      <c r="A124" s="329" t="s">
        <v>1577</v>
      </c>
      <c r="B124" s="330" t="s">
        <v>5</v>
      </c>
      <c r="C124" s="330" t="s">
        <v>420</v>
      </c>
      <c r="D124" s="330" t="s">
        <v>774</v>
      </c>
      <c r="E124" s="330" t="s">
        <v>416</v>
      </c>
      <c r="F124" s="368">
        <v>32200</v>
      </c>
      <c r="G124" s="368">
        <v>31293.95</v>
      </c>
      <c r="H124" s="368">
        <f t="shared" si="2"/>
        <v>97.186180124223611</v>
      </c>
      <c r="I124" s="147" t="str">
        <f t="shared" si="3"/>
        <v>01048020074670244</v>
      </c>
    </row>
    <row r="125" spans="1:9" ht="63.75">
      <c r="A125" s="329" t="s">
        <v>423</v>
      </c>
      <c r="B125" s="330" t="s">
        <v>5</v>
      </c>
      <c r="C125" s="330" t="s">
        <v>420</v>
      </c>
      <c r="D125" s="330" t="s">
        <v>775</v>
      </c>
      <c r="E125" s="330" t="s">
        <v>1468</v>
      </c>
      <c r="F125" s="368">
        <v>1176825</v>
      </c>
      <c r="G125" s="368">
        <v>1009021.36</v>
      </c>
      <c r="H125" s="368">
        <f t="shared" si="2"/>
        <v>85.740986127928963</v>
      </c>
      <c r="I125" s="147" t="str">
        <f t="shared" si="3"/>
        <v>01048020076040</v>
      </c>
    </row>
    <row r="126" spans="1:9" ht="63.75">
      <c r="A126" s="329" t="s">
        <v>1754</v>
      </c>
      <c r="B126" s="330" t="s">
        <v>5</v>
      </c>
      <c r="C126" s="330" t="s">
        <v>420</v>
      </c>
      <c r="D126" s="330" t="s">
        <v>775</v>
      </c>
      <c r="E126" s="330" t="s">
        <v>322</v>
      </c>
      <c r="F126" s="368">
        <v>1122845</v>
      </c>
      <c r="G126" s="368">
        <f>G127</f>
        <v>960298.37</v>
      </c>
      <c r="H126" s="368">
        <f t="shared" si="2"/>
        <v>85.523680472371524</v>
      </c>
      <c r="I126" s="147" t="str">
        <f t="shared" si="3"/>
        <v>01048020076040100</v>
      </c>
    </row>
    <row r="127" spans="1:9" ht="25.5">
      <c r="A127" s="329" t="s">
        <v>1509</v>
      </c>
      <c r="B127" s="330" t="s">
        <v>5</v>
      </c>
      <c r="C127" s="330" t="s">
        <v>420</v>
      </c>
      <c r="D127" s="330" t="s">
        <v>775</v>
      </c>
      <c r="E127" s="330" t="s">
        <v>37</v>
      </c>
      <c r="F127" s="368">
        <v>1122845</v>
      </c>
      <c r="G127" s="368">
        <f>SUBTOTAL(9,G128:G130)</f>
        <v>960298.37</v>
      </c>
      <c r="H127" s="368">
        <f t="shared" si="2"/>
        <v>85.523680472371524</v>
      </c>
      <c r="I127" s="147" t="str">
        <f t="shared" si="3"/>
        <v>01048020076040120</v>
      </c>
    </row>
    <row r="128" spans="1:9" ht="25.5">
      <c r="A128" s="329" t="s">
        <v>1081</v>
      </c>
      <c r="B128" s="330" t="s">
        <v>5</v>
      </c>
      <c r="C128" s="330" t="s">
        <v>420</v>
      </c>
      <c r="D128" s="330" t="s">
        <v>775</v>
      </c>
      <c r="E128" s="330" t="s">
        <v>411</v>
      </c>
      <c r="F128" s="368">
        <v>831587.87</v>
      </c>
      <c r="G128" s="368">
        <v>698418.41</v>
      </c>
      <c r="H128" s="368">
        <f t="shared" si="2"/>
        <v>83.986122837506045</v>
      </c>
      <c r="I128" s="147" t="str">
        <f t="shared" si="3"/>
        <v>01048020076040121</v>
      </c>
    </row>
    <row r="129" spans="1:9" ht="38.25">
      <c r="A129" s="329" t="s">
        <v>412</v>
      </c>
      <c r="B129" s="330" t="s">
        <v>5</v>
      </c>
      <c r="C129" s="330" t="s">
        <v>420</v>
      </c>
      <c r="D129" s="330" t="s">
        <v>775</v>
      </c>
      <c r="E129" s="330" t="s">
        <v>413</v>
      </c>
      <c r="F129" s="368">
        <v>8600</v>
      </c>
      <c r="G129" s="368">
        <v>3900</v>
      </c>
      <c r="H129" s="368">
        <f t="shared" si="2"/>
        <v>45.348837209302324</v>
      </c>
      <c r="I129" s="147" t="str">
        <f t="shared" si="3"/>
        <v>01048020076040122</v>
      </c>
    </row>
    <row r="130" spans="1:9" ht="51">
      <c r="A130" s="329" t="s">
        <v>1195</v>
      </c>
      <c r="B130" s="330" t="s">
        <v>5</v>
      </c>
      <c r="C130" s="330" t="s">
        <v>420</v>
      </c>
      <c r="D130" s="330" t="s">
        <v>775</v>
      </c>
      <c r="E130" s="330" t="s">
        <v>1196</v>
      </c>
      <c r="F130" s="368">
        <v>282657.13</v>
      </c>
      <c r="G130" s="368">
        <v>257979.96</v>
      </c>
      <c r="H130" s="368">
        <f t="shared" si="2"/>
        <v>91.269574554867944</v>
      </c>
      <c r="I130" s="147" t="str">
        <f t="shared" si="3"/>
        <v>01048020076040129</v>
      </c>
    </row>
    <row r="131" spans="1:9" ht="25.5">
      <c r="A131" s="329" t="s">
        <v>1755</v>
      </c>
      <c r="B131" s="330" t="s">
        <v>5</v>
      </c>
      <c r="C131" s="330" t="s">
        <v>420</v>
      </c>
      <c r="D131" s="330" t="s">
        <v>775</v>
      </c>
      <c r="E131" s="330" t="s">
        <v>1756</v>
      </c>
      <c r="F131" s="368">
        <v>53980</v>
      </c>
      <c r="G131" s="368">
        <v>48722.99</v>
      </c>
      <c r="H131" s="368">
        <f t="shared" si="2"/>
        <v>90.261189329381253</v>
      </c>
      <c r="I131" s="147" t="str">
        <f t="shared" ref="I131:I192" si="4">CONCATENATE(C131,D131,E131)</f>
        <v>01048020076040200</v>
      </c>
    </row>
    <row r="132" spans="1:9" ht="38.25">
      <c r="A132" s="329" t="s">
        <v>1502</v>
      </c>
      <c r="B132" s="330" t="s">
        <v>5</v>
      </c>
      <c r="C132" s="330" t="s">
        <v>420</v>
      </c>
      <c r="D132" s="330" t="s">
        <v>775</v>
      </c>
      <c r="E132" s="330" t="s">
        <v>1503</v>
      </c>
      <c r="F132" s="368">
        <v>53980</v>
      </c>
      <c r="G132" s="368">
        <v>48722.99</v>
      </c>
      <c r="H132" s="368">
        <f t="shared" si="2"/>
        <v>90.261189329381253</v>
      </c>
      <c r="I132" s="147" t="str">
        <f t="shared" si="4"/>
        <v>01048020076040240</v>
      </c>
    </row>
    <row r="133" spans="1:9">
      <c r="A133" s="329" t="s">
        <v>1577</v>
      </c>
      <c r="B133" s="330" t="s">
        <v>5</v>
      </c>
      <c r="C133" s="330" t="s">
        <v>420</v>
      </c>
      <c r="D133" s="330" t="s">
        <v>775</v>
      </c>
      <c r="E133" s="330" t="s">
        <v>416</v>
      </c>
      <c r="F133" s="368">
        <v>53980</v>
      </c>
      <c r="G133" s="368">
        <v>48722.99</v>
      </c>
      <c r="H133" s="368">
        <f t="shared" si="2"/>
        <v>90.261189329381253</v>
      </c>
      <c r="I133" s="147" t="str">
        <f t="shared" si="4"/>
        <v>01048020076040244</v>
      </c>
    </row>
    <row r="134" spans="1:9" ht="216.75">
      <c r="A134" s="329" t="s">
        <v>592</v>
      </c>
      <c r="B134" s="330" t="s">
        <v>5</v>
      </c>
      <c r="C134" s="330" t="s">
        <v>420</v>
      </c>
      <c r="D134" s="330" t="s">
        <v>778</v>
      </c>
      <c r="E134" s="330" t="s">
        <v>1468</v>
      </c>
      <c r="F134" s="368">
        <v>609300</v>
      </c>
      <c r="G134" s="368">
        <v>609300</v>
      </c>
      <c r="H134" s="368">
        <f t="shared" si="2"/>
        <v>100</v>
      </c>
      <c r="I134" s="147" t="str">
        <f t="shared" si="4"/>
        <v>010480200Ч0010</v>
      </c>
    </row>
    <row r="135" spans="1:9" ht="63.75">
      <c r="A135" s="329" t="s">
        <v>1754</v>
      </c>
      <c r="B135" s="330" t="s">
        <v>5</v>
      </c>
      <c r="C135" s="330" t="s">
        <v>420</v>
      </c>
      <c r="D135" s="330" t="s">
        <v>778</v>
      </c>
      <c r="E135" s="330" t="s">
        <v>322</v>
      </c>
      <c r="F135" s="368">
        <v>609300</v>
      </c>
      <c r="G135" s="368">
        <v>609300</v>
      </c>
      <c r="H135" s="368">
        <f t="shared" si="2"/>
        <v>100</v>
      </c>
      <c r="I135" s="147" t="str">
        <f t="shared" si="4"/>
        <v>010480200Ч0010100</v>
      </c>
    </row>
    <row r="136" spans="1:9" ht="25.5">
      <c r="A136" s="329" t="s">
        <v>1509</v>
      </c>
      <c r="B136" s="330" t="s">
        <v>5</v>
      </c>
      <c r="C136" s="330" t="s">
        <v>420</v>
      </c>
      <c r="D136" s="330" t="s">
        <v>778</v>
      </c>
      <c r="E136" s="330" t="s">
        <v>37</v>
      </c>
      <c r="F136" s="368">
        <v>609300</v>
      </c>
      <c r="G136" s="368">
        <v>609300</v>
      </c>
      <c r="H136" s="368">
        <f t="shared" ref="H136:H199" si="5">G136/F136*100</f>
        <v>100</v>
      </c>
      <c r="I136" s="147" t="str">
        <f t="shared" si="4"/>
        <v>010480200Ч0010120</v>
      </c>
    </row>
    <row r="137" spans="1:9" ht="25.5">
      <c r="A137" s="329" t="s">
        <v>1081</v>
      </c>
      <c r="B137" s="330" t="s">
        <v>5</v>
      </c>
      <c r="C137" s="330" t="s">
        <v>420</v>
      </c>
      <c r="D137" s="330" t="s">
        <v>778</v>
      </c>
      <c r="E137" s="330" t="s">
        <v>411</v>
      </c>
      <c r="F137" s="368">
        <v>467972</v>
      </c>
      <c r="G137" s="368">
        <v>467972</v>
      </c>
      <c r="H137" s="368">
        <f t="shared" si="5"/>
        <v>100</v>
      </c>
      <c r="I137" s="147" t="str">
        <f t="shared" si="4"/>
        <v>010480200Ч0010121</v>
      </c>
    </row>
    <row r="138" spans="1:9" ht="51">
      <c r="A138" s="329" t="s">
        <v>1195</v>
      </c>
      <c r="B138" s="330" t="s">
        <v>5</v>
      </c>
      <c r="C138" s="330" t="s">
        <v>420</v>
      </c>
      <c r="D138" s="330" t="s">
        <v>778</v>
      </c>
      <c r="E138" s="330" t="s">
        <v>1196</v>
      </c>
      <c r="F138" s="368">
        <v>141328</v>
      </c>
      <c r="G138" s="368">
        <v>141328</v>
      </c>
      <c r="H138" s="368">
        <f t="shared" si="5"/>
        <v>100</v>
      </c>
      <c r="I138" s="147" t="str">
        <f t="shared" si="4"/>
        <v>010480200Ч0010129</v>
      </c>
    </row>
    <row r="139" spans="1:9">
      <c r="A139" s="329" t="s">
        <v>1489</v>
      </c>
      <c r="B139" s="330" t="s">
        <v>5</v>
      </c>
      <c r="C139" s="330" t="s">
        <v>1490</v>
      </c>
      <c r="D139" s="330" t="s">
        <v>1468</v>
      </c>
      <c r="E139" s="330" t="s">
        <v>1468</v>
      </c>
      <c r="F139" s="368">
        <v>19600</v>
      </c>
      <c r="G139" s="368">
        <v>0</v>
      </c>
      <c r="H139" s="368">
        <f t="shared" si="5"/>
        <v>0</v>
      </c>
      <c r="I139" s="147" t="str">
        <f t="shared" si="4"/>
        <v>0105</v>
      </c>
    </row>
    <row r="140" spans="1:9" ht="25.5">
      <c r="A140" s="329" t="s">
        <v>710</v>
      </c>
      <c r="B140" s="330" t="s">
        <v>5</v>
      </c>
      <c r="C140" s="330" t="s">
        <v>1490</v>
      </c>
      <c r="D140" s="330" t="s">
        <v>1151</v>
      </c>
      <c r="E140" s="330" t="s">
        <v>1468</v>
      </c>
      <c r="F140" s="368">
        <v>19600</v>
      </c>
      <c r="G140" s="368">
        <v>0</v>
      </c>
      <c r="H140" s="368">
        <f t="shared" si="5"/>
        <v>0</v>
      </c>
      <c r="I140" s="147" t="str">
        <f t="shared" si="4"/>
        <v>01059000000000</v>
      </c>
    </row>
    <row r="141" spans="1:9" ht="63.75">
      <c r="A141" s="329" t="s">
        <v>533</v>
      </c>
      <c r="B141" s="330" t="s">
        <v>5</v>
      </c>
      <c r="C141" s="330" t="s">
        <v>1490</v>
      </c>
      <c r="D141" s="330" t="s">
        <v>1491</v>
      </c>
      <c r="E141" s="330" t="s">
        <v>1468</v>
      </c>
      <c r="F141" s="368">
        <v>19600</v>
      </c>
      <c r="G141" s="368">
        <v>0</v>
      </c>
      <c r="H141" s="368">
        <f t="shared" si="5"/>
        <v>0</v>
      </c>
      <c r="I141" s="147" t="str">
        <f t="shared" si="4"/>
        <v>01059040000000</v>
      </c>
    </row>
    <row r="142" spans="1:9" ht="63.75">
      <c r="A142" s="329" t="s">
        <v>533</v>
      </c>
      <c r="B142" s="330" t="s">
        <v>5</v>
      </c>
      <c r="C142" s="330" t="s">
        <v>1490</v>
      </c>
      <c r="D142" s="330" t="s">
        <v>779</v>
      </c>
      <c r="E142" s="330" t="s">
        <v>1468</v>
      </c>
      <c r="F142" s="368">
        <v>19600</v>
      </c>
      <c r="G142" s="368">
        <v>0</v>
      </c>
      <c r="H142" s="368">
        <f t="shared" si="5"/>
        <v>0</v>
      </c>
      <c r="I142" s="147" t="str">
        <f t="shared" si="4"/>
        <v>01059040051200</v>
      </c>
    </row>
    <row r="143" spans="1:9" ht="25.5">
      <c r="A143" s="329" t="s">
        <v>1755</v>
      </c>
      <c r="B143" s="330" t="s">
        <v>5</v>
      </c>
      <c r="C143" s="330" t="s">
        <v>1490</v>
      </c>
      <c r="D143" s="330" t="s">
        <v>779</v>
      </c>
      <c r="E143" s="330" t="s">
        <v>1756</v>
      </c>
      <c r="F143" s="368">
        <v>19600</v>
      </c>
      <c r="G143" s="368">
        <v>0</v>
      </c>
      <c r="H143" s="368">
        <f t="shared" si="5"/>
        <v>0</v>
      </c>
      <c r="I143" s="147" t="str">
        <f t="shared" si="4"/>
        <v>01059040051200200</v>
      </c>
    </row>
    <row r="144" spans="1:9" ht="38.25">
      <c r="A144" s="329" t="s">
        <v>1502</v>
      </c>
      <c r="B144" s="330" t="s">
        <v>5</v>
      </c>
      <c r="C144" s="330" t="s">
        <v>1490</v>
      </c>
      <c r="D144" s="330" t="s">
        <v>779</v>
      </c>
      <c r="E144" s="330" t="s">
        <v>1503</v>
      </c>
      <c r="F144" s="368">
        <v>19600</v>
      </c>
      <c r="G144" s="368">
        <v>0</v>
      </c>
      <c r="H144" s="368">
        <f t="shared" si="5"/>
        <v>0</v>
      </c>
      <c r="I144" s="147" t="str">
        <f t="shared" si="4"/>
        <v>01059040051200240</v>
      </c>
    </row>
    <row r="145" spans="1:9">
      <c r="A145" s="329" t="s">
        <v>1577</v>
      </c>
      <c r="B145" s="330" t="s">
        <v>5</v>
      </c>
      <c r="C145" s="330" t="s">
        <v>1490</v>
      </c>
      <c r="D145" s="330" t="s">
        <v>779</v>
      </c>
      <c r="E145" s="330" t="s">
        <v>416</v>
      </c>
      <c r="F145" s="368">
        <v>19600</v>
      </c>
      <c r="G145" s="368">
        <v>0</v>
      </c>
      <c r="H145" s="368">
        <f t="shared" si="5"/>
        <v>0</v>
      </c>
      <c r="I145" s="147" t="str">
        <f t="shared" si="4"/>
        <v>01059040051200244</v>
      </c>
    </row>
    <row r="146" spans="1:9">
      <c r="A146" s="329" t="s">
        <v>261</v>
      </c>
      <c r="B146" s="330" t="s">
        <v>5</v>
      </c>
      <c r="C146" s="330" t="s">
        <v>424</v>
      </c>
      <c r="D146" s="330" t="s">
        <v>1468</v>
      </c>
      <c r="E146" s="330" t="s">
        <v>1468</v>
      </c>
      <c r="F146" s="368">
        <v>410213.84</v>
      </c>
      <c r="G146" s="368">
        <v>404431.84</v>
      </c>
      <c r="H146" s="368">
        <f t="shared" si="5"/>
        <v>98.590491242323765</v>
      </c>
      <c r="I146" s="147" t="str">
        <f t="shared" si="4"/>
        <v>0113</v>
      </c>
    </row>
    <row r="147" spans="1:9" ht="38.25">
      <c r="A147" s="329" t="s">
        <v>549</v>
      </c>
      <c r="B147" s="330" t="s">
        <v>5</v>
      </c>
      <c r="C147" s="330" t="s">
        <v>424</v>
      </c>
      <c r="D147" s="330" t="s">
        <v>1117</v>
      </c>
      <c r="E147" s="330" t="s">
        <v>1468</v>
      </c>
      <c r="F147" s="368">
        <v>210953.84</v>
      </c>
      <c r="G147" s="368">
        <v>205203.84</v>
      </c>
      <c r="H147" s="368">
        <f t="shared" si="5"/>
        <v>97.274285218036326</v>
      </c>
      <c r="I147" s="147" t="str">
        <f t="shared" si="4"/>
        <v>01130400000000</v>
      </c>
    </row>
    <row r="148" spans="1:9" ht="38.25">
      <c r="A148" s="329" t="s">
        <v>1904</v>
      </c>
      <c r="B148" s="330" t="s">
        <v>5</v>
      </c>
      <c r="C148" s="330" t="s">
        <v>424</v>
      </c>
      <c r="D148" s="330" t="s">
        <v>1426</v>
      </c>
      <c r="E148" s="330" t="s">
        <v>1468</v>
      </c>
      <c r="F148" s="368">
        <v>210953.84</v>
      </c>
      <c r="G148" s="368">
        <v>205203.84</v>
      </c>
      <c r="H148" s="368">
        <f t="shared" si="5"/>
        <v>97.274285218036326</v>
      </c>
      <c r="I148" s="147" t="str">
        <f t="shared" si="4"/>
        <v>01130430000000</v>
      </c>
    </row>
    <row r="149" spans="1:9" ht="89.25">
      <c r="A149" s="329" t="s">
        <v>1905</v>
      </c>
      <c r="B149" s="330" t="s">
        <v>5</v>
      </c>
      <c r="C149" s="330" t="s">
        <v>424</v>
      </c>
      <c r="D149" s="330" t="s">
        <v>1420</v>
      </c>
      <c r="E149" s="330" t="s">
        <v>1468</v>
      </c>
      <c r="F149" s="368">
        <v>210953.84</v>
      </c>
      <c r="G149" s="368">
        <v>205203.84</v>
      </c>
      <c r="H149" s="368">
        <f t="shared" si="5"/>
        <v>97.274285218036326</v>
      </c>
      <c r="I149" s="147" t="str">
        <f t="shared" si="4"/>
        <v>01130430080000</v>
      </c>
    </row>
    <row r="150" spans="1:9" ht="25.5">
      <c r="A150" s="329" t="s">
        <v>1755</v>
      </c>
      <c r="B150" s="330" t="s">
        <v>5</v>
      </c>
      <c r="C150" s="330" t="s">
        <v>424</v>
      </c>
      <c r="D150" s="330" t="s">
        <v>1420</v>
      </c>
      <c r="E150" s="330" t="s">
        <v>1756</v>
      </c>
      <c r="F150" s="368">
        <v>210953.84</v>
      </c>
      <c r="G150" s="368">
        <v>205203.84</v>
      </c>
      <c r="H150" s="368">
        <f t="shared" si="5"/>
        <v>97.274285218036326</v>
      </c>
      <c r="I150" s="147" t="str">
        <f t="shared" si="4"/>
        <v>01130430080000200</v>
      </c>
    </row>
    <row r="151" spans="1:9" ht="38.25">
      <c r="A151" s="329" t="s">
        <v>1502</v>
      </c>
      <c r="B151" s="330" t="s">
        <v>5</v>
      </c>
      <c r="C151" s="330" t="s">
        <v>424</v>
      </c>
      <c r="D151" s="330" t="s">
        <v>1420</v>
      </c>
      <c r="E151" s="330" t="s">
        <v>1503</v>
      </c>
      <c r="F151" s="368">
        <v>210953.84</v>
      </c>
      <c r="G151" s="368">
        <v>205203.84</v>
      </c>
      <c r="H151" s="368">
        <f t="shared" si="5"/>
        <v>97.274285218036326</v>
      </c>
      <c r="I151" s="147" t="str">
        <f t="shared" si="4"/>
        <v>01130430080000240</v>
      </c>
    </row>
    <row r="152" spans="1:9">
      <c r="A152" s="329" t="s">
        <v>1577</v>
      </c>
      <c r="B152" s="330" t="s">
        <v>5</v>
      </c>
      <c r="C152" s="330" t="s">
        <v>424</v>
      </c>
      <c r="D152" s="330" t="s">
        <v>1420</v>
      </c>
      <c r="E152" s="330" t="s">
        <v>416</v>
      </c>
      <c r="F152" s="368">
        <v>210953.84</v>
      </c>
      <c r="G152" s="368">
        <v>205203.84</v>
      </c>
      <c r="H152" s="368">
        <f t="shared" si="5"/>
        <v>97.274285218036326</v>
      </c>
      <c r="I152" s="147" t="str">
        <f t="shared" si="4"/>
        <v>01130430080000244</v>
      </c>
    </row>
    <row r="153" spans="1:9" ht="25.5">
      <c r="A153" s="329" t="s">
        <v>708</v>
      </c>
      <c r="B153" s="330" t="s">
        <v>5</v>
      </c>
      <c r="C153" s="330" t="s">
        <v>424</v>
      </c>
      <c r="D153" s="330" t="s">
        <v>1146</v>
      </c>
      <c r="E153" s="330" t="s">
        <v>1468</v>
      </c>
      <c r="F153" s="368">
        <v>139260</v>
      </c>
      <c r="G153" s="368">
        <v>139228</v>
      </c>
      <c r="H153" s="368">
        <f t="shared" si="5"/>
        <v>99.977021398822359</v>
      </c>
      <c r="I153" s="147" t="str">
        <f t="shared" si="4"/>
        <v>01138000000000</v>
      </c>
    </row>
    <row r="154" spans="1:9" ht="38.25">
      <c r="A154" s="329" t="s">
        <v>709</v>
      </c>
      <c r="B154" s="330" t="s">
        <v>5</v>
      </c>
      <c r="C154" s="330" t="s">
        <v>424</v>
      </c>
      <c r="D154" s="330" t="s">
        <v>1148</v>
      </c>
      <c r="E154" s="330" t="s">
        <v>1468</v>
      </c>
      <c r="F154" s="368">
        <v>139260</v>
      </c>
      <c r="G154" s="368">
        <v>139228</v>
      </c>
      <c r="H154" s="368">
        <f t="shared" si="5"/>
        <v>99.977021398822359</v>
      </c>
      <c r="I154" s="147" t="str">
        <f t="shared" si="4"/>
        <v>01138020000000</v>
      </c>
    </row>
    <row r="155" spans="1:9" ht="76.5">
      <c r="A155" s="329" t="s">
        <v>636</v>
      </c>
      <c r="B155" s="330" t="s">
        <v>5</v>
      </c>
      <c r="C155" s="330" t="s">
        <v>424</v>
      </c>
      <c r="D155" s="330" t="s">
        <v>781</v>
      </c>
      <c r="E155" s="330" t="s">
        <v>1468</v>
      </c>
      <c r="F155" s="368">
        <v>63900</v>
      </c>
      <c r="G155" s="368">
        <v>63900</v>
      </c>
      <c r="H155" s="368">
        <f t="shared" si="5"/>
        <v>100</v>
      </c>
      <c r="I155" s="147" t="str">
        <f t="shared" si="4"/>
        <v>01138020074290</v>
      </c>
    </row>
    <row r="156" spans="1:9" ht="63.75">
      <c r="A156" s="329" t="s">
        <v>1754</v>
      </c>
      <c r="B156" s="330" t="s">
        <v>5</v>
      </c>
      <c r="C156" s="330" t="s">
        <v>424</v>
      </c>
      <c r="D156" s="330" t="s">
        <v>781</v>
      </c>
      <c r="E156" s="330" t="s">
        <v>322</v>
      </c>
      <c r="F156" s="368">
        <v>60980</v>
      </c>
      <c r="G156" s="368">
        <f>G157</f>
        <v>60980</v>
      </c>
      <c r="H156" s="368">
        <f t="shared" si="5"/>
        <v>100</v>
      </c>
      <c r="I156" s="147" t="str">
        <f t="shared" si="4"/>
        <v>01138020074290100</v>
      </c>
    </row>
    <row r="157" spans="1:9" ht="25.5">
      <c r="A157" s="329" t="s">
        <v>1509</v>
      </c>
      <c r="B157" s="330" t="s">
        <v>5</v>
      </c>
      <c r="C157" s="330" t="s">
        <v>424</v>
      </c>
      <c r="D157" s="330" t="s">
        <v>781</v>
      </c>
      <c r="E157" s="330" t="s">
        <v>37</v>
      </c>
      <c r="F157" s="368">
        <v>60980</v>
      </c>
      <c r="G157" s="368">
        <f>SUBTOTAL(9,G158:G159)</f>
        <v>60980</v>
      </c>
      <c r="H157" s="368">
        <f t="shared" si="5"/>
        <v>100</v>
      </c>
      <c r="I157" s="147" t="str">
        <f t="shared" si="4"/>
        <v>01138020074290120</v>
      </c>
    </row>
    <row r="158" spans="1:9" ht="25.5">
      <c r="A158" s="329" t="s">
        <v>1081</v>
      </c>
      <c r="B158" s="330" t="s">
        <v>5</v>
      </c>
      <c r="C158" s="330" t="s">
        <v>424</v>
      </c>
      <c r="D158" s="330" t="s">
        <v>781</v>
      </c>
      <c r="E158" s="330" t="s">
        <v>411</v>
      </c>
      <c r="F158" s="368">
        <v>46836</v>
      </c>
      <c r="G158" s="368">
        <v>46836</v>
      </c>
      <c r="H158" s="368">
        <f t="shared" si="5"/>
        <v>100</v>
      </c>
      <c r="I158" s="147" t="str">
        <f t="shared" si="4"/>
        <v>01138020074290121</v>
      </c>
    </row>
    <row r="159" spans="1:9" ht="51">
      <c r="A159" s="329" t="s">
        <v>1195</v>
      </c>
      <c r="B159" s="330" t="s">
        <v>5</v>
      </c>
      <c r="C159" s="330" t="s">
        <v>424</v>
      </c>
      <c r="D159" s="330" t="s">
        <v>781</v>
      </c>
      <c r="E159" s="330" t="s">
        <v>1196</v>
      </c>
      <c r="F159" s="368">
        <v>14144</v>
      </c>
      <c r="G159" s="368">
        <v>14144</v>
      </c>
      <c r="H159" s="368">
        <f t="shared" si="5"/>
        <v>100</v>
      </c>
      <c r="I159" s="147" t="str">
        <f t="shared" si="4"/>
        <v>01138020074290129</v>
      </c>
    </row>
    <row r="160" spans="1:9" ht="25.5">
      <c r="A160" s="329" t="s">
        <v>1755</v>
      </c>
      <c r="B160" s="330" t="s">
        <v>5</v>
      </c>
      <c r="C160" s="330" t="s">
        <v>424</v>
      </c>
      <c r="D160" s="330" t="s">
        <v>781</v>
      </c>
      <c r="E160" s="330" t="s">
        <v>1756</v>
      </c>
      <c r="F160" s="368">
        <v>2920</v>
      </c>
      <c r="G160" s="368">
        <v>2920</v>
      </c>
      <c r="H160" s="368">
        <f t="shared" si="5"/>
        <v>100</v>
      </c>
      <c r="I160" s="147" t="str">
        <f t="shared" si="4"/>
        <v>01138020074290200</v>
      </c>
    </row>
    <row r="161" spans="1:9" ht="38.25">
      <c r="A161" s="329" t="s">
        <v>1502</v>
      </c>
      <c r="B161" s="330" t="s">
        <v>5</v>
      </c>
      <c r="C161" s="330" t="s">
        <v>424</v>
      </c>
      <c r="D161" s="330" t="s">
        <v>781</v>
      </c>
      <c r="E161" s="330" t="s">
        <v>1503</v>
      </c>
      <c r="F161" s="368">
        <v>2920</v>
      </c>
      <c r="G161" s="368">
        <v>2920</v>
      </c>
      <c r="H161" s="368">
        <f t="shared" si="5"/>
        <v>100</v>
      </c>
      <c r="I161" s="147" t="str">
        <f t="shared" si="4"/>
        <v>01138020074290240</v>
      </c>
    </row>
    <row r="162" spans="1:9">
      <c r="A162" s="329" t="s">
        <v>1577</v>
      </c>
      <c r="B162" s="330" t="s">
        <v>5</v>
      </c>
      <c r="C162" s="330" t="s">
        <v>424</v>
      </c>
      <c r="D162" s="330" t="s">
        <v>781</v>
      </c>
      <c r="E162" s="330" t="s">
        <v>416</v>
      </c>
      <c r="F162" s="368">
        <v>2920</v>
      </c>
      <c r="G162" s="368">
        <v>2920</v>
      </c>
      <c r="H162" s="368">
        <f t="shared" si="5"/>
        <v>100</v>
      </c>
      <c r="I162" s="147" t="str">
        <f t="shared" si="4"/>
        <v>01138020074290244</v>
      </c>
    </row>
    <row r="163" spans="1:9" ht="38.25">
      <c r="A163" s="329" t="s">
        <v>425</v>
      </c>
      <c r="B163" s="330" t="s">
        <v>5</v>
      </c>
      <c r="C163" s="330" t="s">
        <v>424</v>
      </c>
      <c r="D163" s="330" t="s">
        <v>782</v>
      </c>
      <c r="E163" s="330" t="s">
        <v>1468</v>
      </c>
      <c r="F163" s="368">
        <v>75360</v>
      </c>
      <c r="G163" s="368">
        <v>75328</v>
      </c>
      <c r="H163" s="368">
        <f t="shared" si="5"/>
        <v>99.957537154989382</v>
      </c>
      <c r="I163" s="147" t="str">
        <f t="shared" si="4"/>
        <v>01138020075190</v>
      </c>
    </row>
    <row r="164" spans="1:9" ht="63.75">
      <c r="A164" s="329" t="s">
        <v>1754</v>
      </c>
      <c r="B164" s="330" t="s">
        <v>5</v>
      </c>
      <c r="C164" s="330" t="s">
        <v>424</v>
      </c>
      <c r="D164" s="330" t="s">
        <v>782</v>
      </c>
      <c r="E164" s="330" t="s">
        <v>322</v>
      </c>
      <c r="F164" s="368">
        <v>62128</v>
      </c>
      <c r="G164" s="368">
        <v>62128</v>
      </c>
      <c r="H164" s="368">
        <f t="shared" si="5"/>
        <v>100</v>
      </c>
      <c r="I164" s="147" t="str">
        <f t="shared" si="4"/>
        <v>01138020075190100</v>
      </c>
    </row>
    <row r="165" spans="1:9" ht="25.5">
      <c r="A165" s="329" t="s">
        <v>1509</v>
      </c>
      <c r="B165" s="330" t="s">
        <v>5</v>
      </c>
      <c r="C165" s="330" t="s">
        <v>424</v>
      </c>
      <c r="D165" s="330" t="s">
        <v>782</v>
      </c>
      <c r="E165" s="330" t="s">
        <v>37</v>
      </c>
      <c r="F165" s="368">
        <v>62128</v>
      </c>
      <c r="G165" s="368">
        <v>62128</v>
      </c>
      <c r="H165" s="368">
        <f t="shared" si="5"/>
        <v>100</v>
      </c>
      <c r="I165" s="147" t="str">
        <f t="shared" si="4"/>
        <v>01138020075190120</v>
      </c>
    </row>
    <row r="166" spans="1:9" ht="25.5">
      <c r="A166" s="329" t="s">
        <v>1081</v>
      </c>
      <c r="B166" s="330" t="s">
        <v>5</v>
      </c>
      <c r="C166" s="330" t="s">
        <v>424</v>
      </c>
      <c r="D166" s="330" t="s">
        <v>782</v>
      </c>
      <c r="E166" s="330" t="s">
        <v>411</v>
      </c>
      <c r="F166" s="368">
        <v>47718</v>
      </c>
      <c r="G166" s="368">
        <v>47718</v>
      </c>
      <c r="H166" s="368">
        <f t="shared" si="5"/>
        <v>100</v>
      </c>
      <c r="I166" s="147" t="str">
        <f t="shared" si="4"/>
        <v>01138020075190121</v>
      </c>
    </row>
    <row r="167" spans="1:9" ht="51">
      <c r="A167" s="329" t="s">
        <v>1195</v>
      </c>
      <c r="B167" s="330" t="s">
        <v>5</v>
      </c>
      <c r="C167" s="330" t="s">
        <v>424</v>
      </c>
      <c r="D167" s="330" t="s">
        <v>782</v>
      </c>
      <c r="E167" s="330" t="s">
        <v>1196</v>
      </c>
      <c r="F167" s="368">
        <v>14410</v>
      </c>
      <c r="G167" s="368">
        <v>14410</v>
      </c>
      <c r="H167" s="368">
        <f t="shared" si="5"/>
        <v>100</v>
      </c>
      <c r="I167" s="147" t="str">
        <f t="shared" si="4"/>
        <v>01138020075190129</v>
      </c>
    </row>
    <row r="168" spans="1:9" ht="25.5">
      <c r="A168" s="329" t="s">
        <v>1755</v>
      </c>
      <c r="B168" s="330" t="s">
        <v>5</v>
      </c>
      <c r="C168" s="330" t="s">
        <v>424</v>
      </c>
      <c r="D168" s="330" t="s">
        <v>782</v>
      </c>
      <c r="E168" s="330" t="s">
        <v>1756</v>
      </c>
      <c r="F168" s="368">
        <v>13232</v>
      </c>
      <c r="G168" s="368">
        <v>13200</v>
      </c>
      <c r="H168" s="368">
        <f t="shared" si="5"/>
        <v>99.758162031438928</v>
      </c>
      <c r="I168" s="147" t="str">
        <f t="shared" si="4"/>
        <v>01138020075190200</v>
      </c>
    </row>
    <row r="169" spans="1:9" ht="38.25">
      <c r="A169" s="329" t="s">
        <v>1502</v>
      </c>
      <c r="B169" s="330" t="s">
        <v>5</v>
      </c>
      <c r="C169" s="330" t="s">
        <v>424</v>
      </c>
      <c r="D169" s="330" t="s">
        <v>782</v>
      </c>
      <c r="E169" s="330" t="s">
        <v>1503</v>
      </c>
      <c r="F169" s="368">
        <v>13232</v>
      </c>
      <c r="G169" s="368">
        <v>13200</v>
      </c>
      <c r="H169" s="368">
        <f t="shared" si="5"/>
        <v>99.758162031438928</v>
      </c>
      <c r="I169" s="147" t="str">
        <f t="shared" si="4"/>
        <v>01138020075190240</v>
      </c>
    </row>
    <row r="170" spans="1:9">
      <c r="A170" s="329" t="s">
        <v>1577</v>
      </c>
      <c r="B170" s="330" t="s">
        <v>5</v>
      </c>
      <c r="C170" s="330" t="s">
        <v>424</v>
      </c>
      <c r="D170" s="330" t="s">
        <v>782</v>
      </c>
      <c r="E170" s="330" t="s">
        <v>416</v>
      </c>
      <c r="F170" s="368">
        <v>13232</v>
      </c>
      <c r="G170" s="368">
        <v>13200</v>
      </c>
      <c r="H170" s="368">
        <f t="shared" si="5"/>
        <v>99.758162031438928</v>
      </c>
      <c r="I170" s="147" t="str">
        <f t="shared" si="4"/>
        <v>01138020075190244</v>
      </c>
    </row>
    <row r="171" spans="1:9" ht="25.5">
      <c r="A171" s="329" t="s">
        <v>710</v>
      </c>
      <c r="B171" s="330" t="s">
        <v>5</v>
      </c>
      <c r="C171" s="330" t="s">
        <v>424</v>
      </c>
      <c r="D171" s="330" t="s">
        <v>1151</v>
      </c>
      <c r="E171" s="330" t="s">
        <v>1468</v>
      </c>
      <c r="F171" s="368">
        <v>60000</v>
      </c>
      <c r="G171" s="368">
        <v>60000</v>
      </c>
      <c r="H171" s="368">
        <f t="shared" si="5"/>
        <v>100</v>
      </c>
      <c r="I171" s="147" t="str">
        <f t="shared" si="4"/>
        <v>01139000000000</v>
      </c>
    </row>
    <row r="172" spans="1:9" ht="51">
      <c r="A172" s="329" t="s">
        <v>594</v>
      </c>
      <c r="B172" s="330" t="s">
        <v>5</v>
      </c>
      <c r="C172" s="330" t="s">
        <v>424</v>
      </c>
      <c r="D172" s="330" t="s">
        <v>1154</v>
      </c>
      <c r="E172" s="330" t="s">
        <v>1468</v>
      </c>
      <c r="F172" s="368">
        <v>60000</v>
      </c>
      <c r="G172" s="368">
        <v>60000</v>
      </c>
      <c r="H172" s="368">
        <f t="shared" si="5"/>
        <v>100</v>
      </c>
      <c r="I172" s="147" t="str">
        <f t="shared" si="4"/>
        <v>01139060000000</v>
      </c>
    </row>
    <row r="173" spans="1:9" ht="51">
      <c r="A173" s="329" t="s">
        <v>594</v>
      </c>
      <c r="B173" s="330" t="s">
        <v>5</v>
      </c>
      <c r="C173" s="330" t="s">
        <v>424</v>
      </c>
      <c r="D173" s="330" t="s">
        <v>783</v>
      </c>
      <c r="E173" s="330" t="s">
        <v>1468</v>
      </c>
      <c r="F173" s="368">
        <v>60000</v>
      </c>
      <c r="G173" s="368">
        <v>60000</v>
      </c>
      <c r="H173" s="368">
        <f t="shared" si="5"/>
        <v>100</v>
      </c>
      <c r="I173" s="147" t="str">
        <f t="shared" si="4"/>
        <v>01139060080000</v>
      </c>
    </row>
    <row r="174" spans="1:9" ht="25.5">
      <c r="A174" s="329" t="s">
        <v>1759</v>
      </c>
      <c r="B174" s="330" t="s">
        <v>5</v>
      </c>
      <c r="C174" s="330" t="s">
        <v>424</v>
      </c>
      <c r="D174" s="330" t="s">
        <v>783</v>
      </c>
      <c r="E174" s="330" t="s">
        <v>1760</v>
      </c>
      <c r="F174" s="368">
        <v>60000</v>
      </c>
      <c r="G174" s="368">
        <v>60000</v>
      </c>
      <c r="H174" s="368">
        <f t="shared" si="5"/>
        <v>100</v>
      </c>
      <c r="I174" s="147" t="str">
        <f t="shared" si="4"/>
        <v>01139060080000300</v>
      </c>
    </row>
    <row r="175" spans="1:9" ht="25.5">
      <c r="A175" s="329" t="s">
        <v>426</v>
      </c>
      <c r="B175" s="330" t="s">
        <v>5</v>
      </c>
      <c r="C175" s="330" t="s">
        <v>424</v>
      </c>
      <c r="D175" s="330" t="s">
        <v>783</v>
      </c>
      <c r="E175" s="330" t="s">
        <v>427</v>
      </c>
      <c r="F175" s="368">
        <v>60000</v>
      </c>
      <c r="G175" s="368">
        <v>60000</v>
      </c>
      <c r="H175" s="368">
        <f t="shared" si="5"/>
        <v>100</v>
      </c>
      <c r="I175" s="147" t="str">
        <f t="shared" si="4"/>
        <v>01139060080000330</v>
      </c>
    </row>
    <row r="176" spans="1:9" ht="25.5">
      <c r="A176" s="329" t="s">
        <v>282</v>
      </c>
      <c r="B176" s="330" t="s">
        <v>5</v>
      </c>
      <c r="C176" s="330" t="s">
        <v>1359</v>
      </c>
      <c r="D176" s="330" t="s">
        <v>1468</v>
      </c>
      <c r="E176" s="330" t="s">
        <v>1468</v>
      </c>
      <c r="F176" s="368">
        <v>3455216.91</v>
      </c>
      <c r="G176" s="368">
        <f>G177+G207</f>
        <v>2881756.37</v>
      </c>
      <c r="H176" s="368">
        <f t="shared" si="5"/>
        <v>83.403052400551019</v>
      </c>
      <c r="I176" s="147" t="str">
        <f t="shared" si="4"/>
        <v>0300</v>
      </c>
    </row>
    <row r="177" spans="1:9" ht="38.25">
      <c r="A177" s="329" t="s">
        <v>305</v>
      </c>
      <c r="B177" s="330" t="s">
        <v>5</v>
      </c>
      <c r="C177" s="330" t="s">
        <v>428</v>
      </c>
      <c r="D177" s="330" t="s">
        <v>1468</v>
      </c>
      <c r="E177" s="330" t="s">
        <v>1468</v>
      </c>
      <c r="F177" s="368">
        <v>3337312.91</v>
      </c>
      <c r="G177" s="368">
        <v>2763852.37</v>
      </c>
      <c r="H177" s="368">
        <f t="shared" si="5"/>
        <v>82.816698479735905</v>
      </c>
      <c r="I177" s="147" t="str">
        <f t="shared" si="4"/>
        <v>0309</v>
      </c>
    </row>
    <row r="178" spans="1:9" ht="38.25">
      <c r="A178" s="329" t="s">
        <v>549</v>
      </c>
      <c r="B178" s="330" t="s">
        <v>5</v>
      </c>
      <c r="C178" s="330" t="s">
        <v>428</v>
      </c>
      <c r="D178" s="330" t="s">
        <v>1117</v>
      </c>
      <c r="E178" s="330" t="s">
        <v>1468</v>
      </c>
      <c r="F178" s="368">
        <v>3274692.9</v>
      </c>
      <c r="G178" s="368">
        <v>2701232.36</v>
      </c>
      <c r="H178" s="368">
        <f t="shared" si="5"/>
        <v>82.488112396738018</v>
      </c>
      <c r="I178" s="147" t="str">
        <f t="shared" si="4"/>
        <v>03090400000000</v>
      </c>
    </row>
    <row r="179" spans="1:9" ht="63.75">
      <c r="A179" s="329" t="s">
        <v>550</v>
      </c>
      <c r="B179" s="330" t="s">
        <v>5</v>
      </c>
      <c r="C179" s="330" t="s">
        <v>428</v>
      </c>
      <c r="D179" s="330" t="s">
        <v>1118</v>
      </c>
      <c r="E179" s="330" t="s">
        <v>1468</v>
      </c>
      <c r="F179" s="368">
        <v>3274692.9</v>
      </c>
      <c r="G179" s="368">
        <v>2701232.36</v>
      </c>
      <c r="H179" s="368">
        <f t="shared" si="5"/>
        <v>82.488112396738018</v>
      </c>
      <c r="I179" s="147" t="str">
        <f t="shared" si="4"/>
        <v>03090410000000</v>
      </c>
    </row>
    <row r="180" spans="1:9" ht="127.5">
      <c r="A180" s="329" t="s">
        <v>429</v>
      </c>
      <c r="B180" s="330" t="s">
        <v>5</v>
      </c>
      <c r="C180" s="330" t="s">
        <v>428</v>
      </c>
      <c r="D180" s="330" t="s">
        <v>784</v>
      </c>
      <c r="E180" s="330" t="s">
        <v>1468</v>
      </c>
      <c r="F180" s="368">
        <v>2628324.33</v>
      </c>
      <c r="G180" s="368">
        <v>2065321.3</v>
      </c>
      <c r="H180" s="368">
        <f t="shared" si="5"/>
        <v>78.5793928255422</v>
      </c>
      <c r="I180" s="147" t="str">
        <f t="shared" si="4"/>
        <v>03090410040010</v>
      </c>
    </row>
    <row r="181" spans="1:9" ht="63.75">
      <c r="A181" s="329" t="s">
        <v>1754</v>
      </c>
      <c r="B181" s="330" t="s">
        <v>5</v>
      </c>
      <c r="C181" s="330" t="s">
        <v>428</v>
      </c>
      <c r="D181" s="330" t="s">
        <v>784</v>
      </c>
      <c r="E181" s="330" t="s">
        <v>322</v>
      </c>
      <c r="F181" s="368">
        <v>2563032</v>
      </c>
      <c r="G181" s="368">
        <f>G182</f>
        <v>2000028.9700000002</v>
      </c>
      <c r="H181" s="368">
        <f t="shared" si="5"/>
        <v>78.033710464793273</v>
      </c>
      <c r="I181" s="147" t="str">
        <f t="shared" si="4"/>
        <v>03090410040010100</v>
      </c>
    </row>
    <row r="182" spans="1:9" ht="25.5">
      <c r="A182" s="329" t="s">
        <v>1487</v>
      </c>
      <c r="B182" s="330" t="s">
        <v>5</v>
      </c>
      <c r="C182" s="330" t="s">
        <v>428</v>
      </c>
      <c r="D182" s="330" t="s">
        <v>784</v>
      </c>
      <c r="E182" s="330" t="s">
        <v>165</v>
      </c>
      <c r="F182" s="368">
        <v>2563032</v>
      </c>
      <c r="G182" s="368">
        <f>G183+G184</f>
        <v>2000028.9700000002</v>
      </c>
      <c r="H182" s="368">
        <f t="shared" si="5"/>
        <v>78.033710464793273</v>
      </c>
      <c r="I182" s="147" t="str">
        <f t="shared" si="4"/>
        <v>03090410040010110</v>
      </c>
    </row>
    <row r="183" spans="1:9">
      <c r="A183" s="329" t="s">
        <v>1360</v>
      </c>
      <c r="B183" s="330" t="s">
        <v>5</v>
      </c>
      <c r="C183" s="330" t="s">
        <v>428</v>
      </c>
      <c r="D183" s="330" t="s">
        <v>784</v>
      </c>
      <c r="E183" s="330" t="s">
        <v>430</v>
      </c>
      <c r="F183" s="368">
        <v>1969867</v>
      </c>
      <c r="G183" s="368">
        <v>1472308.84</v>
      </c>
      <c r="H183" s="368">
        <f t="shared" si="5"/>
        <v>74.74153534223376</v>
      </c>
      <c r="I183" s="147" t="str">
        <f t="shared" si="4"/>
        <v>03090410040010111</v>
      </c>
    </row>
    <row r="184" spans="1:9" ht="51">
      <c r="A184" s="329" t="s">
        <v>1361</v>
      </c>
      <c r="B184" s="330" t="s">
        <v>5</v>
      </c>
      <c r="C184" s="330" t="s">
        <v>428</v>
      </c>
      <c r="D184" s="330" t="s">
        <v>784</v>
      </c>
      <c r="E184" s="330" t="s">
        <v>1197</v>
      </c>
      <c r="F184" s="368">
        <v>593165</v>
      </c>
      <c r="G184" s="368">
        <v>527720.13</v>
      </c>
      <c r="H184" s="368">
        <f t="shared" si="5"/>
        <v>88.966835534800609</v>
      </c>
      <c r="I184" s="147" t="str">
        <f t="shared" si="4"/>
        <v>03090410040010119</v>
      </c>
    </row>
    <row r="185" spans="1:9" ht="25.5">
      <c r="A185" s="329" t="s">
        <v>1755</v>
      </c>
      <c r="B185" s="330" t="s">
        <v>5</v>
      </c>
      <c r="C185" s="330" t="s">
        <v>428</v>
      </c>
      <c r="D185" s="330" t="s">
        <v>784</v>
      </c>
      <c r="E185" s="330" t="s">
        <v>1756</v>
      </c>
      <c r="F185" s="368">
        <v>65292.33</v>
      </c>
      <c r="G185" s="368">
        <v>65292.33</v>
      </c>
      <c r="H185" s="368">
        <f t="shared" si="5"/>
        <v>100</v>
      </c>
      <c r="I185" s="147" t="str">
        <f t="shared" si="4"/>
        <v>03090410040010200</v>
      </c>
    </row>
    <row r="186" spans="1:9" ht="38.25">
      <c r="A186" s="329" t="s">
        <v>1502</v>
      </c>
      <c r="B186" s="330" t="s">
        <v>5</v>
      </c>
      <c r="C186" s="330" t="s">
        <v>428</v>
      </c>
      <c r="D186" s="330" t="s">
        <v>784</v>
      </c>
      <c r="E186" s="330" t="s">
        <v>1503</v>
      </c>
      <c r="F186" s="368">
        <v>65292.33</v>
      </c>
      <c r="G186" s="368">
        <v>65292.33</v>
      </c>
      <c r="H186" s="368">
        <f t="shared" si="5"/>
        <v>100</v>
      </c>
      <c r="I186" s="147" t="str">
        <f t="shared" si="4"/>
        <v>03090410040010240</v>
      </c>
    </row>
    <row r="187" spans="1:9">
      <c r="A187" s="329" t="s">
        <v>1577</v>
      </c>
      <c r="B187" s="330" t="s">
        <v>5</v>
      </c>
      <c r="C187" s="330" t="s">
        <v>428</v>
      </c>
      <c r="D187" s="330" t="s">
        <v>784</v>
      </c>
      <c r="E187" s="330" t="s">
        <v>416</v>
      </c>
      <c r="F187" s="368">
        <v>65292.33</v>
      </c>
      <c r="G187" s="368">
        <v>65292.33</v>
      </c>
      <c r="H187" s="368">
        <f t="shared" si="5"/>
        <v>100</v>
      </c>
      <c r="I187" s="147" t="str">
        <f t="shared" si="4"/>
        <v>03090410040010244</v>
      </c>
    </row>
    <row r="188" spans="1:9" ht="153">
      <c r="A188" s="329" t="s">
        <v>736</v>
      </c>
      <c r="B188" s="330" t="s">
        <v>5</v>
      </c>
      <c r="C188" s="330" t="s">
        <v>428</v>
      </c>
      <c r="D188" s="330" t="s">
        <v>785</v>
      </c>
      <c r="E188" s="330" t="s">
        <v>1468</v>
      </c>
      <c r="F188" s="368">
        <v>581303.56999999995</v>
      </c>
      <c r="G188" s="368">
        <v>570946.16</v>
      </c>
      <c r="H188" s="368">
        <f t="shared" si="5"/>
        <v>98.218244212744139</v>
      </c>
      <c r="I188" s="147" t="str">
        <f t="shared" si="4"/>
        <v>03090410041010</v>
      </c>
    </row>
    <row r="189" spans="1:9" ht="63.75">
      <c r="A189" s="329" t="s">
        <v>1754</v>
      </c>
      <c r="B189" s="330" t="s">
        <v>5</v>
      </c>
      <c r="C189" s="330" t="s">
        <v>428</v>
      </c>
      <c r="D189" s="330" t="s">
        <v>785</v>
      </c>
      <c r="E189" s="330" t="s">
        <v>322</v>
      </c>
      <c r="F189" s="368">
        <v>581303.56999999995</v>
      </c>
      <c r="G189" s="368">
        <v>570946.16</v>
      </c>
      <c r="H189" s="368">
        <f t="shared" si="5"/>
        <v>98.218244212744139</v>
      </c>
      <c r="I189" s="147" t="str">
        <f t="shared" si="4"/>
        <v>03090410041010100</v>
      </c>
    </row>
    <row r="190" spans="1:9" ht="25.5">
      <c r="A190" s="329" t="s">
        <v>1487</v>
      </c>
      <c r="B190" s="330" t="s">
        <v>5</v>
      </c>
      <c r="C190" s="330" t="s">
        <v>428</v>
      </c>
      <c r="D190" s="330" t="s">
        <v>785</v>
      </c>
      <c r="E190" s="330" t="s">
        <v>165</v>
      </c>
      <c r="F190" s="368">
        <v>581303.56999999995</v>
      </c>
      <c r="G190" s="368">
        <v>570946.16</v>
      </c>
      <c r="H190" s="368">
        <f t="shared" si="5"/>
        <v>98.218244212744139</v>
      </c>
      <c r="I190" s="147" t="str">
        <f t="shared" si="4"/>
        <v>03090410041010110</v>
      </c>
    </row>
    <row r="191" spans="1:9">
      <c r="A191" s="329" t="s">
        <v>1360</v>
      </c>
      <c r="B191" s="330" t="s">
        <v>5</v>
      </c>
      <c r="C191" s="330" t="s">
        <v>428</v>
      </c>
      <c r="D191" s="330" t="s">
        <v>785</v>
      </c>
      <c r="E191" s="330" t="s">
        <v>430</v>
      </c>
      <c r="F191" s="368">
        <v>445138</v>
      </c>
      <c r="G191" s="368">
        <v>438514.71</v>
      </c>
      <c r="H191" s="368">
        <f t="shared" si="5"/>
        <v>98.512081646590502</v>
      </c>
      <c r="I191" s="147" t="str">
        <f t="shared" si="4"/>
        <v>03090410041010111</v>
      </c>
    </row>
    <row r="192" spans="1:9" ht="51">
      <c r="A192" s="329" t="s">
        <v>1361</v>
      </c>
      <c r="B192" s="330" t="s">
        <v>5</v>
      </c>
      <c r="C192" s="330" t="s">
        <v>428</v>
      </c>
      <c r="D192" s="330" t="s">
        <v>785</v>
      </c>
      <c r="E192" s="330" t="s">
        <v>1197</v>
      </c>
      <c r="F192" s="368">
        <v>136165.57</v>
      </c>
      <c r="G192" s="368">
        <v>132431.45000000001</v>
      </c>
      <c r="H192" s="368">
        <f t="shared" si="5"/>
        <v>97.257662124133148</v>
      </c>
      <c r="I192" s="147" t="str">
        <f t="shared" si="4"/>
        <v>03090410041010119</v>
      </c>
    </row>
    <row r="193" spans="1:9" ht="140.25">
      <c r="A193" s="329" t="s">
        <v>1841</v>
      </c>
      <c r="B193" s="330" t="s">
        <v>5</v>
      </c>
      <c r="C193" s="330" t="s">
        <v>428</v>
      </c>
      <c r="D193" s="330" t="s">
        <v>1842</v>
      </c>
      <c r="E193" s="330" t="s">
        <v>1468</v>
      </c>
      <c r="F193" s="368">
        <v>65000</v>
      </c>
      <c r="G193" s="368">
        <v>64899.9</v>
      </c>
      <c r="H193" s="368">
        <f t="shared" si="5"/>
        <v>99.846000000000004</v>
      </c>
      <c r="I193" s="147" t="str">
        <f t="shared" ref="I193:I247" si="6">CONCATENATE(C193,D193,E193)</f>
        <v>03090410074130</v>
      </c>
    </row>
    <row r="194" spans="1:9" ht="25.5">
      <c r="A194" s="329" t="s">
        <v>1755</v>
      </c>
      <c r="B194" s="330" t="s">
        <v>5</v>
      </c>
      <c r="C194" s="330" t="s">
        <v>428</v>
      </c>
      <c r="D194" s="330" t="s">
        <v>1842</v>
      </c>
      <c r="E194" s="330" t="s">
        <v>1756</v>
      </c>
      <c r="F194" s="368">
        <v>65000</v>
      </c>
      <c r="G194" s="368">
        <v>64899.9</v>
      </c>
      <c r="H194" s="368">
        <f t="shared" si="5"/>
        <v>99.846000000000004</v>
      </c>
      <c r="I194" s="147" t="str">
        <f t="shared" si="6"/>
        <v>03090410074130200</v>
      </c>
    </row>
    <row r="195" spans="1:9" ht="38.25">
      <c r="A195" s="329" t="s">
        <v>1502</v>
      </c>
      <c r="B195" s="330" t="s">
        <v>5</v>
      </c>
      <c r="C195" s="330" t="s">
        <v>428</v>
      </c>
      <c r="D195" s="330" t="s">
        <v>1842</v>
      </c>
      <c r="E195" s="330" t="s">
        <v>1503</v>
      </c>
      <c r="F195" s="368">
        <v>65000</v>
      </c>
      <c r="G195" s="368">
        <v>64899.9</v>
      </c>
      <c r="H195" s="368">
        <f t="shared" si="5"/>
        <v>99.846000000000004</v>
      </c>
      <c r="I195" s="147" t="str">
        <f t="shared" si="6"/>
        <v>03090410074130240</v>
      </c>
    </row>
    <row r="196" spans="1:9">
      <c r="A196" s="329" t="s">
        <v>1577</v>
      </c>
      <c r="B196" s="330" t="s">
        <v>5</v>
      </c>
      <c r="C196" s="330" t="s">
        <v>428</v>
      </c>
      <c r="D196" s="330" t="s">
        <v>1842</v>
      </c>
      <c r="E196" s="330" t="s">
        <v>416</v>
      </c>
      <c r="F196" s="368">
        <v>65000</v>
      </c>
      <c r="G196" s="368">
        <v>64899.9</v>
      </c>
      <c r="H196" s="368">
        <f t="shared" si="5"/>
        <v>99.846000000000004</v>
      </c>
      <c r="I196" s="147" t="str">
        <f t="shared" si="6"/>
        <v>03090410074130244</v>
      </c>
    </row>
    <row r="197" spans="1:9" ht="127.5">
      <c r="A197" s="329" t="s">
        <v>1843</v>
      </c>
      <c r="B197" s="330" t="s">
        <v>5</v>
      </c>
      <c r="C197" s="330" t="s">
        <v>428</v>
      </c>
      <c r="D197" s="330" t="s">
        <v>1844</v>
      </c>
      <c r="E197" s="330" t="s">
        <v>1468</v>
      </c>
      <c r="F197" s="368">
        <v>65</v>
      </c>
      <c r="G197" s="368">
        <v>65</v>
      </c>
      <c r="H197" s="368">
        <f t="shared" si="5"/>
        <v>100</v>
      </c>
      <c r="I197" s="147" t="str">
        <f t="shared" si="6"/>
        <v>030904100S4130</v>
      </c>
    </row>
    <row r="198" spans="1:9" ht="25.5">
      <c r="A198" s="329" t="s">
        <v>1755</v>
      </c>
      <c r="B198" s="330" t="s">
        <v>5</v>
      </c>
      <c r="C198" s="330" t="s">
        <v>428</v>
      </c>
      <c r="D198" s="330" t="s">
        <v>1844</v>
      </c>
      <c r="E198" s="330" t="s">
        <v>1756</v>
      </c>
      <c r="F198" s="368">
        <v>65</v>
      </c>
      <c r="G198" s="368">
        <v>65</v>
      </c>
      <c r="H198" s="368">
        <f t="shared" si="5"/>
        <v>100</v>
      </c>
      <c r="I198" s="147" t="str">
        <f t="shared" si="6"/>
        <v>030904100S4130200</v>
      </c>
    </row>
    <row r="199" spans="1:9" ht="38.25">
      <c r="A199" s="329" t="s">
        <v>1502</v>
      </c>
      <c r="B199" s="330" t="s">
        <v>5</v>
      </c>
      <c r="C199" s="330" t="s">
        <v>428</v>
      </c>
      <c r="D199" s="330" t="s">
        <v>1844</v>
      </c>
      <c r="E199" s="330" t="s">
        <v>1503</v>
      </c>
      <c r="F199" s="368">
        <v>65</v>
      </c>
      <c r="G199" s="368">
        <v>65</v>
      </c>
      <c r="H199" s="368">
        <f t="shared" si="5"/>
        <v>100</v>
      </c>
      <c r="I199" s="147" t="str">
        <f t="shared" si="6"/>
        <v>030904100S4130240</v>
      </c>
    </row>
    <row r="200" spans="1:9">
      <c r="A200" s="329" t="s">
        <v>1577</v>
      </c>
      <c r="B200" s="330" t="s">
        <v>5</v>
      </c>
      <c r="C200" s="330" t="s">
        <v>428</v>
      </c>
      <c r="D200" s="330" t="s">
        <v>1844</v>
      </c>
      <c r="E200" s="330" t="s">
        <v>416</v>
      </c>
      <c r="F200" s="368">
        <v>65</v>
      </c>
      <c r="G200" s="368">
        <v>65</v>
      </c>
      <c r="H200" s="368">
        <f t="shared" ref="H200:H263" si="7">G200/F200*100</f>
        <v>100</v>
      </c>
      <c r="I200" s="147" t="str">
        <f t="shared" si="6"/>
        <v>030904100S4130244</v>
      </c>
    </row>
    <row r="201" spans="1:9" ht="25.5">
      <c r="A201" s="329" t="s">
        <v>710</v>
      </c>
      <c r="B201" s="330" t="s">
        <v>5</v>
      </c>
      <c r="C201" s="330" t="s">
        <v>428</v>
      </c>
      <c r="D201" s="330" t="s">
        <v>1151</v>
      </c>
      <c r="E201" s="330" t="s">
        <v>1468</v>
      </c>
      <c r="F201" s="368">
        <v>62620.01</v>
      </c>
      <c r="G201" s="368">
        <v>62620.01</v>
      </c>
      <c r="H201" s="368">
        <f t="shared" si="7"/>
        <v>100</v>
      </c>
      <c r="I201" s="147" t="str">
        <f t="shared" si="6"/>
        <v>03099000000000</v>
      </c>
    </row>
    <row r="202" spans="1:9" ht="38.25">
      <c r="A202" s="329" t="s">
        <v>516</v>
      </c>
      <c r="B202" s="330" t="s">
        <v>5</v>
      </c>
      <c r="C202" s="330" t="s">
        <v>428</v>
      </c>
      <c r="D202" s="330" t="s">
        <v>1152</v>
      </c>
      <c r="E202" s="330" t="s">
        <v>1468</v>
      </c>
      <c r="F202" s="368">
        <v>62620.01</v>
      </c>
      <c r="G202" s="368">
        <v>62620.01</v>
      </c>
      <c r="H202" s="368">
        <f t="shared" si="7"/>
        <v>100</v>
      </c>
      <c r="I202" s="147" t="str">
        <f t="shared" si="6"/>
        <v>03099010000000</v>
      </c>
    </row>
    <row r="203" spans="1:9" ht="38.25">
      <c r="A203" s="329" t="s">
        <v>516</v>
      </c>
      <c r="B203" s="330" t="s">
        <v>5</v>
      </c>
      <c r="C203" s="330" t="s">
        <v>428</v>
      </c>
      <c r="D203" s="330" t="s">
        <v>921</v>
      </c>
      <c r="E203" s="330" t="s">
        <v>1468</v>
      </c>
      <c r="F203" s="368">
        <v>62620.01</v>
      </c>
      <c r="G203" s="368">
        <v>62620.01</v>
      </c>
      <c r="H203" s="368">
        <f t="shared" si="7"/>
        <v>100</v>
      </c>
      <c r="I203" s="147" t="str">
        <f t="shared" si="6"/>
        <v>03099010080000</v>
      </c>
    </row>
    <row r="204" spans="1:9" ht="25.5">
      <c r="A204" s="329" t="s">
        <v>1755</v>
      </c>
      <c r="B204" s="330" t="s">
        <v>5</v>
      </c>
      <c r="C204" s="330" t="s">
        <v>428</v>
      </c>
      <c r="D204" s="330" t="s">
        <v>921</v>
      </c>
      <c r="E204" s="330" t="s">
        <v>1756</v>
      </c>
      <c r="F204" s="368">
        <v>62620.01</v>
      </c>
      <c r="G204" s="368">
        <v>62620.01</v>
      </c>
      <c r="H204" s="368">
        <f t="shared" si="7"/>
        <v>100</v>
      </c>
      <c r="I204" s="147" t="str">
        <f t="shared" si="6"/>
        <v>03099010080000200</v>
      </c>
    </row>
    <row r="205" spans="1:9" ht="38.25">
      <c r="A205" s="329" t="s">
        <v>1502</v>
      </c>
      <c r="B205" s="330" t="s">
        <v>5</v>
      </c>
      <c r="C205" s="330" t="s">
        <v>428</v>
      </c>
      <c r="D205" s="330" t="s">
        <v>921</v>
      </c>
      <c r="E205" s="330" t="s">
        <v>1503</v>
      </c>
      <c r="F205" s="368">
        <v>62620.01</v>
      </c>
      <c r="G205" s="368">
        <v>62620.01</v>
      </c>
      <c r="H205" s="368">
        <f t="shared" si="7"/>
        <v>100</v>
      </c>
      <c r="I205" s="147" t="str">
        <f t="shared" si="6"/>
        <v>03099010080000240</v>
      </c>
    </row>
    <row r="206" spans="1:9">
      <c r="A206" s="329" t="s">
        <v>1577</v>
      </c>
      <c r="B206" s="330" t="s">
        <v>5</v>
      </c>
      <c r="C206" s="330" t="s">
        <v>428</v>
      </c>
      <c r="D206" s="330" t="s">
        <v>921</v>
      </c>
      <c r="E206" s="330" t="s">
        <v>416</v>
      </c>
      <c r="F206" s="368">
        <v>62620.01</v>
      </c>
      <c r="G206" s="368">
        <v>62620.01</v>
      </c>
      <c r="H206" s="368">
        <f t="shared" si="7"/>
        <v>100</v>
      </c>
      <c r="I206" s="147" t="str">
        <f t="shared" si="6"/>
        <v>03099010080000244</v>
      </c>
    </row>
    <row r="207" spans="1:9">
      <c r="A207" s="329" t="s">
        <v>133</v>
      </c>
      <c r="B207" s="330" t="s">
        <v>5</v>
      </c>
      <c r="C207" s="330" t="s">
        <v>433</v>
      </c>
      <c r="D207" s="330" t="s">
        <v>1468</v>
      </c>
      <c r="E207" s="330" t="s">
        <v>1468</v>
      </c>
      <c r="F207" s="368">
        <v>117904</v>
      </c>
      <c r="G207" s="368">
        <v>117904</v>
      </c>
      <c r="H207" s="368">
        <f t="shared" si="7"/>
        <v>100</v>
      </c>
      <c r="I207" s="147" t="str">
        <f t="shared" si="6"/>
        <v>0310</v>
      </c>
    </row>
    <row r="208" spans="1:9" ht="38.25">
      <c r="A208" s="329" t="s">
        <v>549</v>
      </c>
      <c r="B208" s="330" t="s">
        <v>5</v>
      </c>
      <c r="C208" s="330" t="s">
        <v>433</v>
      </c>
      <c r="D208" s="330" t="s">
        <v>1117</v>
      </c>
      <c r="E208" s="330" t="s">
        <v>1468</v>
      </c>
      <c r="F208" s="368">
        <v>117904</v>
      </c>
      <c r="G208" s="368">
        <v>117904</v>
      </c>
      <c r="H208" s="368">
        <f t="shared" si="7"/>
        <v>100</v>
      </c>
      <c r="I208" s="147" t="str">
        <f t="shared" si="6"/>
        <v>03100400000000</v>
      </c>
    </row>
    <row r="209" spans="1:9" ht="25.5">
      <c r="A209" s="329" t="s">
        <v>552</v>
      </c>
      <c r="B209" s="330" t="s">
        <v>5</v>
      </c>
      <c r="C209" s="330" t="s">
        <v>433</v>
      </c>
      <c r="D209" s="330" t="s">
        <v>1119</v>
      </c>
      <c r="E209" s="330" t="s">
        <v>1468</v>
      </c>
      <c r="F209" s="368">
        <v>117904</v>
      </c>
      <c r="G209" s="368">
        <v>117904</v>
      </c>
      <c r="H209" s="368">
        <f t="shared" si="7"/>
        <v>100</v>
      </c>
      <c r="I209" s="147" t="str">
        <f t="shared" si="6"/>
        <v>03100420000000</v>
      </c>
    </row>
    <row r="210" spans="1:9" ht="89.25">
      <c r="A210" s="329" t="s">
        <v>1845</v>
      </c>
      <c r="B210" s="330" t="s">
        <v>5</v>
      </c>
      <c r="C210" s="330" t="s">
        <v>433</v>
      </c>
      <c r="D210" s="330" t="s">
        <v>1421</v>
      </c>
      <c r="E210" s="330" t="s">
        <v>1468</v>
      </c>
      <c r="F210" s="368">
        <v>3644</v>
      </c>
      <c r="G210" s="368">
        <v>3644</v>
      </c>
      <c r="H210" s="368">
        <f t="shared" si="7"/>
        <v>100</v>
      </c>
      <c r="I210" s="147" t="str">
        <f t="shared" si="6"/>
        <v>03100420074120</v>
      </c>
    </row>
    <row r="211" spans="1:9" ht="25.5">
      <c r="A211" s="329" t="s">
        <v>1755</v>
      </c>
      <c r="B211" s="330" t="s">
        <v>5</v>
      </c>
      <c r="C211" s="330" t="s">
        <v>433</v>
      </c>
      <c r="D211" s="330" t="s">
        <v>1421</v>
      </c>
      <c r="E211" s="330" t="s">
        <v>1756</v>
      </c>
      <c r="F211" s="368">
        <v>3644</v>
      </c>
      <c r="G211" s="368">
        <v>3644</v>
      </c>
      <c r="H211" s="368">
        <f t="shared" si="7"/>
        <v>100</v>
      </c>
      <c r="I211" s="147" t="str">
        <f t="shared" si="6"/>
        <v>03100420074120200</v>
      </c>
    </row>
    <row r="212" spans="1:9" ht="38.25">
      <c r="A212" s="329" t="s">
        <v>1502</v>
      </c>
      <c r="B212" s="330" t="s">
        <v>5</v>
      </c>
      <c r="C212" s="330" t="s">
        <v>433</v>
      </c>
      <c r="D212" s="330" t="s">
        <v>1421</v>
      </c>
      <c r="E212" s="330" t="s">
        <v>1503</v>
      </c>
      <c r="F212" s="368">
        <v>3644</v>
      </c>
      <c r="G212" s="368">
        <v>3644</v>
      </c>
      <c r="H212" s="368">
        <f t="shared" si="7"/>
        <v>100</v>
      </c>
      <c r="I212" s="147" t="str">
        <f t="shared" si="6"/>
        <v>03100420074120240</v>
      </c>
    </row>
    <row r="213" spans="1:9">
      <c r="A213" s="329" t="s">
        <v>1577</v>
      </c>
      <c r="B213" s="330" t="s">
        <v>5</v>
      </c>
      <c r="C213" s="330" t="s">
        <v>433</v>
      </c>
      <c r="D213" s="330" t="s">
        <v>1421</v>
      </c>
      <c r="E213" s="330" t="s">
        <v>416</v>
      </c>
      <c r="F213" s="368">
        <v>3644</v>
      </c>
      <c r="G213" s="368">
        <v>3644</v>
      </c>
      <c r="H213" s="368">
        <f t="shared" si="7"/>
        <v>100</v>
      </c>
      <c r="I213" s="147" t="str">
        <f t="shared" si="6"/>
        <v>03100420074120244</v>
      </c>
    </row>
    <row r="214" spans="1:9" ht="102">
      <c r="A214" s="329" t="s">
        <v>437</v>
      </c>
      <c r="B214" s="330" t="s">
        <v>5</v>
      </c>
      <c r="C214" s="330" t="s">
        <v>433</v>
      </c>
      <c r="D214" s="330" t="s">
        <v>789</v>
      </c>
      <c r="E214" s="330" t="s">
        <v>1468</v>
      </c>
      <c r="F214" s="368">
        <v>95578</v>
      </c>
      <c r="G214" s="368">
        <v>95578</v>
      </c>
      <c r="H214" s="368">
        <f t="shared" si="7"/>
        <v>100</v>
      </c>
      <c r="I214" s="147" t="str">
        <f t="shared" si="6"/>
        <v>03100420080020</v>
      </c>
    </row>
    <row r="215" spans="1:9" ht="25.5">
      <c r="A215" s="329" t="s">
        <v>1755</v>
      </c>
      <c r="B215" s="330" t="s">
        <v>5</v>
      </c>
      <c r="C215" s="330" t="s">
        <v>433</v>
      </c>
      <c r="D215" s="330" t="s">
        <v>789</v>
      </c>
      <c r="E215" s="330" t="s">
        <v>1756</v>
      </c>
      <c r="F215" s="368">
        <v>95578</v>
      </c>
      <c r="G215" s="368">
        <v>95578</v>
      </c>
      <c r="H215" s="368">
        <f t="shared" si="7"/>
        <v>100</v>
      </c>
      <c r="I215" s="147" t="str">
        <f t="shared" si="6"/>
        <v>03100420080020200</v>
      </c>
    </row>
    <row r="216" spans="1:9" ht="38.25">
      <c r="A216" s="329" t="s">
        <v>1502</v>
      </c>
      <c r="B216" s="330" t="s">
        <v>5</v>
      </c>
      <c r="C216" s="330" t="s">
        <v>433</v>
      </c>
      <c r="D216" s="330" t="s">
        <v>789</v>
      </c>
      <c r="E216" s="330" t="s">
        <v>1503</v>
      </c>
      <c r="F216" s="368">
        <v>95578</v>
      </c>
      <c r="G216" s="368">
        <v>95578</v>
      </c>
      <c r="H216" s="368">
        <f t="shared" si="7"/>
        <v>100</v>
      </c>
      <c r="I216" s="147" t="str">
        <f t="shared" si="6"/>
        <v>03100420080020240</v>
      </c>
    </row>
    <row r="217" spans="1:9">
      <c r="A217" s="329" t="s">
        <v>1577</v>
      </c>
      <c r="B217" s="330" t="s">
        <v>5</v>
      </c>
      <c r="C217" s="330" t="s">
        <v>433</v>
      </c>
      <c r="D217" s="330" t="s">
        <v>789</v>
      </c>
      <c r="E217" s="330" t="s">
        <v>416</v>
      </c>
      <c r="F217" s="368">
        <v>95578</v>
      </c>
      <c r="G217" s="368">
        <v>95578</v>
      </c>
      <c r="H217" s="368">
        <f t="shared" si="7"/>
        <v>100</v>
      </c>
      <c r="I217" s="147" t="str">
        <f t="shared" si="6"/>
        <v>03100420080020244</v>
      </c>
    </row>
    <row r="218" spans="1:9" ht="102">
      <c r="A218" s="329" t="s">
        <v>438</v>
      </c>
      <c r="B218" s="330" t="s">
        <v>5</v>
      </c>
      <c r="C218" s="330" t="s">
        <v>433</v>
      </c>
      <c r="D218" s="330" t="s">
        <v>790</v>
      </c>
      <c r="E218" s="330" t="s">
        <v>1468</v>
      </c>
      <c r="F218" s="368">
        <v>18500</v>
      </c>
      <c r="G218" s="368">
        <v>18500</v>
      </c>
      <c r="H218" s="368">
        <f t="shared" si="7"/>
        <v>100</v>
      </c>
      <c r="I218" s="147" t="str">
        <f t="shared" si="6"/>
        <v>03100420080030</v>
      </c>
    </row>
    <row r="219" spans="1:9" ht="25.5">
      <c r="A219" s="329" t="s">
        <v>1755</v>
      </c>
      <c r="B219" s="330" t="s">
        <v>5</v>
      </c>
      <c r="C219" s="330" t="s">
        <v>433</v>
      </c>
      <c r="D219" s="330" t="s">
        <v>790</v>
      </c>
      <c r="E219" s="330" t="s">
        <v>1756</v>
      </c>
      <c r="F219" s="368">
        <v>18500</v>
      </c>
      <c r="G219" s="368">
        <v>18500</v>
      </c>
      <c r="H219" s="368">
        <f t="shared" si="7"/>
        <v>100</v>
      </c>
      <c r="I219" s="147" t="str">
        <f t="shared" si="6"/>
        <v>03100420080030200</v>
      </c>
    </row>
    <row r="220" spans="1:9" ht="38.25">
      <c r="A220" s="329" t="s">
        <v>1502</v>
      </c>
      <c r="B220" s="330" t="s">
        <v>5</v>
      </c>
      <c r="C220" s="330" t="s">
        <v>433</v>
      </c>
      <c r="D220" s="330" t="s">
        <v>790</v>
      </c>
      <c r="E220" s="330" t="s">
        <v>1503</v>
      </c>
      <c r="F220" s="368">
        <v>18500</v>
      </c>
      <c r="G220" s="368">
        <v>18500</v>
      </c>
      <c r="H220" s="368">
        <f t="shared" si="7"/>
        <v>100</v>
      </c>
      <c r="I220" s="147" t="str">
        <f t="shared" si="6"/>
        <v>03100420080030240</v>
      </c>
    </row>
    <row r="221" spans="1:9">
      <c r="A221" s="329" t="s">
        <v>1577</v>
      </c>
      <c r="B221" s="330" t="s">
        <v>5</v>
      </c>
      <c r="C221" s="330" t="s">
        <v>433</v>
      </c>
      <c r="D221" s="330" t="s">
        <v>790</v>
      </c>
      <c r="E221" s="330" t="s">
        <v>416</v>
      </c>
      <c r="F221" s="368">
        <v>18500</v>
      </c>
      <c r="G221" s="368">
        <v>18500</v>
      </c>
      <c r="H221" s="368">
        <f t="shared" si="7"/>
        <v>100</v>
      </c>
      <c r="I221" s="147" t="str">
        <f t="shared" si="6"/>
        <v>03100420080030244</v>
      </c>
    </row>
    <row r="222" spans="1:9" ht="102">
      <c r="A222" s="329" t="s">
        <v>1580</v>
      </c>
      <c r="B222" s="330" t="s">
        <v>5</v>
      </c>
      <c r="C222" s="330" t="s">
        <v>433</v>
      </c>
      <c r="D222" s="330" t="s">
        <v>1581</v>
      </c>
      <c r="E222" s="330" t="s">
        <v>1468</v>
      </c>
      <c r="F222" s="368">
        <v>182</v>
      </c>
      <c r="G222" s="368">
        <v>182</v>
      </c>
      <c r="H222" s="368">
        <f t="shared" si="7"/>
        <v>100</v>
      </c>
      <c r="I222" s="147" t="str">
        <f t="shared" si="6"/>
        <v>031004200S4120</v>
      </c>
    </row>
    <row r="223" spans="1:9" ht="25.5">
      <c r="A223" s="329" t="s">
        <v>1755</v>
      </c>
      <c r="B223" s="330" t="s">
        <v>5</v>
      </c>
      <c r="C223" s="330" t="s">
        <v>433</v>
      </c>
      <c r="D223" s="330" t="s">
        <v>1581</v>
      </c>
      <c r="E223" s="330" t="s">
        <v>1756</v>
      </c>
      <c r="F223" s="368">
        <v>182</v>
      </c>
      <c r="G223" s="368">
        <v>182</v>
      </c>
      <c r="H223" s="368">
        <f t="shared" si="7"/>
        <v>100</v>
      </c>
      <c r="I223" s="147" t="str">
        <f t="shared" si="6"/>
        <v>031004200S4120200</v>
      </c>
    </row>
    <row r="224" spans="1:9" ht="38.25">
      <c r="A224" s="329" t="s">
        <v>1502</v>
      </c>
      <c r="B224" s="330" t="s">
        <v>5</v>
      </c>
      <c r="C224" s="330" t="s">
        <v>433</v>
      </c>
      <c r="D224" s="330" t="s">
        <v>1581</v>
      </c>
      <c r="E224" s="330" t="s">
        <v>1503</v>
      </c>
      <c r="F224" s="368">
        <v>182</v>
      </c>
      <c r="G224" s="368">
        <v>182</v>
      </c>
      <c r="H224" s="368">
        <f t="shared" si="7"/>
        <v>100</v>
      </c>
      <c r="I224" s="147" t="str">
        <f t="shared" si="6"/>
        <v>031004200S4120240</v>
      </c>
    </row>
    <row r="225" spans="1:9">
      <c r="A225" s="329" t="s">
        <v>1577</v>
      </c>
      <c r="B225" s="330" t="s">
        <v>5</v>
      </c>
      <c r="C225" s="330" t="s">
        <v>433</v>
      </c>
      <c r="D225" s="330" t="s">
        <v>1581</v>
      </c>
      <c r="E225" s="330" t="s">
        <v>416</v>
      </c>
      <c r="F225" s="368">
        <v>182</v>
      </c>
      <c r="G225" s="368">
        <v>182</v>
      </c>
      <c r="H225" s="368">
        <f t="shared" si="7"/>
        <v>100</v>
      </c>
      <c r="I225" s="147" t="str">
        <f t="shared" si="6"/>
        <v>031004200S4120244</v>
      </c>
    </row>
    <row r="226" spans="1:9">
      <c r="A226" s="329" t="s">
        <v>218</v>
      </c>
      <c r="B226" s="330" t="s">
        <v>5</v>
      </c>
      <c r="C226" s="330" t="s">
        <v>1362</v>
      </c>
      <c r="D226" s="330" t="s">
        <v>1468</v>
      </c>
      <c r="E226" s="330" t="s">
        <v>1468</v>
      </c>
      <c r="F226" s="368">
        <f>F227+F244+F263+F278</f>
        <v>75379147.260000005</v>
      </c>
      <c r="G226" s="368">
        <f>G227+G244+G263+G278</f>
        <v>75289005.340000004</v>
      </c>
      <c r="H226" s="368">
        <f t="shared" si="7"/>
        <v>99.88041530943687</v>
      </c>
      <c r="I226" s="147" t="str">
        <f t="shared" si="6"/>
        <v>0400</v>
      </c>
    </row>
    <row r="227" spans="1:9">
      <c r="A227" s="329" t="s">
        <v>219</v>
      </c>
      <c r="B227" s="330" t="s">
        <v>5</v>
      </c>
      <c r="C227" s="330" t="s">
        <v>440</v>
      </c>
      <c r="D227" s="330" t="s">
        <v>1468</v>
      </c>
      <c r="E227" s="330" t="s">
        <v>1468</v>
      </c>
      <c r="F227" s="368">
        <v>1407460</v>
      </c>
      <c r="G227" s="368">
        <v>1317318.08</v>
      </c>
      <c r="H227" s="368">
        <f t="shared" si="7"/>
        <v>93.595418697511832</v>
      </c>
      <c r="I227" s="147" t="str">
        <f t="shared" si="6"/>
        <v>0405</v>
      </c>
    </row>
    <row r="228" spans="1:9" ht="25.5">
      <c r="A228" s="329" t="s">
        <v>586</v>
      </c>
      <c r="B228" s="330" t="s">
        <v>5</v>
      </c>
      <c r="C228" s="330" t="s">
        <v>440</v>
      </c>
      <c r="D228" s="330" t="s">
        <v>1142</v>
      </c>
      <c r="E228" s="330" t="s">
        <v>1468</v>
      </c>
      <c r="F228" s="368">
        <v>1407460</v>
      </c>
      <c r="G228" s="368">
        <v>1317318.08</v>
      </c>
      <c r="H228" s="368">
        <f t="shared" si="7"/>
        <v>93.595418697511832</v>
      </c>
      <c r="I228" s="147" t="str">
        <f t="shared" si="6"/>
        <v>04051200000000</v>
      </c>
    </row>
    <row r="229" spans="1:9" ht="25.5">
      <c r="A229" s="329" t="s">
        <v>587</v>
      </c>
      <c r="B229" s="330" t="s">
        <v>5</v>
      </c>
      <c r="C229" s="330" t="s">
        <v>440</v>
      </c>
      <c r="D229" s="330" t="s">
        <v>1143</v>
      </c>
      <c r="E229" s="330" t="s">
        <v>1468</v>
      </c>
      <c r="F229" s="368">
        <v>9600</v>
      </c>
      <c r="G229" s="368">
        <v>9600</v>
      </c>
      <c r="H229" s="368">
        <f t="shared" si="7"/>
        <v>100</v>
      </c>
      <c r="I229" s="147" t="str">
        <f t="shared" si="6"/>
        <v>04051210000000</v>
      </c>
    </row>
    <row r="230" spans="1:9" ht="102">
      <c r="A230" s="329" t="s">
        <v>1738</v>
      </c>
      <c r="B230" s="330" t="s">
        <v>5</v>
      </c>
      <c r="C230" s="330" t="s">
        <v>440</v>
      </c>
      <c r="D230" s="330" t="s">
        <v>1739</v>
      </c>
      <c r="E230" s="330" t="s">
        <v>1468</v>
      </c>
      <c r="F230" s="368">
        <v>9600</v>
      </c>
      <c r="G230" s="368">
        <v>9600</v>
      </c>
      <c r="H230" s="368">
        <f t="shared" si="7"/>
        <v>100</v>
      </c>
      <c r="I230" s="147" t="str">
        <f t="shared" si="6"/>
        <v>04051210024380</v>
      </c>
    </row>
    <row r="231" spans="1:9">
      <c r="A231" s="329" t="s">
        <v>1757</v>
      </c>
      <c r="B231" s="330" t="s">
        <v>5</v>
      </c>
      <c r="C231" s="330" t="s">
        <v>440</v>
      </c>
      <c r="D231" s="330" t="s">
        <v>1739</v>
      </c>
      <c r="E231" s="330" t="s">
        <v>1758</v>
      </c>
      <c r="F231" s="368">
        <v>9600</v>
      </c>
      <c r="G231" s="368">
        <v>9600</v>
      </c>
      <c r="H231" s="368">
        <f t="shared" si="7"/>
        <v>100</v>
      </c>
      <c r="I231" s="147" t="str">
        <f t="shared" si="6"/>
        <v>04051210024380800</v>
      </c>
    </row>
    <row r="232" spans="1:9" ht="51">
      <c r="A232" s="329" t="s">
        <v>1512</v>
      </c>
      <c r="B232" s="330" t="s">
        <v>5</v>
      </c>
      <c r="C232" s="330" t="s">
        <v>440</v>
      </c>
      <c r="D232" s="330" t="s">
        <v>1739</v>
      </c>
      <c r="E232" s="330" t="s">
        <v>442</v>
      </c>
      <c r="F232" s="368">
        <v>9600</v>
      </c>
      <c r="G232" s="368">
        <v>9600</v>
      </c>
      <c r="H232" s="368">
        <f t="shared" si="7"/>
        <v>100</v>
      </c>
      <c r="I232" s="147" t="str">
        <f t="shared" si="6"/>
        <v>04051210024380810</v>
      </c>
    </row>
    <row r="233" spans="1:9" ht="63.75">
      <c r="A233" s="329" t="s">
        <v>1874</v>
      </c>
      <c r="B233" s="330" t="s">
        <v>5</v>
      </c>
      <c r="C233" s="330" t="s">
        <v>440</v>
      </c>
      <c r="D233" s="330" t="s">
        <v>1739</v>
      </c>
      <c r="E233" s="330" t="s">
        <v>1875</v>
      </c>
      <c r="F233" s="368">
        <v>9600</v>
      </c>
      <c r="G233" s="368">
        <v>9600</v>
      </c>
      <c r="H233" s="368">
        <f t="shared" si="7"/>
        <v>100</v>
      </c>
      <c r="I233" s="147" t="str">
        <f t="shared" si="6"/>
        <v>04051210024380813</v>
      </c>
    </row>
    <row r="234" spans="1:9" ht="25.5">
      <c r="A234" s="329" t="s">
        <v>540</v>
      </c>
      <c r="B234" s="330" t="s">
        <v>5</v>
      </c>
      <c r="C234" s="330" t="s">
        <v>440</v>
      </c>
      <c r="D234" s="330" t="s">
        <v>1145</v>
      </c>
      <c r="E234" s="330" t="s">
        <v>1468</v>
      </c>
      <c r="F234" s="368">
        <v>1397860</v>
      </c>
      <c r="G234" s="368">
        <v>1307718.08</v>
      </c>
      <c r="H234" s="368">
        <f t="shared" si="7"/>
        <v>93.55143433534117</v>
      </c>
      <c r="I234" s="147" t="str">
        <f t="shared" si="6"/>
        <v>04051230000000</v>
      </c>
    </row>
    <row r="235" spans="1:9" ht="89.25">
      <c r="A235" s="329" t="s">
        <v>443</v>
      </c>
      <c r="B235" s="330" t="s">
        <v>5</v>
      </c>
      <c r="C235" s="330" t="s">
        <v>440</v>
      </c>
      <c r="D235" s="330" t="s">
        <v>797</v>
      </c>
      <c r="E235" s="330" t="s">
        <v>1468</v>
      </c>
      <c r="F235" s="368">
        <v>1397860</v>
      </c>
      <c r="G235" s="368">
        <v>1307718.08</v>
      </c>
      <c r="H235" s="368">
        <f t="shared" si="7"/>
        <v>93.55143433534117</v>
      </c>
      <c r="I235" s="147" t="str">
        <f t="shared" si="6"/>
        <v>04051230075170</v>
      </c>
    </row>
    <row r="236" spans="1:9" ht="63.75">
      <c r="A236" s="329" t="s">
        <v>1754</v>
      </c>
      <c r="B236" s="330" t="s">
        <v>5</v>
      </c>
      <c r="C236" s="330" t="s">
        <v>440</v>
      </c>
      <c r="D236" s="330" t="s">
        <v>797</v>
      </c>
      <c r="E236" s="330" t="s">
        <v>322</v>
      </c>
      <c r="F236" s="368">
        <v>1295060</v>
      </c>
      <c r="G236" s="368">
        <f>G237</f>
        <v>1212935.71</v>
      </c>
      <c r="H236" s="368">
        <f t="shared" si="7"/>
        <v>93.658649792287619</v>
      </c>
      <c r="I236" s="147" t="str">
        <f t="shared" si="6"/>
        <v>04051230075170100</v>
      </c>
    </row>
    <row r="237" spans="1:9" ht="25.5">
      <c r="A237" s="329" t="s">
        <v>1509</v>
      </c>
      <c r="B237" s="330" t="s">
        <v>5</v>
      </c>
      <c r="C237" s="330" t="s">
        <v>440</v>
      </c>
      <c r="D237" s="330" t="s">
        <v>797</v>
      </c>
      <c r="E237" s="330" t="s">
        <v>37</v>
      </c>
      <c r="F237" s="368">
        <v>1295060</v>
      </c>
      <c r="G237" s="368">
        <f>G238+G239+G240</f>
        <v>1212935.71</v>
      </c>
      <c r="H237" s="368">
        <f t="shared" si="7"/>
        <v>93.658649792287619</v>
      </c>
      <c r="I237" s="147" t="str">
        <f t="shared" si="6"/>
        <v>04051230075170120</v>
      </c>
    </row>
    <row r="238" spans="1:9" ht="25.5">
      <c r="A238" s="329" t="s">
        <v>1081</v>
      </c>
      <c r="B238" s="330" t="s">
        <v>5</v>
      </c>
      <c r="C238" s="330" t="s">
        <v>440</v>
      </c>
      <c r="D238" s="330" t="s">
        <v>797</v>
      </c>
      <c r="E238" s="330" t="s">
        <v>411</v>
      </c>
      <c r="F238" s="368">
        <v>935914.11</v>
      </c>
      <c r="G238" s="368">
        <v>915620.28</v>
      </c>
      <c r="H238" s="368">
        <f t="shared" si="7"/>
        <v>97.831656795942536</v>
      </c>
      <c r="I238" s="147" t="str">
        <f t="shared" si="6"/>
        <v>04051230075170121</v>
      </c>
    </row>
    <row r="239" spans="1:9" ht="38.25">
      <c r="A239" s="329" t="s">
        <v>412</v>
      </c>
      <c r="B239" s="330" t="s">
        <v>5</v>
      </c>
      <c r="C239" s="330" t="s">
        <v>440</v>
      </c>
      <c r="D239" s="330" t="s">
        <v>797</v>
      </c>
      <c r="E239" s="330" t="s">
        <v>413</v>
      </c>
      <c r="F239" s="368">
        <v>76500</v>
      </c>
      <c r="G239" s="368">
        <v>19050</v>
      </c>
      <c r="H239" s="368">
        <f t="shared" si="7"/>
        <v>24.901960784313726</v>
      </c>
      <c r="I239" s="147" t="str">
        <f t="shared" si="6"/>
        <v>04051230075170122</v>
      </c>
    </row>
    <row r="240" spans="1:9" ht="51">
      <c r="A240" s="329" t="s">
        <v>1195</v>
      </c>
      <c r="B240" s="330" t="s">
        <v>5</v>
      </c>
      <c r="C240" s="330" t="s">
        <v>440</v>
      </c>
      <c r="D240" s="330" t="s">
        <v>797</v>
      </c>
      <c r="E240" s="330" t="s">
        <v>1196</v>
      </c>
      <c r="F240" s="368">
        <v>282645.89</v>
      </c>
      <c r="G240" s="368">
        <v>278265.43</v>
      </c>
      <c r="H240" s="368">
        <f t="shared" si="7"/>
        <v>98.450195047944959</v>
      </c>
      <c r="I240" s="147" t="str">
        <f t="shared" si="6"/>
        <v>04051230075170129</v>
      </c>
    </row>
    <row r="241" spans="1:9" ht="25.5">
      <c r="A241" s="329" t="s">
        <v>1755</v>
      </c>
      <c r="B241" s="330" t="s">
        <v>5</v>
      </c>
      <c r="C241" s="330" t="s">
        <v>440</v>
      </c>
      <c r="D241" s="330" t="s">
        <v>797</v>
      </c>
      <c r="E241" s="330" t="s">
        <v>1756</v>
      </c>
      <c r="F241" s="368">
        <v>102800</v>
      </c>
      <c r="G241" s="368">
        <v>94782.37</v>
      </c>
      <c r="H241" s="368">
        <f t="shared" si="7"/>
        <v>92.20074902723735</v>
      </c>
      <c r="I241" s="147" t="str">
        <f t="shared" si="6"/>
        <v>04051230075170200</v>
      </c>
    </row>
    <row r="242" spans="1:9" ht="38.25">
      <c r="A242" s="329" t="s">
        <v>1502</v>
      </c>
      <c r="B242" s="330" t="s">
        <v>5</v>
      </c>
      <c r="C242" s="330" t="s">
        <v>440</v>
      </c>
      <c r="D242" s="330" t="s">
        <v>797</v>
      </c>
      <c r="E242" s="330" t="s">
        <v>1503</v>
      </c>
      <c r="F242" s="368">
        <v>102800</v>
      </c>
      <c r="G242" s="368">
        <v>94782.37</v>
      </c>
      <c r="H242" s="368">
        <f t="shared" si="7"/>
        <v>92.20074902723735</v>
      </c>
      <c r="I242" s="147" t="str">
        <f t="shared" si="6"/>
        <v>04051230075170240</v>
      </c>
    </row>
    <row r="243" spans="1:9">
      <c r="A243" s="329" t="s">
        <v>1577</v>
      </c>
      <c r="B243" s="330" t="s">
        <v>5</v>
      </c>
      <c r="C243" s="330" t="s">
        <v>440</v>
      </c>
      <c r="D243" s="330" t="s">
        <v>797</v>
      </c>
      <c r="E243" s="330" t="s">
        <v>416</v>
      </c>
      <c r="F243" s="368">
        <v>102800</v>
      </c>
      <c r="G243" s="368">
        <v>94782.37</v>
      </c>
      <c r="H243" s="368">
        <f t="shared" si="7"/>
        <v>92.20074902723735</v>
      </c>
      <c r="I243" s="147" t="str">
        <f t="shared" si="6"/>
        <v>04051230075170244</v>
      </c>
    </row>
    <row r="244" spans="1:9">
      <c r="A244" s="329" t="s">
        <v>220</v>
      </c>
      <c r="B244" s="330" t="s">
        <v>5</v>
      </c>
      <c r="C244" s="330" t="s">
        <v>444</v>
      </c>
      <c r="D244" s="330" t="s">
        <v>1468</v>
      </c>
      <c r="E244" s="330" t="s">
        <v>1468</v>
      </c>
      <c r="F244" s="368">
        <v>56835003</v>
      </c>
      <c r="G244" s="368">
        <v>56835003</v>
      </c>
      <c r="H244" s="368">
        <f t="shared" si="7"/>
        <v>100</v>
      </c>
      <c r="I244" s="147" t="str">
        <f t="shared" si="6"/>
        <v>0408</v>
      </c>
    </row>
    <row r="245" spans="1:9" ht="25.5">
      <c r="A245" s="329" t="s">
        <v>576</v>
      </c>
      <c r="B245" s="330" t="s">
        <v>5</v>
      </c>
      <c r="C245" s="330" t="s">
        <v>444</v>
      </c>
      <c r="D245" s="330" t="s">
        <v>1133</v>
      </c>
      <c r="E245" s="330" t="s">
        <v>1468</v>
      </c>
      <c r="F245" s="368">
        <v>56835003</v>
      </c>
      <c r="G245" s="368">
        <v>56835003</v>
      </c>
      <c r="H245" s="368">
        <f t="shared" si="7"/>
        <v>100</v>
      </c>
      <c r="I245" s="147" t="str">
        <f t="shared" si="6"/>
        <v>04080900000000</v>
      </c>
    </row>
    <row r="246" spans="1:9" ht="25.5">
      <c r="A246" s="329" t="s">
        <v>579</v>
      </c>
      <c r="B246" s="330" t="s">
        <v>5</v>
      </c>
      <c r="C246" s="330" t="s">
        <v>444</v>
      </c>
      <c r="D246" s="330" t="s">
        <v>1135</v>
      </c>
      <c r="E246" s="330" t="s">
        <v>1468</v>
      </c>
      <c r="F246" s="368">
        <v>56835003</v>
      </c>
      <c r="G246" s="368">
        <v>56835003</v>
      </c>
      <c r="H246" s="368">
        <f t="shared" si="7"/>
        <v>100</v>
      </c>
      <c r="I246" s="147" t="str">
        <f t="shared" si="6"/>
        <v>04080920000000</v>
      </c>
    </row>
    <row r="247" spans="1:9" ht="89.25">
      <c r="A247" s="329" t="s">
        <v>2040</v>
      </c>
      <c r="B247" s="330" t="s">
        <v>5</v>
      </c>
      <c r="C247" s="330" t="s">
        <v>444</v>
      </c>
      <c r="D247" s="330" t="s">
        <v>2041</v>
      </c>
      <c r="E247" s="330" t="s">
        <v>1468</v>
      </c>
      <c r="F247" s="368">
        <v>12306000</v>
      </c>
      <c r="G247" s="368">
        <v>12306000</v>
      </c>
      <c r="H247" s="368">
        <f t="shared" si="7"/>
        <v>100</v>
      </c>
      <c r="I247" s="147" t="str">
        <f t="shared" si="6"/>
        <v>04080920075110</v>
      </c>
    </row>
    <row r="248" spans="1:9">
      <c r="A248" s="329" t="s">
        <v>1757</v>
      </c>
      <c r="B248" s="330" t="s">
        <v>5</v>
      </c>
      <c r="C248" s="330" t="s">
        <v>444</v>
      </c>
      <c r="D248" s="330" t="s">
        <v>2041</v>
      </c>
      <c r="E248" s="330" t="s">
        <v>1758</v>
      </c>
      <c r="F248" s="368">
        <v>12306000</v>
      </c>
      <c r="G248" s="368">
        <v>12306000</v>
      </c>
      <c r="H248" s="368">
        <f t="shared" si="7"/>
        <v>100</v>
      </c>
      <c r="I248" s="147" t="str">
        <f t="shared" ref="I248:I311" si="8">CONCATENATE(C248,D248,E248)</f>
        <v>04080920075110800</v>
      </c>
    </row>
    <row r="249" spans="1:9" ht="51">
      <c r="A249" s="329" t="s">
        <v>1512</v>
      </c>
      <c r="B249" s="330" t="s">
        <v>5</v>
      </c>
      <c r="C249" s="330" t="s">
        <v>444</v>
      </c>
      <c r="D249" s="330" t="s">
        <v>2041</v>
      </c>
      <c r="E249" s="330" t="s">
        <v>442</v>
      </c>
      <c r="F249" s="368">
        <v>12306000</v>
      </c>
      <c r="G249" s="368">
        <v>12306000</v>
      </c>
      <c r="H249" s="368">
        <f t="shared" si="7"/>
        <v>100</v>
      </c>
      <c r="I249" s="147" t="str">
        <f t="shared" si="8"/>
        <v>04080920075110810</v>
      </c>
    </row>
    <row r="250" spans="1:9" ht="63.75">
      <c r="A250" s="329" t="s">
        <v>1582</v>
      </c>
      <c r="B250" s="330" t="s">
        <v>5</v>
      </c>
      <c r="C250" s="330" t="s">
        <v>444</v>
      </c>
      <c r="D250" s="330" t="s">
        <v>2041</v>
      </c>
      <c r="E250" s="330" t="s">
        <v>1583</v>
      </c>
      <c r="F250" s="368">
        <v>12306000</v>
      </c>
      <c r="G250" s="368">
        <v>12306000</v>
      </c>
      <c r="H250" s="368">
        <f t="shared" si="7"/>
        <v>100</v>
      </c>
      <c r="I250" s="147" t="str">
        <f t="shared" si="8"/>
        <v>04080920075110811</v>
      </c>
    </row>
    <row r="251" spans="1:9" ht="76.5">
      <c r="A251" s="329" t="s">
        <v>1854</v>
      </c>
      <c r="B251" s="330" t="s">
        <v>5</v>
      </c>
      <c r="C251" s="330" t="s">
        <v>444</v>
      </c>
      <c r="D251" s="330" t="s">
        <v>1855</v>
      </c>
      <c r="E251" s="330" t="s">
        <v>1468</v>
      </c>
      <c r="F251" s="368">
        <v>8320000</v>
      </c>
      <c r="G251" s="368">
        <v>8320000</v>
      </c>
      <c r="H251" s="368">
        <f t="shared" si="7"/>
        <v>100</v>
      </c>
      <c r="I251" s="147" t="str">
        <f t="shared" si="8"/>
        <v>0408092008Ф000</v>
      </c>
    </row>
    <row r="252" spans="1:9" ht="25.5">
      <c r="A252" s="329" t="s">
        <v>1755</v>
      </c>
      <c r="B252" s="330" t="s">
        <v>5</v>
      </c>
      <c r="C252" s="330" t="s">
        <v>444</v>
      </c>
      <c r="D252" s="330" t="s">
        <v>1855</v>
      </c>
      <c r="E252" s="330" t="s">
        <v>1756</v>
      </c>
      <c r="F252" s="368">
        <v>8320000</v>
      </c>
      <c r="G252" s="368">
        <v>8320000</v>
      </c>
      <c r="H252" s="368">
        <f t="shared" si="7"/>
        <v>100</v>
      </c>
      <c r="I252" s="147" t="str">
        <f t="shared" si="8"/>
        <v>0408092008Ф000200</v>
      </c>
    </row>
    <row r="253" spans="1:9" ht="38.25">
      <c r="A253" s="329" t="s">
        <v>1502</v>
      </c>
      <c r="B253" s="330" t="s">
        <v>5</v>
      </c>
      <c r="C253" s="330" t="s">
        <v>444</v>
      </c>
      <c r="D253" s="330" t="s">
        <v>1855</v>
      </c>
      <c r="E253" s="330" t="s">
        <v>1503</v>
      </c>
      <c r="F253" s="368">
        <v>8320000</v>
      </c>
      <c r="G253" s="368">
        <v>8320000</v>
      </c>
      <c r="H253" s="368">
        <f t="shared" si="7"/>
        <v>100</v>
      </c>
      <c r="I253" s="147" t="str">
        <f t="shared" si="8"/>
        <v>0408092008Ф000240</v>
      </c>
    </row>
    <row r="254" spans="1:9">
      <c r="A254" s="329" t="s">
        <v>1577</v>
      </c>
      <c r="B254" s="330" t="s">
        <v>5</v>
      </c>
      <c r="C254" s="330" t="s">
        <v>444</v>
      </c>
      <c r="D254" s="330" t="s">
        <v>1855</v>
      </c>
      <c r="E254" s="330" t="s">
        <v>416</v>
      </c>
      <c r="F254" s="368">
        <v>8320000</v>
      </c>
      <c r="G254" s="368">
        <v>8320000</v>
      </c>
      <c r="H254" s="368">
        <f t="shared" si="7"/>
        <v>100</v>
      </c>
      <c r="I254" s="147" t="str">
        <f t="shared" si="8"/>
        <v>0408092008Ф000244</v>
      </c>
    </row>
    <row r="255" spans="1:9" ht="76.5">
      <c r="A255" s="329" t="s">
        <v>2035</v>
      </c>
      <c r="B255" s="330" t="s">
        <v>5</v>
      </c>
      <c r="C255" s="330" t="s">
        <v>444</v>
      </c>
      <c r="D255" s="330" t="s">
        <v>2042</v>
      </c>
      <c r="E255" s="330" t="s">
        <v>1468</v>
      </c>
      <c r="F255" s="368">
        <v>12306</v>
      </c>
      <c r="G255" s="368">
        <v>12306</v>
      </c>
      <c r="H255" s="368">
        <f t="shared" si="7"/>
        <v>100</v>
      </c>
      <c r="I255" s="147" t="str">
        <f t="shared" si="8"/>
        <v>040809200S5110</v>
      </c>
    </row>
    <row r="256" spans="1:9">
      <c r="A256" s="329" t="s">
        <v>1757</v>
      </c>
      <c r="B256" s="330" t="s">
        <v>5</v>
      </c>
      <c r="C256" s="330" t="s">
        <v>444</v>
      </c>
      <c r="D256" s="330" t="s">
        <v>2042</v>
      </c>
      <c r="E256" s="330" t="s">
        <v>1758</v>
      </c>
      <c r="F256" s="368">
        <v>12306</v>
      </c>
      <c r="G256" s="368">
        <v>12306</v>
      </c>
      <c r="H256" s="368">
        <f t="shared" si="7"/>
        <v>100</v>
      </c>
      <c r="I256" s="147" t="str">
        <f t="shared" si="8"/>
        <v>040809200S5110800</v>
      </c>
    </row>
    <row r="257" spans="1:9" ht="51">
      <c r="A257" s="329" t="s">
        <v>1512</v>
      </c>
      <c r="B257" s="330" t="s">
        <v>5</v>
      </c>
      <c r="C257" s="330" t="s">
        <v>444</v>
      </c>
      <c r="D257" s="330" t="s">
        <v>2042</v>
      </c>
      <c r="E257" s="330" t="s">
        <v>442</v>
      </c>
      <c r="F257" s="368">
        <v>12306</v>
      </c>
      <c r="G257" s="368">
        <v>12306</v>
      </c>
      <c r="H257" s="368">
        <f t="shared" si="7"/>
        <v>100</v>
      </c>
      <c r="I257" s="147" t="str">
        <f t="shared" si="8"/>
        <v>040809200S5110810</v>
      </c>
    </row>
    <row r="258" spans="1:9" ht="63.75">
      <c r="A258" s="329" t="s">
        <v>1582</v>
      </c>
      <c r="B258" s="330" t="s">
        <v>5</v>
      </c>
      <c r="C258" s="330" t="s">
        <v>444</v>
      </c>
      <c r="D258" s="330" t="s">
        <v>2042</v>
      </c>
      <c r="E258" s="330" t="s">
        <v>1583</v>
      </c>
      <c r="F258" s="368">
        <v>12306</v>
      </c>
      <c r="G258" s="368">
        <v>12306</v>
      </c>
      <c r="H258" s="368">
        <f t="shared" si="7"/>
        <v>100</v>
      </c>
      <c r="I258" s="147" t="str">
        <f t="shared" si="8"/>
        <v>040809200S5110811</v>
      </c>
    </row>
    <row r="259" spans="1:9" ht="63.75">
      <c r="A259" s="329" t="s">
        <v>445</v>
      </c>
      <c r="B259" s="330" t="s">
        <v>5</v>
      </c>
      <c r="C259" s="330" t="s">
        <v>444</v>
      </c>
      <c r="D259" s="330" t="s">
        <v>798</v>
      </c>
      <c r="E259" s="330" t="s">
        <v>1468</v>
      </c>
      <c r="F259" s="368">
        <v>36196697</v>
      </c>
      <c r="G259" s="368">
        <v>36196697</v>
      </c>
      <c r="H259" s="368">
        <f t="shared" si="7"/>
        <v>100</v>
      </c>
      <c r="I259" s="147" t="str">
        <f t="shared" si="8"/>
        <v>040809200П0000</v>
      </c>
    </row>
    <row r="260" spans="1:9">
      <c r="A260" s="329" t="s">
        <v>1757</v>
      </c>
      <c r="B260" s="330" t="s">
        <v>5</v>
      </c>
      <c r="C260" s="330" t="s">
        <v>444</v>
      </c>
      <c r="D260" s="330" t="s">
        <v>798</v>
      </c>
      <c r="E260" s="330" t="s">
        <v>1758</v>
      </c>
      <c r="F260" s="368">
        <v>36196697</v>
      </c>
      <c r="G260" s="368">
        <v>36196697</v>
      </c>
      <c r="H260" s="368">
        <f t="shared" si="7"/>
        <v>100</v>
      </c>
      <c r="I260" s="147" t="str">
        <f t="shared" si="8"/>
        <v>040809200П0000800</v>
      </c>
    </row>
    <row r="261" spans="1:9" ht="51">
      <c r="A261" s="329" t="s">
        <v>1512</v>
      </c>
      <c r="B261" s="330" t="s">
        <v>5</v>
      </c>
      <c r="C261" s="330" t="s">
        <v>444</v>
      </c>
      <c r="D261" s="330" t="s">
        <v>798</v>
      </c>
      <c r="E261" s="330" t="s">
        <v>442</v>
      </c>
      <c r="F261" s="368">
        <v>36196697</v>
      </c>
      <c r="G261" s="368">
        <v>36196697</v>
      </c>
      <c r="H261" s="368">
        <f t="shared" si="7"/>
        <v>100</v>
      </c>
      <c r="I261" s="147" t="str">
        <f t="shared" si="8"/>
        <v>040809200П0000810</v>
      </c>
    </row>
    <row r="262" spans="1:9" ht="63.75">
      <c r="A262" s="329" t="s">
        <v>1582</v>
      </c>
      <c r="B262" s="330" t="s">
        <v>5</v>
      </c>
      <c r="C262" s="330" t="s">
        <v>444</v>
      </c>
      <c r="D262" s="330" t="s">
        <v>798</v>
      </c>
      <c r="E262" s="330" t="s">
        <v>1583</v>
      </c>
      <c r="F262" s="368">
        <v>36196697</v>
      </c>
      <c r="G262" s="368">
        <v>36196697</v>
      </c>
      <c r="H262" s="368">
        <f t="shared" si="7"/>
        <v>100</v>
      </c>
      <c r="I262" s="147" t="str">
        <f t="shared" si="8"/>
        <v>040809200П0000811</v>
      </c>
    </row>
    <row r="263" spans="1:9">
      <c r="A263" s="329" t="s">
        <v>298</v>
      </c>
      <c r="B263" s="330" t="s">
        <v>5</v>
      </c>
      <c r="C263" s="330" t="s">
        <v>446</v>
      </c>
      <c r="D263" s="330" t="s">
        <v>1468</v>
      </c>
      <c r="E263" s="330" t="s">
        <v>1468</v>
      </c>
      <c r="F263" s="368">
        <v>173880</v>
      </c>
      <c r="G263" s="368">
        <v>173880</v>
      </c>
      <c r="H263" s="368">
        <f t="shared" si="7"/>
        <v>100</v>
      </c>
      <c r="I263" s="147" t="str">
        <f t="shared" si="8"/>
        <v>0409</v>
      </c>
    </row>
    <row r="264" spans="1:9" ht="25.5">
      <c r="A264" s="329" t="s">
        <v>576</v>
      </c>
      <c r="B264" s="330" t="s">
        <v>5</v>
      </c>
      <c r="C264" s="330" t="s">
        <v>446</v>
      </c>
      <c r="D264" s="330" t="s">
        <v>1133</v>
      </c>
      <c r="E264" s="330" t="s">
        <v>1468</v>
      </c>
      <c r="F264" s="368">
        <v>173880</v>
      </c>
      <c r="G264" s="368">
        <v>173880</v>
      </c>
      <c r="H264" s="368">
        <f t="shared" ref="H264:H327" si="9">G264/F264*100</f>
        <v>100</v>
      </c>
      <c r="I264" s="147" t="str">
        <f t="shared" si="8"/>
        <v>04090900000000</v>
      </c>
    </row>
    <row r="265" spans="1:9">
      <c r="A265" s="329" t="s">
        <v>577</v>
      </c>
      <c r="B265" s="330" t="s">
        <v>5</v>
      </c>
      <c r="C265" s="330" t="s">
        <v>446</v>
      </c>
      <c r="D265" s="330" t="s">
        <v>1134</v>
      </c>
      <c r="E265" s="330" t="s">
        <v>1468</v>
      </c>
      <c r="F265" s="368">
        <v>173880</v>
      </c>
      <c r="G265" s="368">
        <v>173880</v>
      </c>
      <c r="H265" s="368">
        <f t="shared" si="9"/>
        <v>100</v>
      </c>
      <c r="I265" s="147" t="str">
        <f t="shared" si="8"/>
        <v>04090910000000</v>
      </c>
    </row>
    <row r="266" spans="1:9" ht="76.5">
      <c r="A266" s="329" t="s">
        <v>1952</v>
      </c>
      <c r="B266" s="330" t="s">
        <v>5</v>
      </c>
      <c r="C266" s="330" t="s">
        <v>446</v>
      </c>
      <c r="D266" s="330" t="s">
        <v>1038</v>
      </c>
      <c r="E266" s="330" t="s">
        <v>1468</v>
      </c>
      <c r="F266" s="368">
        <v>140000</v>
      </c>
      <c r="G266" s="368">
        <v>140000</v>
      </c>
      <c r="H266" s="368">
        <f t="shared" si="9"/>
        <v>100</v>
      </c>
      <c r="I266" s="147" t="str">
        <f t="shared" si="8"/>
        <v>04090910075080</v>
      </c>
    </row>
    <row r="267" spans="1:9" ht="25.5">
      <c r="A267" s="329" t="s">
        <v>1755</v>
      </c>
      <c r="B267" s="330" t="s">
        <v>5</v>
      </c>
      <c r="C267" s="330" t="s">
        <v>446</v>
      </c>
      <c r="D267" s="330" t="s">
        <v>1038</v>
      </c>
      <c r="E267" s="330" t="s">
        <v>1756</v>
      </c>
      <c r="F267" s="368">
        <v>140000</v>
      </c>
      <c r="G267" s="368">
        <v>140000</v>
      </c>
      <c r="H267" s="368">
        <f t="shared" si="9"/>
        <v>100</v>
      </c>
      <c r="I267" s="147" t="str">
        <f t="shared" si="8"/>
        <v>04090910075080200</v>
      </c>
    </row>
    <row r="268" spans="1:9" ht="38.25">
      <c r="A268" s="329" t="s">
        <v>1502</v>
      </c>
      <c r="B268" s="330" t="s">
        <v>5</v>
      </c>
      <c r="C268" s="330" t="s">
        <v>446</v>
      </c>
      <c r="D268" s="330" t="s">
        <v>1038</v>
      </c>
      <c r="E268" s="330" t="s">
        <v>1503</v>
      </c>
      <c r="F268" s="368">
        <v>140000</v>
      </c>
      <c r="G268" s="368">
        <v>140000</v>
      </c>
      <c r="H268" s="368">
        <f t="shared" si="9"/>
        <v>100</v>
      </c>
      <c r="I268" s="147" t="str">
        <f t="shared" si="8"/>
        <v>04090910075080240</v>
      </c>
    </row>
    <row r="269" spans="1:9">
      <c r="A269" s="329" t="s">
        <v>1577</v>
      </c>
      <c r="B269" s="330" t="s">
        <v>5</v>
      </c>
      <c r="C269" s="330" t="s">
        <v>446</v>
      </c>
      <c r="D269" s="330" t="s">
        <v>1038</v>
      </c>
      <c r="E269" s="330" t="s">
        <v>416</v>
      </c>
      <c r="F269" s="368">
        <v>140000</v>
      </c>
      <c r="G269" s="368">
        <v>140000</v>
      </c>
      <c r="H269" s="368">
        <f t="shared" si="9"/>
        <v>100</v>
      </c>
      <c r="I269" s="147" t="str">
        <f t="shared" si="8"/>
        <v>04090910075080244</v>
      </c>
    </row>
    <row r="270" spans="1:9" ht="51">
      <c r="A270" s="329" t="s">
        <v>447</v>
      </c>
      <c r="B270" s="330" t="s">
        <v>5</v>
      </c>
      <c r="C270" s="330" t="s">
        <v>446</v>
      </c>
      <c r="D270" s="330" t="s">
        <v>799</v>
      </c>
      <c r="E270" s="330" t="s">
        <v>1468</v>
      </c>
      <c r="F270" s="368">
        <v>32200</v>
      </c>
      <c r="G270" s="368">
        <v>32200</v>
      </c>
      <c r="H270" s="368">
        <f t="shared" si="9"/>
        <v>100</v>
      </c>
      <c r="I270" s="147" t="str">
        <f t="shared" si="8"/>
        <v>04090910080000</v>
      </c>
    </row>
    <row r="271" spans="1:9" ht="25.5">
      <c r="A271" s="329" t="s">
        <v>1755</v>
      </c>
      <c r="B271" s="330" t="s">
        <v>5</v>
      </c>
      <c r="C271" s="330" t="s">
        <v>446</v>
      </c>
      <c r="D271" s="330" t="s">
        <v>799</v>
      </c>
      <c r="E271" s="330" t="s">
        <v>1756</v>
      </c>
      <c r="F271" s="368">
        <v>32200</v>
      </c>
      <c r="G271" s="368">
        <v>32200</v>
      </c>
      <c r="H271" s="368">
        <f t="shared" si="9"/>
        <v>100</v>
      </c>
      <c r="I271" s="147" t="str">
        <f t="shared" si="8"/>
        <v>04090910080000200</v>
      </c>
    </row>
    <row r="272" spans="1:9" ht="38.25">
      <c r="A272" s="329" t="s">
        <v>1502</v>
      </c>
      <c r="B272" s="330" t="s">
        <v>5</v>
      </c>
      <c r="C272" s="330" t="s">
        <v>446</v>
      </c>
      <c r="D272" s="330" t="s">
        <v>799</v>
      </c>
      <c r="E272" s="330" t="s">
        <v>1503</v>
      </c>
      <c r="F272" s="368">
        <v>32200</v>
      </c>
      <c r="G272" s="368">
        <v>32200</v>
      </c>
      <c r="H272" s="368">
        <f t="shared" si="9"/>
        <v>100</v>
      </c>
      <c r="I272" s="147" t="str">
        <f t="shared" si="8"/>
        <v>04090910080000240</v>
      </c>
    </row>
    <row r="273" spans="1:9">
      <c r="A273" s="329" t="s">
        <v>1577</v>
      </c>
      <c r="B273" s="330" t="s">
        <v>5</v>
      </c>
      <c r="C273" s="330" t="s">
        <v>446</v>
      </c>
      <c r="D273" s="330" t="s">
        <v>799</v>
      </c>
      <c r="E273" s="330" t="s">
        <v>416</v>
      </c>
      <c r="F273" s="368">
        <v>32200</v>
      </c>
      <c r="G273" s="368">
        <v>32200</v>
      </c>
      <c r="H273" s="368">
        <f t="shared" si="9"/>
        <v>100</v>
      </c>
      <c r="I273" s="147" t="str">
        <f t="shared" si="8"/>
        <v>04090910080000244</v>
      </c>
    </row>
    <row r="274" spans="1:9" ht="76.5">
      <c r="A274" s="329" t="s">
        <v>1584</v>
      </c>
      <c r="B274" s="330" t="s">
        <v>5</v>
      </c>
      <c r="C274" s="330" t="s">
        <v>446</v>
      </c>
      <c r="D274" s="330" t="s">
        <v>1585</v>
      </c>
      <c r="E274" s="330" t="s">
        <v>1468</v>
      </c>
      <c r="F274" s="368">
        <v>1680</v>
      </c>
      <c r="G274" s="368">
        <v>1680</v>
      </c>
      <c r="H274" s="368">
        <f t="shared" si="9"/>
        <v>100</v>
      </c>
      <c r="I274" s="147" t="str">
        <f t="shared" si="8"/>
        <v>040909100S5080</v>
      </c>
    </row>
    <row r="275" spans="1:9" ht="25.5">
      <c r="A275" s="329" t="s">
        <v>1755</v>
      </c>
      <c r="B275" s="330" t="s">
        <v>5</v>
      </c>
      <c r="C275" s="330" t="s">
        <v>446</v>
      </c>
      <c r="D275" s="330" t="s">
        <v>1585</v>
      </c>
      <c r="E275" s="330" t="s">
        <v>1756</v>
      </c>
      <c r="F275" s="368">
        <v>1680</v>
      </c>
      <c r="G275" s="368">
        <v>1680</v>
      </c>
      <c r="H275" s="368">
        <f t="shared" si="9"/>
        <v>100</v>
      </c>
      <c r="I275" s="147" t="str">
        <f t="shared" si="8"/>
        <v>040909100S5080200</v>
      </c>
    </row>
    <row r="276" spans="1:9" ht="38.25">
      <c r="A276" s="329" t="s">
        <v>1502</v>
      </c>
      <c r="B276" s="330" t="s">
        <v>5</v>
      </c>
      <c r="C276" s="330" t="s">
        <v>446</v>
      </c>
      <c r="D276" s="330" t="s">
        <v>1585</v>
      </c>
      <c r="E276" s="330" t="s">
        <v>1503</v>
      </c>
      <c r="F276" s="368">
        <v>1680</v>
      </c>
      <c r="G276" s="368">
        <v>1680</v>
      </c>
      <c r="H276" s="368">
        <f t="shared" si="9"/>
        <v>100</v>
      </c>
      <c r="I276" s="147" t="str">
        <f t="shared" si="8"/>
        <v>040909100S5080240</v>
      </c>
    </row>
    <row r="277" spans="1:9">
      <c r="A277" s="329" t="s">
        <v>1577</v>
      </c>
      <c r="B277" s="330" t="s">
        <v>5</v>
      </c>
      <c r="C277" s="330" t="s">
        <v>446</v>
      </c>
      <c r="D277" s="330" t="s">
        <v>1585</v>
      </c>
      <c r="E277" s="330" t="s">
        <v>416</v>
      </c>
      <c r="F277" s="368">
        <v>1680</v>
      </c>
      <c r="G277" s="368">
        <v>1680</v>
      </c>
      <c r="H277" s="368">
        <f t="shared" si="9"/>
        <v>100</v>
      </c>
      <c r="I277" s="147" t="str">
        <f t="shared" si="8"/>
        <v>040909100S5080244</v>
      </c>
    </row>
    <row r="278" spans="1:9">
      <c r="A278" s="329" t="s">
        <v>179</v>
      </c>
      <c r="B278" s="330" t="s">
        <v>5</v>
      </c>
      <c r="C278" s="330" t="s">
        <v>448</v>
      </c>
      <c r="D278" s="330" t="s">
        <v>1468</v>
      </c>
      <c r="E278" s="330" t="s">
        <v>1468</v>
      </c>
      <c r="F278" s="368">
        <v>16962804.260000002</v>
      </c>
      <c r="G278" s="368">
        <v>16962804.260000002</v>
      </c>
      <c r="H278" s="368">
        <f t="shared" si="9"/>
        <v>100</v>
      </c>
      <c r="I278" s="147" t="str">
        <f t="shared" si="8"/>
        <v>0412</v>
      </c>
    </row>
    <row r="279" spans="1:9" ht="51">
      <c r="A279" s="329" t="s">
        <v>1624</v>
      </c>
      <c r="B279" s="330" t="s">
        <v>5</v>
      </c>
      <c r="C279" s="330" t="s">
        <v>448</v>
      </c>
      <c r="D279" s="330" t="s">
        <v>1131</v>
      </c>
      <c r="E279" s="330" t="s">
        <v>1468</v>
      </c>
      <c r="F279" s="368">
        <v>16210936.869999999</v>
      </c>
      <c r="G279" s="368">
        <v>16210936.869999999</v>
      </c>
      <c r="H279" s="368">
        <f t="shared" si="9"/>
        <v>100</v>
      </c>
      <c r="I279" s="147" t="str">
        <f t="shared" si="8"/>
        <v>04120800000000</v>
      </c>
    </row>
    <row r="280" spans="1:9" ht="38.25">
      <c r="A280" s="329" t="s">
        <v>573</v>
      </c>
      <c r="B280" s="330" t="s">
        <v>5</v>
      </c>
      <c r="C280" s="330" t="s">
        <v>448</v>
      </c>
      <c r="D280" s="330" t="s">
        <v>1132</v>
      </c>
      <c r="E280" s="330" t="s">
        <v>1468</v>
      </c>
      <c r="F280" s="368">
        <v>16207936.869999999</v>
      </c>
      <c r="G280" s="368">
        <v>16207936.869999999</v>
      </c>
      <c r="H280" s="368">
        <f t="shared" si="9"/>
        <v>100</v>
      </c>
      <c r="I280" s="147" t="str">
        <f t="shared" si="8"/>
        <v>04120810000000</v>
      </c>
    </row>
    <row r="281" spans="1:9" ht="127.5">
      <c r="A281" s="329" t="s">
        <v>1906</v>
      </c>
      <c r="B281" s="330" t="s">
        <v>5</v>
      </c>
      <c r="C281" s="330" t="s">
        <v>448</v>
      </c>
      <c r="D281" s="330" t="s">
        <v>1036</v>
      </c>
      <c r="E281" s="330" t="s">
        <v>1468</v>
      </c>
      <c r="F281" s="368">
        <v>15388040</v>
      </c>
      <c r="G281" s="368">
        <v>15388040</v>
      </c>
      <c r="H281" s="368">
        <f t="shared" si="9"/>
        <v>100</v>
      </c>
      <c r="I281" s="147" t="str">
        <f t="shared" si="8"/>
        <v>04120810076070</v>
      </c>
    </row>
    <row r="282" spans="1:9">
      <c r="A282" s="329" t="s">
        <v>1757</v>
      </c>
      <c r="B282" s="330" t="s">
        <v>5</v>
      </c>
      <c r="C282" s="330" t="s">
        <v>448</v>
      </c>
      <c r="D282" s="330" t="s">
        <v>1036</v>
      </c>
      <c r="E282" s="330" t="s">
        <v>1758</v>
      </c>
      <c r="F282" s="368">
        <v>15388040</v>
      </c>
      <c r="G282" s="368">
        <v>15388040</v>
      </c>
      <c r="H282" s="368">
        <f t="shared" si="9"/>
        <v>100</v>
      </c>
      <c r="I282" s="147" t="str">
        <f t="shared" si="8"/>
        <v>04120810076070800</v>
      </c>
    </row>
    <row r="283" spans="1:9" ht="51">
      <c r="A283" s="329" t="s">
        <v>1512</v>
      </c>
      <c r="B283" s="330" t="s">
        <v>5</v>
      </c>
      <c r="C283" s="330" t="s">
        <v>448</v>
      </c>
      <c r="D283" s="330" t="s">
        <v>1036</v>
      </c>
      <c r="E283" s="330" t="s">
        <v>442</v>
      </c>
      <c r="F283" s="368">
        <v>15388040</v>
      </c>
      <c r="G283" s="368">
        <v>15388040</v>
      </c>
      <c r="H283" s="368">
        <f t="shared" si="9"/>
        <v>100</v>
      </c>
      <c r="I283" s="147" t="str">
        <f t="shared" si="8"/>
        <v>04120810076070810</v>
      </c>
    </row>
    <row r="284" spans="1:9" ht="63.75">
      <c r="A284" s="329" t="s">
        <v>1874</v>
      </c>
      <c r="B284" s="330" t="s">
        <v>5</v>
      </c>
      <c r="C284" s="330" t="s">
        <v>448</v>
      </c>
      <c r="D284" s="330" t="s">
        <v>1036</v>
      </c>
      <c r="E284" s="330" t="s">
        <v>1875</v>
      </c>
      <c r="F284" s="368">
        <v>15388040</v>
      </c>
      <c r="G284" s="368">
        <v>15388040</v>
      </c>
      <c r="H284" s="368">
        <f t="shared" si="9"/>
        <v>100</v>
      </c>
      <c r="I284" s="147" t="str">
        <f t="shared" si="8"/>
        <v>04120810076070813</v>
      </c>
    </row>
    <row r="285" spans="1:9" ht="114.75">
      <c r="A285" s="329" t="s">
        <v>1742</v>
      </c>
      <c r="B285" s="330" t="s">
        <v>5</v>
      </c>
      <c r="C285" s="330" t="s">
        <v>448</v>
      </c>
      <c r="D285" s="330" t="s">
        <v>800</v>
      </c>
      <c r="E285" s="330" t="s">
        <v>1468</v>
      </c>
      <c r="F285" s="368">
        <v>10000</v>
      </c>
      <c r="G285" s="368">
        <v>10000</v>
      </c>
      <c r="H285" s="368">
        <f t="shared" si="9"/>
        <v>100</v>
      </c>
      <c r="I285" s="147" t="str">
        <f t="shared" si="8"/>
        <v>04120810080020</v>
      </c>
    </row>
    <row r="286" spans="1:9" ht="25.5">
      <c r="A286" s="329" t="s">
        <v>1755</v>
      </c>
      <c r="B286" s="330" t="s">
        <v>5</v>
      </c>
      <c r="C286" s="330" t="s">
        <v>448</v>
      </c>
      <c r="D286" s="330" t="s">
        <v>800</v>
      </c>
      <c r="E286" s="330" t="s">
        <v>1756</v>
      </c>
      <c r="F286" s="368">
        <v>10000</v>
      </c>
      <c r="G286" s="368">
        <v>10000</v>
      </c>
      <c r="H286" s="368">
        <f t="shared" si="9"/>
        <v>100</v>
      </c>
      <c r="I286" s="147" t="str">
        <f t="shared" si="8"/>
        <v>04120810080020200</v>
      </c>
    </row>
    <row r="287" spans="1:9" ht="38.25">
      <c r="A287" s="329" t="s">
        <v>1502</v>
      </c>
      <c r="B287" s="330" t="s">
        <v>5</v>
      </c>
      <c r="C287" s="330" t="s">
        <v>448</v>
      </c>
      <c r="D287" s="330" t="s">
        <v>800</v>
      </c>
      <c r="E287" s="330" t="s">
        <v>1503</v>
      </c>
      <c r="F287" s="368">
        <v>10000</v>
      </c>
      <c r="G287" s="368">
        <v>10000</v>
      </c>
      <c r="H287" s="368">
        <f t="shared" si="9"/>
        <v>100</v>
      </c>
      <c r="I287" s="147" t="str">
        <f t="shared" si="8"/>
        <v>04120810080020240</v>
      </c>
    </row>
    <row r="288" spans="1:9">
      <c r="A288" s="329" t="s">
        <v>1577</v>
      </c>
      <c r="B288" s="330" t="s">
        <v>5</v>
      </c>
      <c r="C288" s="330" t="s">
        <v>448</v>
      </c>
      <c r="D288" s="330" t="s">
        <v>800</v>
      </c>
      <c r="E288" s="330" t="s">
        <v>416</v>
      </c>
      <c r="F288" s="368">
        <v>10000</v>
      </c>
      <c r="G288" s="368">
        <v>10000</v>
      </c>
      <c r="H288" s="368">
        <f t="shared" si="9"/>
        <v>100</v>
      </c>
      <c r="I288" s="147" t="str">
        <f t="shared" si="8"/>
        <v>04120810080020244</v>
      </c>
    </row>
    <row r="289" spans="1:9" ht="127.5">
      <c r="A289" s="329" t="s">
        <v>1907</v>
      </c>
      <c r="B289" s="330" t="s">
        <v>5</v>
      </c>
      <c r="C289" s="330" t="s">
        <v>448</v>
      </c>
      <c r="D289" s="330" t="s">
        <v>1908</v>
      </c>
      <c r="E289" s="330" t="s">
        <v>1468</v>
      </c>
      <c r="F289" s="368">
        <v>809896.87</v>
      </c>
      <c r="G289" s="368">
        <v>809896.87</v>
      </c>
      <c r="H289" s="368">
        <f t="shared" si="9"/>
        <v>100</v>
      </c>
      <c r="I289" s="147" t="str">
        <f t="shared" si="8"/>
        <v>041208100S6070</v>
      </c>
    </row>
    <row r="290" spans="1:9">
      <c r="A290" s="329" t="s">
        <v>1757</v>
      </c>
      <c r="B290" s="330" t="s">
        <v>5</v>
      </c>
      <c r="C290" s="330" t="s">
        <v>448</v>
      </c>
      <c r="D290" s="330" t="s">
        <v>1908</v>
      </c>
      <c r="E290" s="330" t="s">
        <v>1758</v>
      </c>
      <c r="F290" s="368">
        <v>809896.87</v>
      </c>
      <c r="G290" s="368">
        <v>809896.87</v>
      </c>
      <c r="H290" s="368">
        <f t="shared" si="9"/>
        <v>100</v>
      </c>
      <c r="I290" s="147" t="str">
        <f t="shared" si="8"/>
        <v>041208100S6070800</v>
      </c>
    </row>
    <row r="291" spans="1:9" ht="51">
      <c r="A291" s="329" t="s">
        <v>1512</v>
      </c>
      <c r="B291" s="330" t="s">
        <v>5</v>
      </c>
      <c r="C291" s="330" t="s">
        <v>448</v>
      </c>
      <c r="D291" s="330" t="s">
        <v>1908</v>
      </c>
      <c r="E291" s="330" t="s">
        <v>442</v>
      </c>
      <c r="F291" s="368">
        <v>809896.87</v>
      </c>
      <c r="G291" s="368">
        <v>809896.87</v>
      </c>
      <c r="H291" s="368">
        <f t="shared" si="9"/>
        <v>100</v>
      </c>
      <c r="I291" s="147" t="str">
        <f t="shared" si="8"/>
        <v>041208100S6070810</v>
      </c>
    </row>
    <row r="292" spans="1:9" ht="63.75">
      <c r="A292" s="329" t="s">
        <v>1874</v>
      </c>
      <c r="B292" s="330" t="s">
        <v>5</v>
      </c>
      <c r="C292" s="330" t="s">
        <v>448</v>
      </c>
      <c r="D292" s="330" t="s">
        <v>1908</v>
      </c>
      <c r="E292" s="330" t="s">
        <v>1875</v>
      </c>
      <c r="F292" s="368">
        <v>809896.87</v>
      </c>
      <c r="G292" s="368">
        <v>809896.87</v>
      </c>
      <c r="H292" s="368">
        <f t="shared" si="9"/>
        <v>100</v>
      </c>
      <c r="I292" s="147" t="str">
        <f t="shared" si="8"/>
        <v>041208100S6070813</v>
      </c>
    </row>
    <row r="293" spans="1:9" ht="25.5">
      <c r="A293" s="329" t="s">
        <v>540</v>
      </c>
      <c r="B293" s="330" t="s">
        <v>5</v>
      </c>
      <c r="C293" s="330" t="s">
        <v>448</v>
      </c>
      <c r="D293" s="330" t="s">
        <v>1743</v>
      </c>
      <c r="E293" s="330" t="s">
        <v>1468</v>
      </c>
      <c r="F293" s="368">
        <v>3000</v>
      </c>
      <c r="G293" s="368">
        <v>3000</v>
      </c>
      <c r="H293" s="368">
        <f t="shared" si="9"/>
        <v>100</v>
      </c>
      <c r="I293" s="147" t="str">
        <f t="shared" si="8"/>
        <v>04120820000000</v>
      </c>
    </row>
    <row r="294" spans="1:9" ht="114.75">
      <c r="A294" s="329" t="s">
        <v>1744</v>
      </c>
      <c r="B294" s="330" t="s">
        <v>5</v>
      </c>
      <c r="C294" s="330" t="s">
        <v>448</v>
      </c>
      <c r="D294" s="330" t="s">
        <v>1745</v>
      </c>
      <c r="E294" s="330" t="s">
        <v>1468</v>
      </c>
      <c r="F294" s="368">
        <v>3000</v>
      </c>
      <c r="G294" s="368">
        <v>3000</v>
      </c>
      <c r="H294" s="368">
        <f t="shared" si="9"/>
        <v>100</v>
      </c>
      <c r="I294" s="147" t="str">
        <f t="shared" si="8"/>
        <v>04120820080030</v>
      </c>
    </row>
    <row r="295" spans="1:9" ht="25.5">
      <c r="A295" s="329" t="s">
        <v>1755</v>
      </c>
      <c r="B295" s="330" t="s">
        <v>5</v>
      </c>
      <c r="C295" s="330" t="s">
        <v>448</v>
      </c>
      <c r="D295" s="330" t="s">
        <v>1745</v>
      </c>
      <c r="E295" s="330" t="s">
        <v>1756</v>
      </c>
      <c r="F295" s="368">
        <v>3000</v>
      </c>
      <c r="G295" s="368">
        <v>3000</v>
      </c>
      <c r="H295" s="368">
        <f t="shared" si="9"/>
        <v>100</v>
      </c>
      <c r="I295" s="147" t="str">
        <f t="shared" si="8"/>
        <v>04120820080030200</v>
      </c>
    </row>
    <row r="296" spans="1:9" ht="38.25">
      <c r="A296" s="329" t="s">
        <v>1502</v>
      </c>
      <c r="B296" s="330" t="s">
        <v>5</v>
      </c>
      <c r="C296" s="330" t="s">
        <v>448</v>
      </c>
      <c r="D296" s="330" t="s">
        <v>1745</v>
      </c>
      <c r="E296" s="330" t="s">
        <v>1503</v>
      </c>
      <c r="F296" s="368">
        <v>3000</v>
      </c>
      <c r="G296" s="368">
        <v>3000</v>
      </c>
      <c r="H296" s="368">
        <f t="shared" si="9"/>
        <v>100</v>
      </c>
      <c r="I296" s="147" t="str">
        <f t="shared" si="8"/>
        <v>04120820080030240</v>
      </c>
    </row>
    <row r="297" spans="1:9">
      <c r="A297" s="329" t="s">
        <v>1577</v>
      </c>
      <c r="B297" s="330" t="s">
        <v>5</v>
      </c>
      <c r="C297" s="330" t="s">
        <v>448</v>
      </c>
      <c r="D297" s="330" t="s">
        <v>1745</v>
      </c>
      <c r="E297" s="330" t="s">
        <v>416</v>
      </c>
      <c r="F297" s="368">
        <v>3000</v>
      </c>
      <c r="G297" s="368">
        <v>3000</v>
      </c>
      <c r="H297" s="368">
        <f t="shared" si="9"/>
        <v>100</v>
      </c>
      <c r="I297" s="147" t="str">
        <f t="shared" si="8"/>
        <v>04120820080030244</v>
      </c>
    </row>
    <row r="298" spans="1:9" ht="38.25">
      <c r="A298" s="329" t="s">
        <v>705</v>
      </c>
      <c r="B298" s="330" t="s">
        <v>5</v>
      </c>
      <c r="C298" s="330" t="s">
        <v>448</v>
      </c>
      <c r="D298" s="330" t="s">
        <v>1137</v>
      </c>
      <c r="E298" s="330" t="s">
        <v>1468</v>
      </c>
      <c r="F298" s="368">
        <v>187686.39</v>
      </c>
      <c r="G298" s="368">
        <v>187686.39</v>
      </c>
      <c r="H298" s="368">
        <f t="shared" si="9"/>
        <v>100</v>
      </c>
      <c r="I298" s="147" t="str">
        <f t="shared" si="8"/>
        <v>04121000000000</v>
      </c>
    </row>
    <row r="299" spans="1:9" ht="25.5">
      <c r="A299" s="329" t="s">
        <v>1464</v>
      </c>
      <c r="B299" s="330" t="s">
        <v>5</v>
      </c>
      <c r="C299" s="330" t="s">
        <v>448</v>
      </c>
      <c r="D299" s="330" t="s">
        <v>1465</v>
      </c>
      <c r="E299" s="330" t="s">
        <v>1468</v>
      </c>
      <c r="F299" s="368">
        <v>187686.39</v>
      </c>
      <c r="G299" s="368">
        <v>187686.39</v>
      </c>
      <c r="H299" s="368">
        <f t="shared" si="9"/>
        <v>100</v>
      </c>
      <c r="I299" s="147" t="str">
        <f t="shared" si="8"/>
        <v>04121040000000</v>
      </c>
    </row>
    <row r="300" spans="1:9" ht="63.75">
      <c r="A300" s="329" t="s">
        <v>1605</v>
      </c>
      <c r="B300" s="330" t="s">
        <v>5</v>
      </c>
      <c r="C300" s="330" t="s">
        <v>448</v>
      </c>
      <c r="D300" s="330" t="s">
        <v>1606</v>
      </c>
      <c r="E300" s="330" t="s">
        <v>1468</v>
      </c>
      <c r="F300" s="368">
        <v>187686.39</v>
      </c>
      <c r="G300" s="368">
        <v>187686.39</v>
      </c>
      <c r="H300" s="368">
        <f t="shared" si="9"/>
        <v>100</v>
      </c>
      <c r="I300" s="147" t="str">
        <f t="shared" si="8"/>
        <v>04121040080000</v>
      </c>
    </row>
    <row r="301" spans="1:9" ht="25.5">
      <c r="A301" s="329" t="s">
        <v>1755</v>
      </c>
      <c r="B301" s="330" t="s">
        <v>5</v>
      </c>
      <c r="C301" s="330" t="s">
        <v>448</v>
      </c>
      <c r="D301" s="330" t="s">
        <v>1606</v>
      </c>
      <c r="E301" s="330" t="s">
        <v>1756</v>
      </c>
      <c r="F301" s="368">
        <v>187686.39</v>
      </c>
      <c r="G301" s="368">
        <v>187686.39</v>
      </c>
      <c r="H301" s="368">
        <f t="shared" si="9"/>
        <v>100</v>
      </c>
      <c r="I301" s="147" t="str">
        <f t="shared" si="8"/>
        <v>04121040080000200</v>
      </c>
    </row>
    <row r="302" spans="1:9" ht="38.25">
      <c r="A302" s="329" t="s">
        <v>1502</v>
      </c>
      <c r="B302" s="330" t="s">
        <v>5</v>
      </c>
      <c r="C302" s="330" t="s">
        <v>448</v>
      </c>
      <c r="D302" s="330" t="s">
        <v>1606</v>
      </c>
      <c r="E302" s="330" t="s">
        <v>1503</v>
      </c>
      <c r="F302" s="368">
        <v>187686.39</v>
      </c>
      <c r="G302" s="368">
        <v>187686.39</v>
      </c>
      <c r="H302" s="368">
        <f t="shared" si="9"/>
        <v>100</v>
      </c>
      <c r="I302" s="147" t="str">
        <f t="shared" si="8"/>
        <v>04121040080000240</v>
      </c>
    </row>
    <row r="303" spans="1:9">
      <c r="A303" s="329" t="s">
        <v>1577</v>
      </c>
      <c r="B303" s="330" t="s">
        <v>5</v>
      </c>
      <c r="C303" s="330" t="s">
        <v>448</v>
      </c>
      <c r="D303" s="330" t="s">
        <v>1606</v>
      </c>
      <c r="E303" s="330" t="s">
        <v>416</v>
      </c>
      <c r="F303" s="368">
        <v>187686.39</v>
      </c>
      <c r="G303" s="368">
        <v>187686.39</v>
      </c>
      <c r="H303" s="368">
        <f t="shared" si="9"/>
        <v>100</v>
      </c>
      <c r="I303" s="147" t="str">
        <f t="shared" si="8"/>
        <v>04121040080000244</v>
      </c>
    </row>
    <row r="304" spans="1:9" ht="25.5">
      <c r="A304" s="329" t="s">
        <v>586</v>
      </c>
      <c r="B304" s="330" t="s">
        <v>5</v>
      </c>
      <c r="C304" s="330" t="s">
        <v>448</v>
      </c>
      <c r="D304" s="330" t="s">
        <v>1142</v>
      </c>
      <c r="E304" s="330" t="s">
        <v>1468</v>
      </c>
      <c r="F304" s="368">
        <v>564181</v>
      </c>
      <c r="G304" s="368">
        <v>564181</v>
      </c>
      <c r="H304" s="368">
        <f t="shared" si="9"/>
        <v>100</v>
      </c>
      <c r="I304" s="147" t="str">
        <f t="shared" si="8"/>
        <v>04121200000000</v>
      </c>
    </row>
    <row r="305" spans="1:9" ht="25.5">
      <c r="A305" s="329" t="s">
        <v>588</v>
      </c>
      <c r="B305" s="330" t="s">
        <v>5</v>
      </c>
      <c r="C305" s="330" t="s">
        <v>448</v>
      </c>
      <c r="D305" s="330" t="s">
        <v>1144</v>
      </c>
      <c r="E305" s="330" t="s">
        <v>1468</v>
      </c>
      <c r="F305" s="368">
        <v>564181</v>
      </c>
      <c r="G305" s="368">
        <v>564181</v>
      </c>
      <c r="H305" s="368">
        <f t="shared" si="9"/>
        <v>100</v>
      </c>
      <c r="I305" s="147" t="str">
        <f t="shared" si="8"/>
        <v>04121220000000</v>
      </c>
    </row>
    <row r="306" spans="1:9" ht="102">
      <c r="A306" s="329" t="s">
        <v>450</v>
      </c>
      <c r="B306" s="330" t="s">
        <v>5</v>
      </c>
      <c r="C306" s="330" t="s">
        <v>448</v>
      </c>
      <c r="D306" s="330" t="s">
        <v>804</v>
      </c>
      <c r="E306" s="330" t="s">
        <v>1468</v>
      </c>
      <c r="F306" s="368">
        <v>500700</v>
      </c>
      <c r="G306" s="368">
        <v>500700</v>
      </c>
      <c r="H306" s="368">
        <f t="shared" si="9"/>
        <v>100</v>
      </c>
      <c r="I306" s="147" t="str">
        <f t="shared" si="8"/>
        <v>04121220075180</v>
      </c>
    </row>
    <row r="307" spans="1:9" ht="25.5">
      <c r="A307" s="329" t="s">
        <v>1755</v>
      </c>
      <c r="B307" s="330" t="s">
        <v>5</v>
      </c>
      <c r="C307" s="330" t="s">
        <v>448</v>
      </c>
      <c r="D307" s="330" t="s">
        <v>804</v>
      </c>
      <c r="E307" s="330" t="s">
        <v>1756</v>
      </c>
      <c r="F307" s="368">
        <v>500700</v>
      </c>
      <c r="G307" s="368">
        <v>500700</v>
      </c>
      <c r="H307" s="368">
        <f t="shared" si="9"/>
        <v>100</v>
      </c>
      <c r="I307" s="147" t="str">
        <f t="shared" si="8"/>
        <v>04121220075180200</v>
      </c>
    </row>
    <row r="308" spans="1:9" ht="38.25">
      <c r="A308" s="329" t="s">
        <v>1502</v>
      </c>
      <c r="B308" s="330" t="s">
        <v>5</v>
      </c>
      <c r="C308" s="330" t="s">
        <v>448</v>
      </c>
      <c r="D308" s="330" t="s">
        <v>804</v>
      </c>
      <c r="E308" s="330" t="s">
        <v>1503</v>
      </c>
      <c r="F308" s="368">
        <v>500700</v>
      </c>
      <c r="G308" s="368">
        <v>500700</v>
      </c>
      <c r="H308" s="368">
        <f t="shared" si="9"/>
        <v>100</v>
      </c>
      <c r="I308" s="147" t="str">
        <f t="shared" si="8"/>
        <v>04121220075180240</v>
      </c>
    </row>
    <row r="309" spans="1:9">
      <c r="A309" s="329" t="s">
        <v>1577</v>
      </c>
      <c r="B309" s="330" t="s">
        <v>5</v>
      </c>
      <c r="C309" s="330" t="s">
        <v>448</v>
      </c>
      <c r="D309" s="330" t="s">
        <v>804</v>
      </c>
      <c r="E309" s="330" t="s">
        <v>416</v>
      </c>
      <c r="F309" s="368">
        <v>500700</v>
      </c>
      <c r="G309" s="368">
        <v>500700</v>
      </c>
      <c r="H309" s="368">
        <f t="shared" si="9"/>
        <v>100</v>
      </c>
      <c r="I309" s="147" t="str">
        <f t="shared" si="8"/>
        <v>04121220075180244</v>
      </c>
    </row>
    <row r="310" spans="1:9" ht="63.75">
      <c r="A310" s="329" t="s">
        <v>1469</v>
      </c>
      <c r="B310" s="330" t="s">
        <v>5</v>
      </c>
      <c r="C310" s="330" t="s">
        <v>448</v>
      </c>
      <c r="D310" s="330" t="s">
        <v>1470</v>
      </c>
      <c r="E310" s="330" t="s">
        <v>1468</v>
      </c>
      <c r="F310" s="368">
        <v>63481</v>
      </c>
      <c r="G310" s="368">
        <v>63481</v>
      </c>
      <c r="H310" s="368">
        <f t="shared" si="9"/>
        <v>100</v>
      </c>
      <c r="I310" s="147" t="str">
        <f t="shared" si="8"/>
        <v>04121220080010</v>
      </c>
    </row>
    <row r="311" spans="1:9" ht="25.5">
      <c r="A311" s="329" t="s">
        <v>1755</v>
      </c>
      <c r="B311" s="330" t="s">
        <v>5</v>
      </c>
      <c r="C311" s="330" t="s">
        <v>448</v>
      </c>
      <c r="D311" s="330" t="s">
        <v>1470</v>
      </c>
      <c r="E311" s="330" t="s">
        <v>1756</v>
      </c>
      <c r="F311" s="368">
        <v>63481</v>
      </c>
      <c r="G311" s="368">
        <v>63481</v>
      </c>
      <c r="H311" s="368">
        <f t="shared" si="9"/>
        <v>100</v>
      </c>
      <c r="I311" s="147" t="str">
        <f t="shared" si="8"/>
        <v>04121220080010200</v>
      </c>
    </row>
    <row r="312" spans="1:9" ht="38.25">
      <c r="A312" s="329" t="s">
        <v>1502</v>
      </c>
      <c r="B312" s="330" t="s">
        <v>5</v>
      </c>
      <c r="C312" s="330" t="s">
        <v>448</v>
      </c>
      <c r="D312" s="330" t="s">
        <v>1470</v>
      </c>
      <c r="E312" s="330" t="s">
        <v>1503</v>
      </c>
      <c r="F312" s="368">
        <v>63481</v>
      </c>
      <c r="G312" s="368">
        <v>63481</v>
      </c>
      <c r="H312" s="368">
        <f t="shared" si="9"/>
        <v>100</v>
      </c>
      <c r="I312" s="147" t="str">
        <f t="shared" ref="I312:I370" si="10">CONCATENATE(C312,D312,E312)</f>
        <v>04121220080010240</v>
      </c>
    </row>
    <row r="313" spans="1:9">
      <c r="A313" s="329" t="s">
        <v>1577</v>
      </c>
      <c r="B313" s="330" t="s">
        <v>5</v>
      </c>
      <c r="C313" s="330" t="s">
        <v>448</v>
      </c>
      <c r="D313" s="330" t="s">
        <v>1470</v>
      </c>
      <c r="E313" s="330" t="s">
        <v>416</v>
      </c>
      <c r="F313" s="368">
        <v>63481</v>
      </c>
      <c r="G313" s="368">
        <v>63481</v>
      </c>
      <c r="H313" s="368">
        <f t="shared" si="9"/>
        <v>100</v>
      </c>
      <c r="I313" s="147" t="str">
        <f t="shared" si="10"/>
        <v>04121220080010244</v>
      </c>
    </row>
    <row r="314" spans="1:9">
      <c r="A314" s="329" t="s">
        <v>283</v>
      </c>
      <c r="B314" s="330" t="s">
        <v>5</v>
      </c>
      <c r="C314" s="330" t="s">
        <v>1363</v>
      </c>
      <c r="D314" s="330" t="s">
        <v>1468</v>
      </c>
      <c r="E314" s="330" t="s">
        <v>1468</v>
      </c>
      <c r="F314" s="368">
        <f>F315+F322+F352</f>
        <v>189684398.62</v>
      </c>
      <c r="G314" s="368">
        <f>G315+G322+G352</f>
        <v>189646303.09</v>
      </c>
      <c r="H314" s="368">
        <f t="shared" si="9"/>
        <v>99.97991636092523</v>
      </c>
      <c r="I314" s="147" t="str">
        <f t="shared" si="10"/>
        <v>0500</v>
      </c>
    </row>
    <row r="315" spans="1:9">
      <c r="A315" s="329" t="s">
        <v>3</v>
      </c>
      <c r="B315" s="330" t="s">
        <v>5</v>
      </c>
      <c r="C315" s="330" t="s">
        <v>474</v>
      </c>
      <c r="D315" s="330" t="s">
        <v>1468</v>
      </c>
      <c r="E315" s="330" t="s">
        <v>1468</v>
      </c>
      <c r="F315" s="368">
        <v>1249983</v>
      </c>
      <c r="G315" s="368">
        <v>1249983</v>
      </c>
      <c r="H315" s="368">
        <f t="shared" si="9"/>
        <v>100</v>
      </c>
      <c r="I315" s="147" t="str">
        <f t="shared" si="10"/>
        <v>0501</v>
      </c>
    </row>
    <row r="316" spans="1:9" ht="38.25">
      <c r="A316" s="329" t="s">
        <v>705</v>
      </c>
      <c r="B316" s="330" t="s">
        <v>5</v>
      </c>
      <c r="C316" s="330" t="s">
        <v>474</v>
      </c>
      <c r="D316" s="330" t="s">
        <v>1137</v>
      </c>
      <c r="E316" s="330" t="s">
        <v>1468</v>
      </c>
      <c r="F316" s="368">
        <v>1249983</v>
      </c>
      <c r="G316" s="368">
        <v>1249983</v>
      </c>
      <c r="H316" s="368">
        <f t="shared" si="9"/>
        <v>100</v>
      </c>
      <c r="I316" s="147" t="str">
        <f t="shared" si="10"/>
        <v>05011000000000</v>
      </c>
    </row>
    <row r="317" spans="1:9" ht="38.25">
      <c r="A317" s="329" t="s">
        <v>706</v>
      </c>
      <c r="B317" s="330" t="s">
        <v>5</v>
      </c>
      <c r="C317" s="330" t="s">
        <v>474</v>
      </c>
      <c r="D317" s="330" t="s">
        <v>1138</v>
      </c>
      <c r="E317" s="330" t="s">
        <v>1468</v>
      </c>
      <c r="F317" s="368">
        <v>1249983</v>
      </c>
      <c r="G317" s="368">
        <v>1249983</v>
      </c>
      <c r="H317" s="368">
        <f t="shared" si="9"/>
        <v>100</v>
      </c>
      <c r="I317" s="147" t="str">
        <f t="shared" si="10"/>
        <v>05011050000000</v>
      </c>
    </row>
    <row r="318" spans="1:9" ht="76.5">
      <c r="A318" s="329" t="s">
        <v>622</v>
      </c>
      <c r="B318" s="330" t="s">
        <v>5</v>
      </c>
      <c r="C318" s="330" t="s">
        <v>474</v>
      </c>
      <c r="D318" s="330" t="s">
        <v>864</v>
      </c>
      <c r="E318" s="330" t="s">
        <v>1468</v>
      </c>
      <c r="F318" s="368">
        <v>1249983</v>
      </c>
      <c r="G318" s="368">
        <v>1249983</v>
      </c>
      <c r="H318" s="368">
        <f t="shared" si="9"/>
        <v>100</v>
      </c>
      <c r="I318" s="147" t="str">
        <f t="shared" si="10"/>
        <v>05011050080000</v>
      </c>
    </row>
    <row r="319" spans="1:9" ht="25.5">
      <c r="A319" s="329" t="s">
        <v>1761</v>
      </c>
      <c r="B319" s="330" t="s">
        <v>5</v>
      </c>
      <c r="C319" s="330" t="s">
        <v>474</v>
      </c>
      <c r="D319" s="330" t="s">
        <v>864</v>
      </c>
      <c r="E319" s="330" t="s">
        <v>1762</v>
      </c>
      <c r="F319" s="368">
        <v>1249983</v>
      </c>
      <c r="G319" s="368">
        <v>1249983</v>
      </c>
      <c r="H319" s="368">
        <f t="shared" si="9"/>
        <v>100</v>
      </c>
      <c r="I319" s="147" t="str">
        <f t="shared" si="10"/>
        <v>05011050080000400</v>
      </c>
    </row>
    <row r="320" spans="1:9">
      <c r="A320" s="329" t="s">
        <v>1513</v>
      </c>
      <c r="B320" s="330" t="s">
        <v>5</v>
      </c>
      <c r="C320" s="330" t="s">
        <v>474</v>
      </c>
      <c r="D320" s="330" t="s">
        <v>864</v>
      </c>
      <c r="E320" s="330" t="s">
        <v>101</v>
      </c>
      <c r="F320" s="368">
        <v>1249983</v>
      </c>
      <c r="G320" s="368">
        <v>1249983</v>
      </c>
      <c r="H320" s="368">
        <f t="shared" si="9"/>
        <v>100</v>
      </c>
      <c r="I320" s="147" t="str">
        <f t="shared" si="10"/>
        <v>05011050080000410</v>
      </c>
    </row>
    <row r="321" spans="1:9" ht="38.25">
      <c r="A321" s="329" t="s">
        <v>493</v>
      </c>
      <c r="B321" s="330" t="s">
        <v>5</v>
      </c>
      <c r="C321" s="330" t="s">
        <v>474</v>
      </c>
      <c r="D321" s="330" t="s">
        <v>864</v>
      </c>
      <c r="E321" s="330" t="s">
        <v>494</v>
      </c>
      <c r="F321" s="368">
        <v>1249983</v>
      </c>
      <c r="G321" s="368">
        <v>1249983</v>
      </c>
      <c r="H321" s="368">
        <f t="shared" si="9"/>
        <v>100</v>
      </c>
      <c r="I321" s="147" t="str">
        <f t="shared" si="10"/>
        <v>05011050080000412</v>
      </c>
    </row>
    <row r="322" spans="1:9">
      <c r="A322" s="329" t="s">
        <v>180</v>
      </c>
      <c r="B322" s="330" t="s">
        <v>5</v>
      </c>
      <c r="C322" s="330" t="s">
        <v>452</v>
      </c>
      <c r="D322" s="330" t="s">
        <v>1468</v>
      </c>
      <c r="E322" s="330" t="s">
        <v>1468</v>
      </c>
      <c r="F322" s="368">
        <f>F323+F341</f>
        <v>185979676.22</v>
      </c>
      <c r="G322" s="368">
        <f>G323+G341</f>
        <v>185941580.69</v>
      </c>
      <c r="H322" s="368">
        <f t="shared" si="9"/>
        <v>99.979516294051976</v>
      </c>
      <c r="I322" s="147" t="str">
        <f t="shared" si="10"/>
        <v>0502</v>
      </c>
    </row>
    <row r="323" spans="1:9" ht="38.25">
      <c r="A323" s="329" t="s">
        <v>545</v>
      </c>
      <c r="B323" s="330" t="s">
        <v>5</v>
      </c>
      <c r="C323" s="330" t="s">
        <v>452</v>
      </c>
      <c r="D323" s="330" t="s">
        <v>1113</v>
      </c>
      <c r="E323" s="330" t="s">
        <v>1468</v>
      </c>
      <c r="F323" s="368">
        <v>185443776.22</v>
      </c>
      <c r="G323" s="368">
        <v>185443776.22</v>
      </c>
      <c r="H323" s="368">
        <f t="shared" si="9"/>
        <v>100</v>
      </c>
      <c r="I323" s="147" t="str">
        <f t="shared" si="10"/>
        <v>05020300000000</v>
      </c>
    </row>
    <row r="324" spans="1:9" ht="38.25">
      <c r="A324" s="329" t="s">
        <v>700</v>
      </c>
      <c r="B324" s="330" t="s">
        <v>5</v>
      </c>
      <c r="C324" s="330" t="s">
        <v>452</v>
      </c>
      <c r="D324" s="330" t="s">
        <v>1114</v>
      </c>
      <c r="E324" s="330" t="s">
        <v>1468</v>
      </c>
      <c r="F324" s="368">
        <v>185443776.22</v>
      </c>
      <c r="G324" s="368">
        <v>185443776.22</v>
      </c>
      <c r="H324" s="368">
        <f t="shared" si="9"/>
        <v>100</v>
      </c>
      <c r="I324" s="147" t="str">
        <f t="shared" si="10"/>
        <v>05020320000000</v>
      </c>
    </row>
    <row r="325" spans="1:9" ht="114.75">
      <c r="A325" s="329" t="s">
        <v>1423</v>
      </c>
      <c r="B325" s="330" t="s">
        <v>5</v>
      </c>
      <c r="C325" s="330" t="s">
        <v>452</v>
      </c>
      <c r="D325" s="330" t="s">
        <v>807</v>
      </c>
      <c r="E325" s="330" t="s">
        <v>1468</v>
      </c>
      <c r="F325" s="368">
        <v>169924045</v>
      </c>
      <c r="G325" s="368">
        <v>169924045</v>
      </c>
      <c r="H325" s="368">
        <f t="shared" si="9"/>
        <v>100</v>
      </c>
      <c r="I325" s="147" t="str">
        <f t="shared" si="10"/>
        <v>05020320075700</v>
      </c>
    </row>
    <row r="326" spans="1:9">
      <c r="A326" s="329" t="s">
        <v>1757</v>
      </c>
      <c r="B326" s="330" t="s">
        <v>5</v>
      </c>
      <c r="C326" s="330" t="s">
        <v>452</v>
      </c>
      <c r="D326" s="330" t="s">
        <v>807</v>
      </c>
      <c r="E326" s="330" t="s">
        <v>1758</v>
      </c>
      <c r="F326" s="368">
        <v>169924045</v>
      </c>
      <c r="G326" s="368">
        <v>169924045</v>
      </c>
      <c r="H326" s="368">
        <f t="shared" si="9"/>
        <v>100</v>
      </c>
      <c r="I326" s="147" t="str">
        <f t="shared" si="10"/>
        <v>05020320075700800</v>
      </c>
    </row>
    <row r="327" spans="1:9" ht="51">
      <c r="A327" s="329" t="s">
        <v>1512</v>
      </c>
      <c r="B327" s="330" t="s">
        <v>5</v>
      </c>
      <c r="C327" s="330" t="s">
        <v>452</v>
      </c>
      <c r="D327" s="330" t="s">
        <v>807</v>
      </c>
      <c r="E327" s="330" t="s">
        <v>442</v>
      </c>
      <c r="F327" s="368">
        <v>169924045</v>
      </c>
      <c r="G327" s="368">
        <v>169924045</v>
      </c>
      <c r="H327" s="368">
        <f t="shared" si="9"/>
        <v>100</v>
      </c>
      <c r="I327" s="147" t="str">
        <f t="shared" si="10"/>
        <v>05020320075700810</v>
      </c>
    </row>
    <row r="328" spans="1:9" ht="63.75">
      <c r="A328" s="329" t="s">
        <v>1582</v>
      </c>
      <c r="B328" s="330" t="s">
        <v>5</v>
      </c>
      <c r="C328" s="330" t="s">
        <v>452</v>
      </c>
      <c r="D328" s="330" t="s">
        <v>807</v>
      </c>
      <c r="E328" s="330" t="s">
        <v>1583</v>
      </c>
      <c r="F328" s="368">
        <v>169924045</v>
      </c>
      <c r="G328" s="368">
        <v>169924045</v>
      </c>
      <c r="H328" s="368">
        <f t="shared" ref="H328:H391" si="11">G328/F328*100</f>
        <v>100</v>
      </c>
      <c r="I328" s="147" t="str">
        <f t="shared" si="10"/>
        <v>05020320075700811</v>
      </c>
    </row>
    <row r="329" spans="1:9" ht="153">
      <c r="A329" s="329" t="s">
        <v>1424</v>
      </c>
      <c r="B329" s="330" t="s">
        <v>5</v>
      </c>
      <c r="C329" s="330" t="s">
        <v>452</v>
      </c>
      <c r="D329" s="330" t="s">
        <v>806</v>
      </c>
      <c r="E329" s="330" t="s">
        <v>1468</v>
      </c>
      <c r="F329" s="368">
        <v>15263600</v>
      </c>
      <c r="G329" s="368">
        <v>15263600</v>
      </c>
      <c r="H329" s="368">
        <f t="shared" si="11"/>
        <v>100</v>
      </c>
      <c r="I329" s="147" t="str">
        <f t="shared" si="10"/>
        <v>05020320075770</v>
      </c>
    </row>
    <row r="330" spans="1:9">
      <c r="A330" s="329" t="s">
        <v>1757</v>
      </c>
      <c r="B330" s="330" t="s">
        <v>5</v>
      </c>
      <c r="C330" s="330" t="s">
        <v>452</v>
      </c>
      <c r="D330" s="330" t="s">
        <v>806</v>
      </c>
      <c r="E330" s="330" t="s">
        <v>1758</v>
      </c>
      <c r="F330" s="368">
        <v>15263600</v>
      </c>
      <c r="G330" s="368">
        <v>15263600</v>
      </c>
      <c r="H330" s="368">
        <f t="shared" si="11"/>
        <v>100</v>
      </c>
      <c r="I330" s="147" t="str">
        <f t="shared" si="10"/>
        <v>05020320075770800</v>
      </c>
    </row>
    <row r="331" spans="1:9" ht="51">
      <c r="A331" s="329" t="s">
        <v>1512</v>
      </c>
      <c r="B331" s="330" t="s">
        <v>5</v>
      </c>
      <c r="C331" s="330" t="s">
        <v>452</v>
      </c>
      <c r="D331" s="330" t="s">
        <v>806</v>
      </c>
      <c r="E331" s="330" t="s">
        <v>442</v>
      </c>
      <c r="F331" s="368">
        <v>15263600</v>
      </c>
      <c r="G331" s="368">
        <v>15263600</v>
      </c>
      <c r="H331" s="368">
        <f t="shared" si="11"/>
        <v>100</v>
      </c>
      <c r="I331" s="147" t="str">
        <f t="shared" si="10"/>
        <v>05020320075770810</v>
      </c>
    </row>
    <row r="332" spans="1:9" ht="63.75">
      <c r="A332" s="329" t="s">
        <v>1582</v>
      </c>
      <c r="B332" s="330" t="s">
        <v>5</v>
      </c>
      <c r="C332" s="330" t="s">
        <v>452</v>
      </c>
      <c r="D332" s="330" t="s">
        <v>806</v>
      </c>
      <c r="E332" s="330" t="s">
        <v>1583</v>
      </c>
      <c r="F332" s="368">
        <v>15263600</v>
      </c>
      <c r="G332" s="368">
        <v>15263600</v>
      </c>
      <c r="H332" s="368">
        <f t="shared" si="11"/>
        <v>100</v>
      </c>
      <c r="I332" s="147" t="str">
        <f t="shared" si="10"/>
        <v>05020320075770811</v>
      </c>
    </row>
    <row r="333" spans="1:9" ht="165.75">
      <c r="A333" s="329" t="s">
        <v>2043</v>
      </c>
      <c r="B333" s="330" t="s">
        <v>5</v>
      </c>
      <c r="C333" s="330" t="s">
        <v>452</v>
      </c>
      <c r="D333" s="330" t="s">
        <v>2044</v>
      </c>
      <c r="E333" s="330" t="s">
        <v>1468</v>
      </c>
      <c r="F333" s="368">
        <v>255750.22</v>
      </c>
      <c r="G333" s="368">
        <v>255750.22</v>
      </c>
      <c r="H333" s="368">
        <f t="shared" si="11"/>
        <v>100</v>
      </c>
      <c r="I333" s="147" t="str">
        <f t="shared" si="10"/>
        <v>05020320075800</v>
      </c>
    </row>
    <row r="334" spans="1:9">
      <c r="A334" s="329" t="s">
        <v>1757</v>
      </c>
      <c r="B334" s="330" t="s">
        <v>5</v>
      </c>
      <c r="C334" s="330" t="s">
        <v>452</v>
      </c>
      <c r="D334" s="330" t="s">
        <v>2044</v>
      </c>
      <c r="E334" s="330" t="s">
        <v>1758</v>
      </c>
      <c r="F334" s="368">
        <v>255750.22</v>
      </c>
      <c r="G334" s="368">
        <v>255750.22</v>
      </c>
      <c r="H334" s="368">
        <f t="shared" si="11"/>
        <v>100</v>
      </c>
      <c r="I334" s="147" t="str">
        <f t="shared" si="10"/>
        <v>05020320075800800</v>
      </c>
    </row>
    <row r="335" spans="1:9" ht="51">
      <c r="A335" s="329" t="s">
        <v>1512</v>
      </c>
      <c r="B335" s="330" t="s">
        <v>5</v>
      </c>
      <c r="C335" s="330" t="s">
        <v>452</v>
      </c>
      <c r="D335" s="330" t="s">
        <v>2044</v>
      </c>
      <c r="E335" s="330" t="s">
        <v>442</v>
      </c>
      <c r="F335" s="368">
        <v>255750.22</v>
      </c>
      <c r="G335" s="368">
        <v>255750.22</v>
      </c>
      <c r="H335" s="368">
        <f t="shared" si="11"/>
        <v>100</v>
      </c>
      <c r="I335" s="147" t="str">
        <f t="shared" si="10"/>
        <v>05020320075800810</v>
      </c>
    </row>
    <row r="336" spans="1:9" ht="63.75">
      <c r="A336" s="329" t="s">
        <v>1582</v>
      </c>
      <c r="B336" s="330" t="s">
        <v>5</v>
      </c>
      <c r="C336" s="330" t="s">
        <v>452</v>
      </c>
      <c r="D336" s="330" t="s">
        <v>2044</v>
      </c>
      <c r="E336" s="330" t="s">
        <v>1583</v>
      </c>
      <c r="F336" s="368">
        <v>255750.22</v>
      </c>
      <c r="G336" s="368">
        <v>255750.22</v>
      </c>
      <c r="H336" s="368">
        <f t="shared" si="11"/>
        <v>100</v>
      </c>
      <c r="I336" s="147" t="str">
        <f t="shared" si="10"/>
        <v>05020320075800811</v>
      </c>
    </row>
    <row r="337" spans="1:9" ht="165.75">
      <c r="A337" s="329" t="s">
        <v>2065</v>
      </c>
      <c r="B337" s="330" t="s">
        <v>5</v>
      </c>
      <c r="C337" s="330" t="s">
        <v>452</v>
      </c>
      <c r="D337" s="330" t="s">
        <v>2066</v>
      </c>
      <c r="E337" s="330" t="s">
        <v>1468</v>
      </c>
      <c r="F337" s="368">
        <v>381</v>
      </c>
      <c r="G337" s="368">
        <v>381</v>
      </c>
      <c r="H337" s="368">
        <f t="shared" si="11"/>
        <v>100</v>
      </c>
      <c r="I337" s="147" t="str">
        <f t="shared" si="10"/>
        <v>050203200S5800</v>
      </c>
    </row>
    <row r="338" spans="1:9">
      <c r="A338" s="329" t="s">
        <v>1757</v>
      </c>
      <c r="B338" s="330" t="s">
        <v>5</v>
      </c>
      <c r="C338" s="330" t="s">
        <v>452</v>
      </c>
      <c r="D338" s="330" t="s">
        <v>2066</v>
      </c>
      <c r="E338" s="330" t="s">
        <v>1758</v>
      </c>
      <c r="F338" s="368">
        <v>381</v>
      </c>
      <c r="G338" s="368">
        <v>381</v>
      </c>
      <c r="H338" s="368">
        <f t="shared" si="11"/>
        <v>100</v>
      </c>
      <c r="I338" s="147" t="str">
        <f t="shared" si="10"/>
        <v>050203200S5800800</v>
      </c>
    </row>
    <row r="339" spans="1:9" ht="51">
      <c r="A339" s="329" t="s">
        <v>1512</v>
      </c>
      <c r="B339" s="330" t="s">
        <v>5</v>
      </c>
      <c r="C339" s="330" t="s">
        <v>452</v>
      </c>
      <c r="D339" s="330" t="s">
        <v>2066</v>
      </c>
      <c r="E339" s="330" t="s">
        <v>442</v>
      </c>
      <c r="F339" s="368">
        <v>381</v>
      </c>
      <c r="G339" s="368">
        <v>381</v>
      </c>
      <c r="H339" s="368">
        <f t="shared" si="11"/>
        <v>100</v>
      </c>
      <c r="I339" s="147" t="str">
        <f t="shared" si="10"/>
        <v>050203200S5800810</v>
      </c>
    </row>
    <row r="340" spans="1:9" ht="63.75">
      <c r="A340" s="329" t="s">
        <v>1582</v>
      </c>
      <c r="B340" s="330" t="s">
        <v>5</v>
      </c>
      <c r="C340" s="330" t="s">
        <v>452</v>
      </c>
      <c r="D340" s="330" t="s">
        <v>2066</v>
      </c>
      <c r="E340" s="330" t="s">
        <v>1583</v>
      </c>
      <c r="F340" s="368">
        <v>381</v>
      </c>
      <c r="G340" s="368">
        <v>381</v>
      </c>
      <c r="H340" s="368">
        <f t="shared" si="11"/>
        <v>100</v>
      </c>
      <c r="I340" s="147" t="str">
        <f t="shared" si="10"/>
        <v>050203200S5800811</v>
      </c>
    </row>
    <row r="341" spans="1:9" ht="25.5">
      <c r="A341" s="329" t="s">
        <v>710</v>
      </c>
      <c r="B341" s="330" t="s">
        <v>5</v>
      </c>
      <c r="C341" s="330" t="s">
        <v>452</v>
      </c>
      <c r="D341" s="330" t="s">
        <v>1151</v>
      </c>
      <c r="E341" s="330" t="s">
        <v>1468</v>
      </c>
      <c r="F341" s="368">
        <v>535900</v>
      </c>
      <c r="G341" s="368">
        <v>497804.47</v>
      </c>
      <c r="H341" s="368">
        <f t="shared" si="11"/>
        <v>92.891298749766733</v>
      </c>
      <c r="I341" s="147" t="str">
        <f t="shared" si="10"/>
        <v>05029000000000</v>
      </c>
    </row>
    <row r="342" spans="1:9" ht="38.25">
      <c r="A342" s="329" t="s">
        <v>516</v>
      </c>
      <c r="B342" s="330" t="s">
        <v>5</v>
      </c>
      <c r="C342" s="330" t="s">
        <v>452</v>
      </c>
      <c r="D342" s="330" t="s">
        <v>1152</v>
      </c>
      <c r="E342" s="330" t="s">
        <v>1468</v>
      </c>
      <c r="F342" s="368">
        <v>498000</v>
      </c>
      <c r="G342" s="368">
        <v>497804.47</v>
      </c>
      <c r="H342" s="368">
        <f t="shared" si="11"/>
        <v>99.960736947791162</v>
      </c>
      <c r="I342" s="147" t="str">
        <f t="shared" si="10"/>
        <v>05029010000000</v>
      </c>
    </row>
    <row r="343" spans="1:9" ht="38.25">
      <c r="A343" s="329" t="s">
        <v>516</v>
      </c>
      <c r="B343" s="330" t="s">
        <v>5</v>
      </c>
      <c r="C343" s="330" t="s">
        <v>452</v>
      </c>
      <c r="D343" s="330" t="s">
        <v>921</v>
      </c>
      <c r="E343" s="330" t="s">
        <v>1468</v>
      </c>
      <c r="F343" s="368">
        <v>498000</v>
      </c>
      <c r="G343" s="368">
        <v>497804.47</v>
      </c>
      <c r="H343" s="368">
        <f t="shared" si="11"/>
        <v>99.960736947791162</v>
      </c>
      <c r="I343" s="147" t="str">
        <f t="shared" si="10"/>
        <v>05029010080000</v>
      </c>
    </row>
    <row r="344" spans="1:9" ht="25.5">
      <c r="A344" s="329" t="s">
        <v>1755</v>
      </c>
      <c r="B344" s="330" t="s">
        <v>5</v>
      </c>
      <c r="C344" s="330" t="s">
        <v>452</v>
      </c>
      <c r="D344" s="330" t="s">
        <v>921</v>
      </c>
      <c r="E344" s="330" t="s">
        <v>1756</v>
      </c>
      <c r="F344" s="368">
        <v>498000</v>
      </c>
      <c r="G344" s="368">
        <v>497804.47</v>
      </c>
      <c r="H344" s="368">
        <f t="shared" si="11"/>
        <v>99.960736947791162</v>
      </c>
      <c r="I344" s="147" t="str">
        <f t="shared" si="10"/>
        <v>05029010080000200</v>
      </c>
    </row>
    <row r="345" spans="1:9" ht="38.25">
      <c r="A345" s="329" t="s">
        <v>1502</v>
      </c>
      <c r="B345" s="330" t="s">
        <v>5</v>
      </c>
      <c r="C345" s="330" t="s">
        <v>452</v>
      </c>
      <c r="D345" s="330" t="s">
        <v>921</v>
      </c>
      <c r="E345" s="330" t="s">
        <v>1503</v>
      </c>
      <c r="F345" s="368">
        <v>498000</v>
      </c>
      <c r="G345" s="368">
        <v>497804.47</v>
      </c>
      <c r="H345" s="368">
        <f t="shared" si="11"/>
        <v>99.960736947791162</v>
      </c>
      <c r="I345" s="147" t="str">
        <f t="shared" si="10"/>
        <v>05029010080000240</v>
      </c>
    </row>
    <row r="346" spans="1:9">
      <c r="A346" s="329" t="s">
        <v>1577</v>
      </c>
      <c r="B346" s="330" t="s">
        <v>5</v>
      </c>
      <c r="C346" s="330" t="s">
        <v>452</v>
      </c>
      <c r="D346" s="330" t="s">
        <v>921</v>
      </c>
      <c r="E346" s="330" t="s">
        <v>416</v>
      </c>
      <c r="F346" s="368">
        <v>498000</v>
      </c>
      <c r="G346" s="368">
        <v>497804.47</v>
      </c>
      <c r="H346" s="368">
        <f t="shared" si="11"/>
        <v>99.960736947791162</v>
      </c>
      <c r="I346" s="147" t="str">
        <f t="shared" si="10"/>
        <v>05029010080000244</v>
      </c>
    </row>
    <row r="347" spans="1:9" ht="25.5">
      <c r="A347" s="329" t="s">
        <v>520</v>
      </c>
      <c r="B347" s="330" t="s">
        <v>5</v>
      </c>
      <c r="C347" s="330" t="s">
        <v>452</v>
      </c>
      <c r="D347" s="330" t="s">
        <v>1155</v>
      </c>
      <c r="E347" s="330" t="s">
        <v>1468</v>
      </c>
      <c r="F347" s="368">
        <v>37900</v>
      </c>
      <c r="G347" s="368">
        <v>0</v>
      </c>
      <c r="H347" s="368">
        <f t="shared" si="11"/>
        <v>0</v>
      </c>
      <c r="I347" s="147" t="str">
        <f t="shared" si="10"/>
        <v>05029090000000</v>
      </c>
    </row>
    <row r="348" spans="1:9" ht="51">
      <c r="A348" s="329" t="s">
        <v>808</v>
      </c>
      <c r="B348" s="330" t="s">
        <v>5</v>
      </c>
      <c r="C348" s="330" t="s">
        <v>452</v>
      </c>
      <c r="D348" s="330" t="s">
        <v>809</v>
      </c>
      <c r="E348" s="330" t="s">
        <v>1468</v>
      </c>
      <c r="F348" s="368">
        <v>37900</v>
      </c>
      <c r="G348" s="368">
        <v>0</v>
      </c>
      <c r="H348" s="368">
        <f t="shared" si="11"/>
        <v>0</v>
      </c>
      <c r="I348" s="147" t="str">
        <f t="shared" si="10"/>
        <v>050290900Ш0000</v>
      </c>
    </row>
    <row r="349" spans="1:9" ht="25.5">
      <c r="A349" s="329" t="s">
        <v>1755</v>
      </c>
      <c r="B349" s="330" t="s">
        <v>5</v>
      </c>
      <c r="C349" s="330" t="s">
        <v>452</v>
      </c>
      <c r="D349" s="330" t="s">
        <v>809</v>
      </c>
      <c r="E349" s="330" t="s">
        <v>1756</v>
      </c>
      <c r="F349" s="368">
        <v>37900</v>
      </c>
      <c r="G349" s="368">
        <v>0</v>
      </c>
      <c r="H349" s="368">
        <f t="shared" si="11"/>
        <v>0</v>
      </c>
      <c r="I349" s="147" t="str">
        <f t="shared" si="10"/>
        <v>050290900Ш0000200</v>
      </c>
    </row>
    <row r="350" spans="1:9" ht="38.25">
      <c r="A350" s="329" t="s">
        <v>1502</v>
      </c>
      <c r="B350" s="330" t="s">
        <v>5</v>
      </c>
      <c r="C350" s="330" t="s">
        <v>452</v>
      </c>
      <c r="D350" s="330" t="s">
        <v>809</v>
      </c>
      <c r="E350" s="330" t="s">
        <v>1503</v>
      </c>
      <c r="F350" s="368">
        <v>37900</v>
      </c>
      <c r="G350" s="368">
        <v>0</v>
      </c>
      <c r="H350" s="368">
        <f t="shared" si="11"/>
        <v>0</v>
      </c>
      <c r="I350" s="147" t="str">
        <f t="shared" si="10"/>
        <v>050290900Ш0000240</v>
      </c>
    </row>
    <row r="351" spans="1:9">
      <c r="A351" s="329" t="s">
        <v>1577</v>
      </c>
      <c r="B351" s="330" t="s">
        <v>5</v>
      </c>
      <c r="C351" s="330" t="s">
        <v>452</v>
      </c>
      <c r="D351" s="330" t="s">
        <v>809</v>
      </c>
      <c r="E351" s="330" t="s">
        <v>416</v>
      </c>
      <c r="F351" s="368">
        <v>37900</v>
      </c>
      <c r="G351" s="368">
        <v>0</v>
      </c>
      <c r="H351" s="368">
        <f t="shared" si="11"/>
        <v>0</v>
      </c>
      <c r="I351" s="147" t="str">
        <f t="shared" si="10"/>
        <v>050290900Ш0000244</v>
      </c>
    </row>
    <row r="352" spans="1:9">
      <c r="A352" s="329" t="s">
        <v>46</v>
      </c>
      <c r="B352" s="330" t="s">
        <v>5</v>
      </c>
      <c r="C352" s="330" t="s">
        <v>476</v>
      </c>
      <c r="D352" s="330" t="s">
        <v>1468</v>
      </c>
      <c r="E352" s="330" t="s">
        <v>1468</v>
      </c>
      <c r="F352" s="368">
        <v>2454739.4</v>
      </c>
      <c r="G352" s="368">
        <v>2454739.4</v>
      </c>
      <c r="H352" s="368">
        <f t="shared" si="11"/>
        <v>100</v>
      </c>
      <c r="I352" s="147" t="str">
        <f t="shared" si="10"/>
        <v>0503</v>
      </c>
    </row>
    <row r="353" spans="1:9" ht="38.25">
      <c r="A353" s="329" t="s">
        <v>545</v>
      </c>
      <c r="B353" s="330" t="s">
        <v>5</v>
      </c>
      <c r="C353" s="330" t="s">
        <v>476</v>
      </c>
      <c r="D353" s="330" t="s">
        <v>1113</v>
      </c>
      <c r="E353" s="330" t="s">
        <v>1468</v>
      </c>
      <c r="F353" s="368">
        <v>2154739.4</v>
      </c>
      <c r="G353" s="368">
        <v>2154739.4</v>
      </c>
      <c r="H353" s="368">
        <f t="shared" si="11"/>
        <v>100</v>
      </c>
      <c r="I353" s="147" t="str">
        <f t="shared" si="10"/>
        <v>05030300000000</v>
      </c>
    </row>
    <row r="354" spans="1:9" ht="25.5">
      <c r="A354" s="329" t="s">
        <v>950</v>
      </c>
      <c r="B354" s="330" t="s">
        <v>5</v>
      </c>
      <c r="C354" s="330" t="s">
        <v>476</v>
      </c>
      <c r="D354" s="330" t="s">
        <v>1201</v>
      </c>
      <c r="E354" s="330" t="s">
        <v>1468</v>
      </c>
      <c r="F354" s="368">
        <v>2154739.4</v>
      </c>
      <c r="G354" s="368">
        <v>2154739.4</v>
      </c>
      <c r="H354" s="368">
        <f t="shared" si="11"/>
        <v>100</v>
      </c>
      <c r="I354" s="147" t="str">
        <f t="shared" si="10"/>
        <v>05030360000000</v>
      </c>
    </row>
    <row r="355" spans="1:9" ht="76.5">
      <c r="A355" s="329" t="s">
        <v>1075</v>
      </c>
      <c r="B355" s="330" t="s">
        <v>5</v>
      </c>
      <c r="C355" s="330" t="s">
        <v>476</v>
      </c>
      <c r="D355" s="330" t="s">
        <v>933</v>
      </c>
      <c r="E355" s="330" t="s">
        <v>1468</v>
      </c>
      <c r="F355" s="368">
        <v>2154739.4</v>
      </c>
      <c r="G355" s="368">
        <v>2154739.4</v>
      </c>
      <c r="H355" s="368">
        <f t="shared" si="11"/>
        <v>100</v>
      </c>
      <c r="I355" s="147" t="str">
        <f t="shared" si="10"/>
        <v>05030360080000</v>
      </c>
    </row>
    <row r="356" spans="1:9" ht="25.5">
      <c r="A356" s="329" t="s">
        <v>1755</v>
      </c>
      <c r="B356" s="330" t="s">
        <v>5</v>
      </c>
      <c r="C356" s="330" t="s">
        <v>476</v>
      </c>
      <c r="D356" s="330" t="s">
        <v>933</v>
      </c>
      <c r="E356" s="330" t="s">
        <v>1756</v>
      </c>
      <c r="F356" s="368">
        <v>2154739.4</v>
      </c>
      <c r="G356" s="368">
        <v>2154739.4</v>
      </c>
      <c r="H356" s="368">
        <f t="shared" si="11"/>
        <v>100</v>
      </c>
      <c r="I356" s="147" t="str">
        <f t="shared" si="10"/>
        <v>05030360080000200</v>
      </c>
    </row>
    <row r="357" spans="1:9" ht="38.25">
      <c r="A357" s="329" t="s">
        <v>1502</v>
      </c>
      <c r="B357" s="330" t="s">
        <v>5</v>
      </c>
      <c r="C357" s="330" t="s">
        <v>476</v>
      </c>
      <c r="D357" s="330" t="s">
        <v>933</v>
      </c>
      <c r="E357" s="330" t="s">
        <v>1503</v>
      </c>
      <c r="F357" s="368">
        <v>2154739.4</v>
      </c>
      <c r="G357" s="368">
        <v>2154739.4</v>
      </c>
      <c r="H357" s="368">
        <f t="shared" si="11"/>
        <v>100</v>
      </c>
      <c r="I357" s="147" t="str">
        <f t="shared" si="10"/>
        <v>05030360080000240</v>
      </c>
    </row>
    <row r="358" spans="1:9">
      <c r="A358" s="329" t="s">
        <v>1577</v>
      </c>
      <c r="B358" s="330" t="s">
        <v>5</v>
      </c>
      <c r="C358" s="330" t="s">
        <v>476</v>
      </c>
      <c r="D358" s="330" t="s">
        <v>933</v>
      </c>
      <c r="E358" s="330" t="s">
        <v>416</v>
      </c>
      <c r="F358" s="368">
        <v>2154739.4</v>
      </c>
      <c r="G358" s="368">
        <v>2154739.4</v>
      </c>
      <c r="H358" s="368">
        <f t="shared" si="11"/>
        <v>100</v>
      </c>
      <c r="I358" s="147" t="str">
        <f t="shared" si="10"/>
        <v>05030360080000244</v>
      </c>
    </row>
    <row r="359" spans="1:9" ht="25.5">
      <c r="A359" s="329" t="s">
        <v>710</v>
      </c>
      <c r="B359" s="330" t="s">
        <v>5</v>
      </c>
      <c r="C359" s="330" t="s">
        <v>476</v>
      </c>
      <c r="D359" s="330" t="s">
        <v>1151</v>
      </c>
      <c r="E359" s="330" t="s">
        <v>1468</v>
      </c>
      <c r="F359" s="368">
        <v>300000</v>
      </c>
      <c r="G359" s="368">
        <v>300000</v>
      </c>
      <c r="H359" s="368">
        <f t="shared" si="11"/>
        <v>100</v>
      </c>
      <c r="I359" s="147" t="str">
        <f t="shared" si="10"/>
        <v>05039000000000</v>
      </c>
    </row>
    <row r="360" spans="1:9" ht="38.25">
      <c r="A360" s="329" t="s">
        <v>516</v>
      </c>
      <c r="B360" s="330" t="s">
        <v>5</v>
      </c>
      <c r="C360" s="330" t="s">
        <v>476</v>
      </c>
      <c r="D360" s="330" t="s">
        <v>1152</v>
      </c>
      <c r="E360" s="330" t="s">
        <v>1468</v>
      </c>
      <c r="F360" s="368">
        <v>300000</v>
      </c>
      <c r="G360" s="368">
        <v>300000</v>
      </c>
      <c r="H360" s="368">
        <f t="shared" si="11"/>
        <v>100</v>
      </c>
      <c r="I360" s="147" t="str">
        <f t="shared" si="10"/>
        <v>05039010000000</v>
      </c>
    </row>
    <row r="361" spans="1:9" ht="38.25">
      <c r="A361" s="329" t="s">
        <v>516</v>
      </c>
      <c r="B361" s="330" t="s">
        <v>5</v>
      </c>
      <c r="C361" s="330" t="s">
        <v>476</v>
      </c>
      <c r="D361" s="330" t="s">
        <v>921</v>
      </c>
      <c r="E361" s="330" t="s">
        <v>1468</v>
      </c>
      <c r="F361" s="368">
        <v>300000</v>
      </c>
      <c r="G361" s="368">
        <v>300000</v>
      </c>
      <c r="H361" s="368">
        <f t="shared" si="11"/>
        <v>100</v>
      </c>
      <c r="I361" s="147" t="str">
        <f t="shared" si="10"/>
        <v>05039010080000</v>
      </c>
    </row>
    <row r="362" spans="1:9" ht="25.5">
      <c r="A362" s="329" t="s">
        <v>1755</v>
      </c>
      <c r="B362" s="330" t="s">
        <v>5</v>
      </c>
      <c r="C362" s="330" t="s">
        <v>476</v>
      </c>
      <c r="D362" s="330" t="s">
        <v>921</v>
      </c>
      <c r="E362" s="330" t="s">
        <v>1756</v>
      </c>
      <c r="F362" s="368">
        <v>300000</v>
      </c>
      <c r="G362" s="368">
        <v>300000</v>
      </c>
      <c r="H362" s="368">
        <f t="shared" si="11"/>
        <v>100</v>
      </c>
      <c r="I362" s="147" t="str">
        <f t="shared" si="10"/>
        <v>05039010080000200</v>
      </c>
    </row>
    <row r="363" spans="1:9" ht="38.25">
      <c r="A363" s="329" t="s">
        <v>1502</v>
      </c>
      <c r="B363" s="330" t="s">
        <v>5</v>
      </c>
      <c r="C363" s="330" t="s">
        <v>476</v>
      </c>
      <c r="D363" s="330" t="s">
        <v>921</v>
      </c>
      <c r="E363" s="330" t="s">
        <v>1503</v>
      </c>
      <c r="F363" s="368">
        <v>300000</v>
      </c>
      <c r="G363" s="368">
        <v>300000</v>
      </c>
      <c r="H363" s="368">
        <f t="shared" si="11"/>
        <v>100</v>
      </c>
      <c r="I363" s="147" t="str">
        <f t="shared" si="10"/>
        <v>05039010080000240</v>
      </c>
    </row>
    <row r="364" spans="1:9">
      <c r="A364" s="329" t="s">
        <v>1577</v>
      </c>
      <c r="B364" s="330" t="s">
        <v>5</v>
      </c>
      <c r="C364" s="330" t="s">
        <v>476</v>
      </c>
      <c r="D364" s="330" t="s">
        <v>921</v>
      </c>
      <c r="E364" s="330" t="s">
        <v>416</v>
      </c>
      <c r="F364" s="368">
        <v>300000</v>
      </c>
      <c r="G364" s="368">
        <v>300000</v>
      </c>
      <c r="H364" s="368">
        <f t="shared" si="11"/>
        <v>100</v>
      </c>
      <c r="I364" s="147" t="str">
        <f t="shared" si="10"/>
        <v>05039010080000244</v>
      </c>
    </row>
    <row r="365" spans="1:9">
      <c r="A365" s="329" t="s">
        <v>174</v>
      </c>
      <c r="B365" s="330" t="s">
        <v>5</v>
      </c>
      <c r="C365" s="330" t="s">
        <v>1365</v>
      </c>
      <c r="D365" s="330" t="s">
        <v>1468</v>
      </c>
      <c r="E365" s="330" t="s">
        <v>1468</v>
      </c>
      <c r="F365" s="368">
        <v>6098721.6900000004</v>
      </c>
      <c r="G365" s="368">
        <f>G366+G373+G380+G387</f>
        <v>2891421.36</v>
      </c>
      <c r="H365" s="368">
        <f t="shared" si="11"/>
        <v>47.410285416713279</v>
      </c>
      <c r="I365" s="147" t="str">
        <f t="shared" si="10"/>
        <v>1000</v>
      </c>
    </row>
    <row r="366" spans="1:9">
      <c r="A366" s="329" t="s">
        <v>126</v>
      </c>
      <c r="B366" s="330" t="s">
        <v>5</v>
      </c>
      <c r="C366" s="330" t="s">
        <v>463</v>
      </c>
      <c r="D366" s="330" t="s">
        <v>1468</v>
      </c>
      <c r="E366" s="330" t="s">
        <v>1468</v>
      </c>
      <c r="F366" s="368">
        <v>1510430.09</v>
      </c>
      <c r="G366" s="368">
        <v>1510430.09</v>
      </c>
      <c r="H366" s="368">
        <f t="shared" si="11"/>
        <v>100</v>
      </c>
      <c r="I366" s="147" t="str">
        <f t="shared" si="10"/>
        <v>1001</v>
      </c>
    </row>
    <row r="367" spans="1:9" ht="25.5">
      <c r="A367" s="329" t="s">
        <v>696</v>
      </c>
      <c r="B367" s="330" t="s">
        <v>5</v>
      </c>
      <c r="C367" s="330" t="s">
        <v>463</v>
      </c>
      <c r="D367" s="330" t="s">
        <v>1108</v>
      </c>
      <c r="E367" s="330" t="s">
        <v>1468</v>
      </c>
      <c r="F367" s="368">
        <v>1510430.09</v>
      </c>
      <c r="G367" s="368">
        <v>1510430.09</v>
      </c>
      <c r="H367" s="368">
        <f t="shared" si="11"/>
        <v>100</v>
      </c>
      <c r="I367" s="147" t="str">
        <f t="shared" si="10"/>
        <v>10010200000000</v>
      </c>
    </row>
    <row r="368" spans="1:9" ht="38.25">
      <c r="A368" s="329" t="s">
        <v>697</v>
      </c>
      <c r="B368" s="330" t="s">
        <v>5</v>
      </c>
      <c r="C368" s="330" t="s">
        <v>463</v>
      </c>
      <c r="D368" s="330" t="s">
        <v>1109</v>
      </c>
      <c r="E368" s="330" t="s">
        <v>1468</v>
      </c>
      <c r="F368" s="368">
        <v>1510430.09</v>
      </c>
      <c r="G368" s="368">
        <v>1510430.09</v>
      </c>
      <c r="H368" s="368">
        <f t="shared" si="11"/>
        <v>100</v>
      </c>
      <c r="I368" s="147" t="str">
        <f t="shared" si="10"/>
        <v>10010210000000</v>
      </c>
    </row>
    <row r="369" spans="1:9" ht="102">
      <c r="A369" s="329" t="s">
        <v>597</v>
      </c>
      <c r="B369" s="330" t="s">
        <v>5</v>
      </c>
      <c r="C369" s="330" t="s">
        <v>463</v>
      </c>
      <c r="D369" s="330" t="s">
        <v>815</v>
      </c>
      <c r="E369" s="330" t="s">
        <v>1468</v>
      </c>
      <c r="F369" s="368">
        <v>1510430.09</v>
      </c>
      <c r="G369" s="368">
        <v>1510430.09</v>
      </c>
      <c r="H369" s="368">
        <f t="shared" si="11"/>
        <v>100</v>
      </c>
      <c r="I369" s="147" t="str">
        <f t="shared" si="10"/>
        <v>10010210080010</v>
      </c>
    </row>
    <row r="370" spans="1:9" ht="25.5">
      <c r="A370" s="329" t="s">
        <v>1759</v>
      </c>
      <c r="B370" s="330" t="s">
        <v>5</v>
      </c>
      <c r="C370" s="330" t="s">
        <v>463</v>
      </c>
      <c r="D370" s="330" t="s">
        <v>815</v>
      </c>
      <c r="E370" s="330" t="s">
        <v>1760</v>
      </c>
      <c r="F370" s="368">
        <v>1510430.09</v>
      </c>
      <c r="G370" s="368">
        <v>1510430.09</v>
      </c>
      <c r="H370" s="368">
        <f t="shared" si="11"/>
        <v>100</v>
      </c>
      <c r="I370" s="147" t="str">
        <f t="shared" si="10"/>
        <v>10010210080010300</v>
      </c>
    </row>
    <row r="371" spans="1:9" ht="25.5">
      <c r="A371" s="329" t="s">
        <v>1510</v>
      </c>
      <c r="B371" s="330" t="s">
        <v>5</v>
      </c>
      <c r="C371" s="330" t="s">
        <v>463</v>
      </c>
      <c r="D371" s="330" t="s">
        <v>815</v>
      </c>
      <c r="E371" s="330" t="s">
        <v>1511</v>
      </c>
      <c r="F371" s="368">
        <v>1510430.09</v>
      </c>
      <c r="G371" s="368">
        <v>1510430.09</v>
      </c>
      <c r="H371" s="368">
        <f t="shared" si="11"/>
        <v>100</v>
      </c>
      <c r="I371" s="147" t="str">
        <f t="shared" ref="I371:I431" si="12">CONCATENATE(C371,D371,E371)</f>
        <v>10010210080010310</v>
      </c>
    </row>
    <row r="372" spans="1:9">
      <c r="A372" s="329" t="s">
        <v>464</v>
      </c>
      <c r="B372" s="330" t="s">
        <v>5</v>
      </c>
      <c r="C372" s="330" t="s">
        <v>463</v>
      </c>
      <c r="D372" s="330" t="s">
        <v>815</v>
      </c>
      <c r="E372" s="330" t="s">
        <v>465</v>
      </c>
      <c r="F372" s="368">
        <v>1510430.09</v>
      </c>
      <c r="G372" s="368">
        <v>1510430.09</v>
      </c>
      <c r="H372" s="368">
        <f t="shared" si="11"/>
        <v>100</v>
      </c>
      <c r="I372" s="147" t="str">
        <f t="shared" si="12"/>
        <v>10010210080010312</v>
      </c>
    </row>
    <row r="373" spans="1:9">
      <c r="A373" s="329" t="s">
        <v>127</v>
      </c>
      <c r="B373" s="330" t="s">
        <v>5</v>
      </c>
      <c r="C373" s="330" t="s">
        <v>466</v>
      </c>
      <c r="D373" s="330" t="s">
        <v>1468</v>
      </c>
      <c r="E373" s="330" t="s">
        <v>1468</v>
      </c>
      <c r="F373" s="368">
        <v>195000</v>
      </c>
      <c r="G373" s="368">
        <v>195000</v>
      </c>
      <c r="H373" s="368">
        <f t="shared" si="11"/>
        <v>100</v>
      </c>
      <c r="I373" s="147" t="str">
        <f t="shared" si="12"/>
        <v>1003</v>
      </c>
    </row>
    <row r="374" spans="1:9" ht="25.5">
      <c r="A374" s="329" t="s">
        <v>710</v>
      </c>
      <c r="B374" s="330" t="s">
        <v>5</v>
      </c>
      <c r="C374" s="330" t="s">
        <v>466</v>
      </c>
      <c r="D374" s="330" t="s">
        <v>1151</v>
      </c>
      <c r="E374" s="330" t="s">
        <v>1468</v>
      </c>
      <c r="F374" s="368">
        <v>195000</v>
      </c>
      <c r="G374" s="368">
        <v>195000</v>
      </c>
      <c r="H374" s="368">
        <f t="shared" si="11"/>
        <v>100</v>
      </c>
      <c r="I374" s="147" t="str">
        <f t="shared" si="12"/>
        <v>10039000000000</v>
      </c>
    </row>
    <row r="375" spans="1:9" ht="38.25">
      <c r="A375" s="329" t="s">
        <v>516</v>
      </c>
      <c r="B375" s="330" t="s">
        <v>5</v>
      </c>
      <c r="C375" s="330" t="s">
        <v>466</v>
      </c>
      <c r="D375" s="330" t="s">
        <v>1152</v>
      </c>
      <c r="E375" s="330" t="s">
        <v>1468</v>
      </c>
      <c r="F375" s="368">
        <v>195000</v>
      </c>
      <c r="G375" s="368">
        <v>195000</v>
      </c>
      <c r="H375" s="368">
        <f t="shared" si="11"/>
        <v>100</v>
      </c>
      <c r="I375" s="147" t="str">
        <f t="shared" si="12"/>
        <v>10039010000000</v>
      </c>
    </row>
    <row r="376" spans="1:9" ht="38.25">
      <c r="A376" s="329" t="s">
        <v>516</v>
      </c>
      <c r="B376" s="330" t="s">
        <v>5</v>
      </c>
      <c r="C376" s="330" t="s">
        <v>466</v>
      </c>
      <c r="D376" s="330" t="s">
        <v>921</v>
      </c>
      <c r="E376" s="330" t="s">
        <v>1468</v>
      </c>
      <c r="F376" s="368">
        <v>195000</v>
      </c>
      <c r="G376" s="368">
        <v>195000</v>
      </c>
      <c r="H376" s="368">
        <f t="shared" si="11"/>
        <v>100</v>
      </c>
      <c r="I376" s="147" t="str">
        <f t="shared" si="12"/>
        <v>10039010080000</v>
      </c>
    </row>
    <row r="377" spans="1:9" ht="25.5">
      <c r="A377" s="329" t="s">
        <v>1759</v>
      </c>
      <c r="B377" s="330" t="s">
        <v>5</v>
      </c>
      <c r="C377" s="330" t="s">
        <v>466</v>
      </c>
      <c r="D377" s="330" t="s">
        <v>921</v>
      </c>
      <c r="E377" s="330" t="s">
        <v>1760</v>
      </c>
      <c r="F377" s="368">
        <v>195000</v>
      </c>
      <c r="G377" s="368">
        <v>195000</v>
      </c>
      <c r="H377" s="368">
        <f t="shared" si="11"/>
        <v>100</v>
      </c>
      <c r="I377" s="147" t="str">
        <f t="shared" si="12"/>
        <v>10039010080000300</v>
      </c>
    </row>
    <row r="378" spans="1:9" ht="25.5">
      <c r="A378" s="329" t="s">
        <v>1506</v>
      </c>
      <c r="B378" s="330" t="s">
        <v>5</v>
      </c>
      <c r="C378" s="330" t="s">
        <v>466</v>
      </c>
      <c r="D378" s="330" t="s">
        <v>921</v>
      </c>
      <c r="E378" s="330" t="s">
        <v>666</v>
      </c>
      <c r="F378" s="368">
        <v>195000</v>
      </c>
      <c r="G378" s="368">
        <v>195000</v>
      </c>
      <c r="H378" s="368">
        <f t="shared" si="11"/>
        <v>100</v>
      </c>
      <c r="I378" s="147" t="str">
        <f t="shared" si="12"/>
        <v>10039010080000320</v>
      </c>
    </row>
    <row r="379" spans="1:9" ht="38.25">
      <c r="A379" s="329" t="s">
        <v>467</v>
      </c>
      <c r="B379" s="330" t="s">
        <v>5</v>
      </c>
      <c r="C379" s="330" t="s">
        <v>466</v>
      </c>
      <c r="D379" s="330" t="s">
        <v>921</v>
      </c>
      <c r="E379" s="330" t="s">
        <v>468</v>
      </c>
      <c r="F379" s="368">
        <v>195000</v>
      </c>
      <c r="G379" s="368">
        <v>195000</v>
      </c>
      <c r="H379" s="368">
        <f t="shared" si="11"/>
        <v>100</v>
      </c>
      <c r="I379" s="147" t="str">
        <f t="shared" si="12"/>
        <v>10039010080000321</v>
      </c>
    </row>
    <row r="380" spans="1:9">
      <c r="A380" s="329" t="s">
        <v>26</v>
      </c>
      <c r="B380" s="330" t="s">
        <v>5</v>
      </c>
      <c r="C380" s="330" t="s">
        <v>512</v>
      </c>
      <c r="D380" s="330" t="s">
        <v>1468</v>
      </c>
      <c r="E380" s="330" t="s">
        <v>1468</v>
      </c>
      <c r="F380" s="368">
        <v>4274731.5999999996</v>
      </c>
      <c r="G380" s="368">
        <v>1068682.8899999999</v>
      </c>
      <c r="H380" s="368">
        <f t="shared" si="11"/>
        <v>24.999999766067184</v>
      </c>
      <c r="I380" s="147" t="str">
        <f t="shared" si="12"/>
        <v>1004</v>
      </c>
    </row>
    <row r="381" spans="1:9" ht="25.5">
      <c r="A381" s="329" t="s">
        <v>535</v>
      </c>
      <c r="B381" s="330" t="s">
        <v>5</v>
      </c>
      <c r="C381" s="330" t="s">
        <v>512</v>
      </c>
      <c r="D381" s="330" t="s">
        <v>1105</v>
      </c>
      <c r="E381" s="330" t="s">
        <v>1468</v>
      </c>
      <c r="F381" s="368">
        <v>4274731.5999999996</v>
      </c>
      <c r="G381" s="368">
        <v>1068682.8899999999</v>
      </c>
      <c r="H381" s="368">
        <f t="shared" si="11"/>
        <v>24.999999766067184</v>
      </c>
      <c r="I381" s="147" t="str">
        <f t="shared" si="12"/>
        <v>10040100000000</v>
      </c>
    </row>
    <row r="382" spans="1:9" ht="38.25">
      <c r="A382" s="329" t="s">
        <v>538</v>
      </c>
      <c r="B382" s="330" t="s">
        <v>5</v>
      </c>
      <c r="C382" s="330" t="s">
        <v>512</v>
      </c>
      <c r="D382" s="330" t="s">
        <v>1356</v>
      </c>
      <c r="E382" s="330" t="s">
        <v>1468</v>
      </c>
      <c r="F382" s="368">
        <v>4274731.5999999996</v>
      </c>
      <c r="G382" s="368">
        <v>1068682.8899999999</v>
      </c>
      <c r="H382" s="368">
        <f t="shared" si="11"/>
        <v>24.999999766067184</v>
      </c>
      <c r="I382" s="147" t="str">
        <f t="shared" si="12"/>
        <v>10040120000000</v>
      </c>
    </row>
    <row r="383" spans="1:9" ht="114.75">
      <c r="A383" s="329" t="s">
        <v>1858</v>
      </c>
      <c r="B383" s="330" t="s">
        <v>5</v>
      </c>
      <c r="C383" s="330" t="s">
        <v>512</v>
      </c>
      <c r="D383" s="330" t="s">
        <v>1859</v>
      </c>
      <c r="E383" s="330" t="s">
        <v>1468</v>
      </c>
      <c r="F383" s="368">
        <v>4274731.5999999996</v>
      </c>
      <c r="G383" s="368">
        <v>1068682.8899999999</v>
      </c>
      <c r="H383" s="368">
        <f t="shared" si="11"/>
        <v>24.999999766067184</v>
      </c>
      <c r="I383" s="147" t="str">
        <f t="shared" si="12"/>
        <v>10040120075870</v>
      </c>
    </row>
    <row r="384" spans="1:9" ht="25.5">
      <c r="A384" s="329" t="s">
        <v>1761</v>
      </c>
      <c r="B384" s="330" t="s">
        <v>5</v>
      </c>
      <c r="C384" s="330" t="s">
        <v>512</v>
      </c>
      <c r="D384" s="330" t="s">
        <v>1859</v>
      </c>
      <c r="E384" s="330" t="s">
        <v>1762</v>
      </c>
      <c r="F384" s="368">
        <v>4274731.5999999996</v>
      </c>
      <c r="G384" s="368">
        <v>1068682.8899999999</v>
      </c>
      <c r="H384" s="368">
        <f t="shared" si="11"/>
        <v>24.999999766067184</v>
      </c>
      <c r="I384" s="147" t="str">
        <f t="shared" si="12"/>
        <v>10040120075870400</v>
      </c>
    </row>
    <row r="385" spans="1:9">
      <c r="A385" s="329" t="s">
        <v>1513</v>
      </c>
      <c r="B385" s="330" t="s">
        <v>5</v>
      </c>
      <c r="C385" s="330" t="s">
        <v>512</v>
      </c>
      <c r="D385" s="330" t="s">
        <v>1859</v>
      </c>
      <c r="E385" s="330" t="s">
        <v>101</v>
      </c>
      <c r="F385" s="368">
        <v>4274731.5999999996</v>
      </c>
      <c r="G385" s="368">
        <v>1068682.8899999999</v>
      </c>
      <c r="H385" s="368">
        <f t="shared" si="11"/>
        <v>24.999999766067184</v>
      </c>
      <c r="I385" s="147" t="str">
        <f t="shared" si="12"/>
        <v>10040120075870410</v>
      </c>
    </row>
    <row r="386" spans="1:9" ht="38.25">
      <c r="A386" s="329" t="s">
        <v>493</v>
      </c>
      <c r="B386" s="330" t="s">
        <v>5</v>
      </c>
      <c r="C386" s="330" t="s">
        <v>512</v>
      </c>
      <c r="D386" s="330" t="s">
        <v>1859</v>
      </c>
      <c r="E386" s="330" t="s">
        <v>494</v>
      </c>
      <c r="F386" s="368">
        <v>4274731.5999999996</v>
      </c>
      <c r="G386" s="368">
        <v>1068682.8899999999</v>
      </c>
      <c r="H386" s="368">
        <f t="shared" si="11"/>
        <v>24.999999766067184</v>
      </c>
      <c r="I386" s="147" t="str">
        <f t="shared" si="12"/>
        <v>10040120075870412</v>
      </c>
    </row>
    <row r="387" spans="1:9">
      <c r="A387" s="329" t="s">
        <v>82</v>
      </c>
      <c r="B387" s="330" t="s">
        <v>5</v>
      </c>
      <c r="C387" s="330" t="s">
        <v>483</v>
      </c>
      <c r="D387" s="330" t="s">
        <v>1468</v>
      </c>
      <c r="E387" s="330" t="s">
        <v>1468</v>
      </c>
      <c r="F387" s="368">
        <v>118560</v>
      </c>
      <c r="G387" s="368">
        <v>117308.38</v>
      </c>
      <c r="H387" s="368">
        <f t="shared" si="11"/>
        <v>98.944315114709852</v>
      </c>
      <c r="I387" s="147" t="str">
        <f t="shared" si="12"/>
        <v>1006</v>
      </c>
    </row>
    <row r="388" spans="1:9" ht="25.5">
      <c r="A388" s="329" t="s">
        <v>708</v>
      </c>
      <c r="B388" s="330" t="s">
        <v>5</v>
      </c>
      <c r="C388" s="330" t="s">
        <v>483</v>
      </c>
      <c r="D388" s="330" t="s">
        <v>1146</v>
      </c>
      <c r="E388" s="330" t="s">
        <v>1468</v>
      </c>
      <c r="F388" s="368">
        <v>118560</v>
      </c>
      <c r="G388" s="368">
        <v>117308.38</v>
      </c>
      <c r="H388" s="368">
        <f t="shared" si="11"/>
        <v>98.944315114709852</v>
      </c>
      <c r="I388" s="147" t="str">
        <f t="shared" si="12"/>
        <v>10068000000000</v>
      </c>
    </row>
    <row r="389" spans="1:9" ht="38.25">
      <c r="A389" s="329" t="s">
        <v>709</v>
      </c>
      <c r="B389" s="330" t="s">
        <v>5</v>
      </c>
      <c r="C389" s="330" t="s">
        <v>483</v>
      </c>
      <c r="D389" s="330" t="s">
        <v>1148</v>
      </c>
      <c r="E389" s="330" t="s">
        <v>1468</v>
      </c>
      <c r="F389" s="368">
        <v>118560</v>
      </c>
      <c r="G389" s="368">
        <v>117308.38</v>
      </c>
      <c r="H389" s="368">
        <f t="shared" si="11"/>
        <v>98.944315114709852</v>
      </c>
      <c r="I389" s="147" t="str">
        <f t="shared" si="12"/>
        <v>10068020000000</v>
      </c>
    </row>
    <row r="390" spans="1:9" ht="63.75">
      <c r="A390" s="329" t="s">
        <v>2038</v>
      </c>
      <c r="B390" s="330" t="s">
        <v>5</v>
      </c>
      <c r="C390" s="330" t="s">
        <v>483</v>
      </c>
      <c r="D390" s="330" t="s">
        <v>2039</v>
      </c>
      <c r="E390" s="330" t="s">
        <v>1468</v>
      </c>
      <c r="F390" s="368">
        <v>118560</v>
      </c>
      <c r="G390" s="368">
        <v>117308.38</v>
      </c>
      <c r="H390" s="368">
        <f t="shared" si="11"/>
        <v>98.944315114709852</v>
      </c>
      <c r="I390" s="147" t="str">
        <f t="shared" si="12"/>
        <v>10068020002890</v>
      </c>
    </row>
    <row r="391" spans="1:9" ht="63.75">
      <c r="A391" s="329" t="s">
        <v>1754</v>
      </c>
      <c r="B391" s="330" t="s">
        <v>5</v>
      </c>
      <c r="C391" s="330" t="s">
        <v>483</v>
      </c>
      <c r="D391" s="330" t="s">
        <v>2039</v>
      </c>
      <c r="E391" s="330" t="s">
        <v>322</v>
      </c>
      <c r="F391" s="368">
        <v>95050</v>
      </c>
      <c r="G391" s="368">
        <f>G392</f>
        <v>95008.37999999999</v>
      </c>
      <c r="H391" s="368">
        <f t="shared" si="11"/>
        <v>99.956212519726449</v>
      </c>
      <c r="I391" s="147" t="str">
        <f t="shared" si="12"/>
        <v>10068020002890100</v>
      </c>
    </row>
    <row r="392" spans="1:9" ht="25.5">
      <c r="A392" s="329" t="s">
        <v>1509</v>
      </c>
      <c r="B392" s="330" t="s">
        <v>5</v>
      </c>
      <c r="C392" s="330" t="s">
        <v>483</v>
      </c>
      <c r="D392" s="330" t="s">
        <v>2039</v>
      </c>
      <c r="E392" s="330" t="s">
        <v>37</v>
      </c>
      <c r="F392" s="368">
        <v>95050</v>
      </c>
      <c r="G392" s="368">
        <f>G393+G394</f>
        <v>95008.37999999999</v>
      </c>
      <c r="H392" s="368">
        <f t="shared" ref="H392:H455" si="13">G392/F392*100</f>
        <v>99.956212519726449</v>
      </c>
      <c r="I392" s="147" t="str">
        <f t="shared" si="12"/>
        <v>10068020002890120</v>
      </c>
    </row>
    <row r="393" spans="1:9" ht="25.5">
      <c r="A393" s="329" t="s">
        <v>1081</v>
      </c>
      <c r="B393" s="330" t="s">
        <v>5</v>
      </c>
      <c r="C393" s="330" t="s">
        <v>483</v>
      </c>
      <c r="D393" s="330" t="s">
        <v>2039</v>
      </c>
      <c r="E393" s="330" t="s">
        <v>411</v>
      </c>
      <c r="F393" s="368">
        <v>72971.12</v>
      </c>
      <c r="G393" s="368">
        <v>72971.12</v>
      </c>
      <c r="H393" s="368">
        <f t="shared" si="13"/>
        <v>100</v>
      </c>
      <c r="I393" s="147" t="str">
        <f t="shared" si="12"/>
        <v>10068020002890121</v>
      </c>
    </row>
    <row r="394" spans="1:9" ht="51">
      <c r="A394" s="329" t="s">
        <v>1195</v>
      </c>
      <c r="B394" s="330" t="s">
        <v>5</v>
      </c>
      <c r="C394" s="330" t="s">
        <v>483</v>
      </c>
      <c r="D394" s="330" t="s">
        <v>2039</v>
      </c>
      <c r="E394" s="330" t="s">
        <v>1196</v>
      </c>
      <c r="F394" s="368">
        <v>22078.880000000001</v>
      </c>
      <c r="G394" s="368">
        <v>22037.26</v>
      </c>
      <c r="H394" s="368">
        <f t="shared" si="13"/>
        <v>99.811494061292947</v>
      </c>
      <c r="I394" s="147" t="str">
        <f t="shared" si="12"/>
        <v>10068020002890129</v>
      </c>
    </row>
    <row r="395" spans="1:9" ht="25.5">
      <c r="A395" s="329" t="s">
        <v>1755</v>
      </c>
      <c r="B395" s="330" t="s">
        <v>5</v>
      </c>
      <c r="C395" s="330" t="s">
        <v>483</v>
      </c>
      <c r="D395" s="330" t="s">
        <v>2039</v>
      </c>
      <c r="E395" s="330" t="s">
        <v>1756</v>
      </c>
      <c r="F395" s="368">
        <v>23510</v>
      </c>
      <c r="G395" s="368">
        <v>22300</v>
      </c>
      <c r="H395" s="368">
        <f t="shared" si="13"/>
        <v>94.853253934495967</v>
      </c>
      <c r="I395" s="147" t="str">
        <f t="shared" si="12"/>
        <v>10068020002890200</v>
      </c>
    </row>
    <row r="396" spans="1:9" ht="38.25">
      <c r="A396" s="329" t="s">
        <v>1502</v>
      </c>
      <c r="B396" s="330" t="s">
        <v>5</v>
      </c>
      <c r="C396" s="330" t="s">
        <v>483</v>
      </c>
      <c r="D396" s="330" t="s">
        <v>2039</v>
      </c>
      <c r="E396" s="330" t="s">
        <v>1503</v>
      </c>
      <c r="F396" s="368">
        <v>23510</v>
      </c>
      <c r="G396" s="368">
        <v>22300</v>
      </c>
      <c r="H396" s="368">
        <f t="shared" si="13"/>
        <v>94.853253934495967</v>
      </c>
      <c r="I396" s="147" t="str">
        <f t="shared" si="12"/>
        <v>10068020002890240</v>
      </c>
    </row>
    <row r="397" spans="1:9">
      <c r="A397" s="329" t="s">
        <v>1577</v>
      </c>
      <c r="B397" s="330" t="s">
        <v>5</v>
      </c>
      <c r="C397" s="330" t="s">
        <v>483</v>
      </c>
      <c r="D397" s="330" t="s">
        <v>2039</v>
      </c>
      <c r="E397" s="330" t="s">
        <v>416</v>
      </c>
      <c r="F397" s="368">
        <v>23510</v>
      </c>
      <c r="G397" s="368">
        <v>22300</v>
      </c>
      <c r="H397" s="368">
        <f t="shared" si="13"/>
        <v>94.853253934495967</v>
      </c>
      <c r="I397" s="147" t="str">
        <f t="shared" si="12"/>
        <v>10068020002890244</v>
      </c>
    </row>
    <row r="398" spans="1:9" ht="25.5">
      <c r="A398" s="329" t="s">
        <v>1215</v>
      </c>
      <c r="B398" s="330" t="s">
        <v>442</v>
      </c>
      <c r="C398" s="330" t="s">
        <v>1468</v>
      </c>
      <c r="D398" s="330" t="s">
        <v>1468</v>
      </c>
      <c r="E398" s="330" t="s">
        <v>1468</v>
      </c>
      <c r="F398" s="368">
        <v>6465100</v>
      </c>
      <c r="G398" s="368">
        <v>6457477.9400000004</v>
      </c>
      <c r="H398" s="368">
        <f t="shared" si="13"/>
        <v>99.88210453047904</v>
      </c>
      <c r="I398" s="147" t="str">
        <f t="shared" si="12"/>
        <v/>
      </c>
    </row>
    <row r="399" spans="1:9">
      <c r="A399" s="329" t="s">
        <v>278</v>
      </c>
      <c r="B399" s="330" t="s">
        <v>442</v>
      </c>
      <c r="C399" s="330" t="s">
        <v>1357</v>
      </c>
      <c r="D399" s="330" t="s">
        <v>1468</v>
      </c>
      <c r="E399" s="330" t="s">
        <v>1468</v>
      </c>
      <c r="F399" s="368">
        <v>6465100</v>
      </c>
      <c r="G399" s="368">
        <v>6457477.9400000004</v>
      </c>
      <c r="H399" s="368">
        <f t="shared" si="13"/>
        <v>99.88210453047904</v>
      </c>
      <c r="I399" s="147" t="str">
        <f t="shared" si="12"/>
        <v>0100</v>
      </c>
    </row>
    <row r="400" spans="1:9">
      <c r="A400" s="329" t="s">
        <v>261</v>
      </c>
      <c r="B400" s="330" t="s">
        <v>442</v>
      </c>
      <c r="C400" s="330" t="s">
        <v>424</v>
      </c>
      <c r="D400" s="330" t="s">
        <v>1468</v>
      </c>
      <c r="E400" s="330" t="s">
        <v>1468</v>
      </c>
      <c r="F400" s="368">
        <v>6465100</v>
      </c>
      <c r="G400" s="368">
        <v>6457477.9400000004</v>
      </c>
      <c r="H400" s="368">
        <f t="shared" si="13"/>
        <v>99.88210453047904</v>
      </c>
      <c r="I400" s="147" t="str">
        <f t="shared" si="12"/>
        <v>0113</v>
      </c>
    </row>
    <row r="401" spans="1:9" ht="25.5">
      <c r="A401" s="329" t="s">
        <v>710</v>
      </c>
      <c r="B401" s="330" t="s">
        <v>442</v>
      </c>
      <c r="C401" s="330" t="s">
        <v>424</v>
      </c>
      <c r="D401" s="330" t="s">
        <v>1151</v>
      </c>
      <c r="E401" s="330" t="s">
        <v>1468</v>
      </c>
      <c r="F401" s="368">
        <v>6465100</v>
      </c>
      <c r="G401" s="368">
        <v>6457477.9400000004</v>
      </c>
      <c r="H401" s="368">
        <f t="shared" si="13"/>
        <v>99.88210453047904</v>
      </c>
      <c r="I401" s="147" t="str">
        <f t="shared" si="12"/>
        <v>01139000000000</v>
      </c>
    </row>
    <row r="402" spans="1:9" ht="38.25">
      <c r="A402" s="329" t="s">
        <v>1216</v>
      </c>
      <c r="B402" s="330" t="s">
        <v>442</v>
      </c>
      <c r="C402" s="330" t="s">
        <v>424</v>
      </c>
      <c r="D402" s="330" t="s">
        <v>1217</v>
      </c>
      <c r="E402" s="330" t="s">
        <v>1468</v>
      </c>
      <c r="F402" s="368">
        <v>6465100</v>
      </c>
      <c r="G402" s="368">
        <v>6457477.9400000004</v>
      </c>
      <c r="H402" s="368">
        <f t="shared" si="13"/>
        <v>99.88210453047904</v>
      </c>
      <c r="I402" s="147" t="str">
        <f t="shared" si="12"/>
        <v>01139070000000</v>
      </c>
    </row>
    <row r="403" spans="1:9" ht="38.25">
      <c r="A403" s="329" t="s">
        <v>1216</v>
      </c>
      <c r="B403" s="330" t="s">
        <v>442</v>
      </c>
      <c r="C403" s="330" t="s">
        <v>424</v>
      </c>
      <c r="D403" s="330" t="s">
        <v>1239</v>
      </c>
      <c r="E403" s="330" t="s">
        <v>1468</v>
      </c>
      <c r="F403" s="368">
        <v>6181422</v>
      </c>
      <c r="G403" s="368">
        <v>6173810.3399999999</v>
      </c>
      <c r="H403" s="368">
        <f t="shared" si="13"/>
        <v>99.876862314205368</v>
      </c>
      <c r="I403" s="147" t="str">
        <f t="shared" si="12"/>
        <v>01139070040000</v>
      </c>
    </row>
    <row r="404" spans="1:9" ht="63.75">
      <c r="A404" s="329" t="s">
        <v>1754</v>
      </c>
      <c r="B404" s="330" t="s">
        <v>442</v>
      </c>
      <c r="C404" s="330" t="s">
        <v>424</v>
      </c>
      <c r="D404" s="330" t="s">
        <v>1239</v>
      </c>
      <c r="E404" s="330" t="s">
        <v>322</v>
      </c>
      <c r="F404" s="368">
        <v>5950842</v>
      </c>
      <c r="G404" s="368">
        <f>G405</f>
        <v>5946758.1500000004</v>
      </c>
      <c r="H404" s="368">
        <f t="shared" si="13"/>
        <v>99.93137357705011</v>
      </c>
      <c r="I404" s="147" t="str">
        <f t="shared" si="12"/>
        <v>01139070040000100</v>
      </c>
    </row>
    <row r="405" spans="1:9" ht="25.5">
      <c r="A405" s="329" t="s">
        <v>1509</v>
      </c>
      <c r="B405" s="330" t="s">
        <v>442</v>
      </c>
      <c r="C405" s="330" t="s">
        <v>424</v>
      </c>
      <c r="D405" s="330" t="s">
        <v>1239</v>
      </c>
      <c r="E405" s="330" t="s">
        <v>37</v>
      </c>
      <c r="F405" s="368">
        <v>5950842</v>
      </c>
      <c r="G405" s="368">
        <f>G406+G407+G408</f>
        <v>5946758.1500000004</v>
      </c>
      <c r="H405" s="368">
        <f t="shared" si="13"/>
        <v>99.93137357705011</v>
      </c>
      <c r="I405" s="147" t="str">
        <f t="shared" si="12"/>
        <v>01139070040000120</v>
      </c>
    </row>
    <row r="406" spans="1:9" ht="25.5">
      <c r="A406" s="329" t="s">
        <v>1081</v>
      </c>
      <c r="B406" s="330" t="s">
        <v>442</v>
      </c>
      <c r="C406" s="330" t="s">
        <v>424</v>
      </c>
      <c r="D406" s="330" t="s">
        <v>1239</v>
      </c>
      <c r="E406" s="330" t="s">
        <v>411</v>
      </c>
      <c r="F406" s="368">
        <v>4564654</v>
      </c>
      <c r="G406" s="368">
        <v>4564365.41</v>
      </c>
      <c r="H406" s="368">
        <f t="shared" si="13"/>
        <v>99.993677724532901</v>
      </c>
      <c r="I406" s="147" t="str">
        <f t="shared" si="12"/>
        <v>01139070040000121</v>
      </c>
    </row>
    <row r="407" spans="1:9" ht="38.25">
      <c r="A407" s="329" t="s">
        <v>412</v>
      </c>
      <c r="B407" s="330" t="s">
        <v>442</v>
      </c>
      <c r="C407" s="330" t="s">
        <v>424</v>
      </c>
      <c r="D407" s="330" t="s">
        <v>1239</v>
      </c>
      <c r="E407" s="330" t="s">
        <v>413</v>
      </c>
      <c r="F407" s="368">
        <v>7663</v>
      </c>
      <c r="G407" s="368">
        <v>7663</v>
      </c>
      <c r="H407" s="368">
        <f t="shared" si="13"/>
        <v>100</v>
      </c>
      <c r="I407" s="147" t="str">
        <f t="shared" si="12"/>
        <v>01139070040000122</v>
      </c>
    </row>
    <row r="408" spans="1:9" ht="51">
      <c r="A408" s="329" t="s">
        <v>1195</v>
      </c>
      <c r="B408" s="330" t="s">
        <v>442</v>
      </c>
      <c r="C408" s="330" t="s">
        <v>424</v>
      </c>
      <c r="D408" s="330" t="s">
        <v>1239</v>
      </c>
      <c r="E408" s="330" t="s">
        <v>1196</v>
      </c>
      <c r="F408" s="368">
        <v>1378525</v>
      </c>
      <c r="G408" s="368">
        <v>1374729.74</v>
      </c>
      <c r="H408" s="368">
        <f t="shared" si="13"/>
        <v>99.724686893600051</v>
      </c>
      <c r="I408" s="147" t="str">
        <f t="shared" si="12"/>
        <v>01139070040000129</v>
      </c>
    </row>
    <row r="409" spans="1:9" ht="25.5">
      <c r="A409" s="329" t="s">
        <v>1755</v>
      </c>
      <c r="B409" s="330" t="s">
        <v>442</v>
      </c>
      <c r="C409" s="330" t="s">
        <v>424</v>
      </c>
      <c r="D409" s="330" t="s">
        <v>1239</v>
      </c>
      <c r="E409" s="330" t="s">
        <v>1756</v>
      </c>
      <c r="F409" s="368">
        <v>230480</v>
      </c>
      <c r="G409" s="368">
        <v>227030.36</v>
      </c>
      <c r="H409" s="368">
        <f t="shared" si="13"/>
        <v>98.503280111072527</v>
      </c>
      <c r="I409" s="147" t="str">
        <f t="shared" si="12"/>
        <v>01139070040000200</v>
      </c>
    </row>
    <row r="410" spans="1:9" ht="38.25">
      <c r="A410" s="329" t="s">
        <v>1502</v>
      </c>
      <c r="B410" s="330" t="s">
        <v>442</v>
      </c>
      <c r="C410" s="330" t="s">
        <v>424</v>
      </c>
      <c r="D410" s="330" t="s">
        <v>1239</v>
      </c>
      <c r="E410" s="330" t="s">
        <v>1503</v>
      </c>
      <c r="F410" s="368">
        <v>230480</v>
      </c>
      <c r="G410" s="368">
        <v>227030.36</v>
      </c>
      <c r="H410" s="368">
        <f t="shared" si="13"/>
        <v>98.503280111072527</v>
      </c>
      <c r="I410" s="147" t="str">
        <f t="shared" si="12"/>
        <v>01139070040000240</v>
      </c>
    </row>
    <row r="411" spans="1:9">
      <c r="A411" s="329" t="s">
        <v>1577</v>
      </c>
      <c r="B411" s="330" t="s">
        <v>442</v>
      </c>
      <c r="C411" s="330" t="s">
        <v>424</v>
      </c>
      <c r="D411" s="330" t="s">
        <v>1239</v>
      </c>
      <c r="E411" s="330" t="s">
        <v>416</v>
      </c>
      <c r="F411" s="368">
        <v>230480</v>
      </c>
      <c r="G411" s="368">
        <v>227030.36</v>
      </c>
      <c r="H411" s="368">
        <f t="shared" si="13"/>
        <v>98.503280111072527</v>
      </c>
      <c r="I411" s="147" t="str">
        <f t="shared" si="12"/>
        <v>01139070040000244</v>
      </c>
    </row>
    <row r="412" spans="1:9">
      <c r="A412" s="329" t="s">
        <v>1757</v>
      </c>
      <c r="B412" s="330" t="s">
        <v>442</v>
      </c>
      <c r="C412" s="330" t="s">
        <v>424</v>
      </c>
      <c r="D412" s="330" t="s">
        <v>1239</v>
      </c>
      <c r="E412" s="330" t="s">
        <v>1758</v>
      </c>
      <c r="F412" s="368">
        <v>100</v>
      </c>
      <c r="G412" s="368">
        <v>21.83</v>
      </c>
      <c r="H412" s="368">
        <f t="shared" si="13"/>
        <v>21.83</v>
      </c>
      <c r="I412" s="147" t="str">
        <f t="shared" si="12"/>
        <v>01139070040000800</v>
      </c>
    </row>
    <row r="413" spans="1:9">
      <c r="A413" s="329" t="s">
        <v>1507</v>
      </c>
      <c r="B413" s="330" t="s">
        <v>442</v>
      </c>
      <c r="C413" s="330" t="s">
        <v>424</v>
      </c>
      <c r="D413" s="330" t="s">
        <v>1239</v>
      </c>
      <c r="E413" s="330" t="s">
        <v>1508</v>
      </c>
      <c r="F413" s="368">
        <v>100</v>
      </c>
      <c r="G413" s="368">
        <v>21.83</v>
      </c>
      <c r="H413" s="368">
        <f t="shared" si="13"/>
        <v>21.83</v>
      </c>
      <c r="I413" s="147" t="str">
        <f t="shared" si="12"/>
        <v>01139070040000850</v>
      </c>
    </row>
    <row r="414" spans="1:9">
      <c r="A414" s="329" t="s">
        <v>1198</v>
      </c>
      <c r="B414" s="330" t="s">
        <v>442</v>
      </c>
      <c r="C414" s="330" t="s">
        <v>424</v>
      </c>
      <c r="D414" s="330" t="s">
        <v>1239</v>
      </c>
      <c r="E414" s="330" t="s">
        <v>1199</v>
      </c>
      <c r="F414" s="368">
        <v>100</v>
      </c>
      <c r="G414" s="368">
        <v>21.83</v>
      </c>
      <c r="H414" s="368">
        <f t="shared" si="13"/>
        <v>21.83</v>
      </c>
      <c r="I414" s="147" t="str">
        <f t="shared" si="12"/>
        <v>01139070040000853</v>
      </c>
    </row>
    <row r="415" spans="1:9" ht="51">
      <c r="A415" s="329" t="s">
        <v>1367</v>
      </c>
      <c r="B415" s="330" t="s">
        <v>442</v>
      </c>
      <c r="C415" s="330" t="s">
        <v>424</v>
      </c>
      <c r="D415" s="330" t="s">
        <v>1368</v>
      </c>
      <c r="E415" s="330" t="s">
        <v>1468</v>
      </c>
      <c r="F415" s="368">
        <v>225438.6</v>
      </c>
      <c r="G415" s="368">
        <v>225438.6</v>
      </c>
      <c r="H415" s="368">
        <f t="shared" si="13"/>
        <v>100</v>
      </c>
      <c r="I415" s="147" t="str">
        <f t="shared" si="12"/>
        <v>01139070047000</v>
      </c>
    </row>
    <row r="416" spans="1:9" ht="63.75">
      <c r="A416" s="329" t="s">
        <v>1754</v>
      </c>
      <c r="B416" s="330" t="s">
        <v>442</v>
      </c>
      <c r="C416" s="330" t="s">
        <v>424</v>
      </c>
      <c r="D416" s="330" t="s">
        <v>1368</v>
      </c>
      <c r="E416" s="330" t="s">
        <v>322</v>
      </c>
      <c r="F416" s="368">
        <v>225438.6</v>
      </c>
      <c r="G416" s="368">
        <v>225438.6</v>
      </c>
      <c r="H416" s="368">
        <f t="shared" si="13"/>
        <v>100</v>
      </c>
      <c r="I416" s="147" t="str">
        <f t="shared" si="12"/>
        <v>01139070047000100</v>
      </c>
    </row>
    <row r="417" spans="1:9" ht="25.5">
      <c r="A417" s="329" t="s">
        <v>1509</v>
      </c>
      <c r="B417" s="330" t="s">
        <v>442</v>
      </c>
      <c r="C417" s="330" t="s">
        <v>424</v>
      </c>
      <c r="D417" s="330" t="s">
        <v>1368</v>
      </c>
      <c r="E417" s="330" t="s">
        <v>37</v>
      </c>
      <c r="F417" s="368">
        <v>225438.6</v>
      </c>
      <c r="G417" s="368">
        <v>225438.6</v>
      </c>
      <c r="H417" s="368">
        <f t="shared" si="13"/>
        <v>100</v>
      </c>
      <c r="I417" s="147" t="str">
        <f t="shared" si="12"/>
        <v>01139070047000120</v>
      </c>
    </row>
    <row r="418" spans="1:9" ht="38.25">
      <c r="A418" s="329" t="s">
        <v>412</v>
      </c>
      <c r="B418" s="330" t="s">
        <v>442</v>
      </c>
      <c r="C418" s="330" t="s">
        <v>424</v>
      </c>
      <c r="D418" s="330" t="s">
        <v>1368</v>
      </c>
      <c r="E418" s="330" t="s">
        <v>413</v>
      </c>
      <c r="F418" s="368">
        <v>225438.6</v>
      </c>
      <c r="G418" s="368">
        <v>225438.6</v>
      </c>
      <c r="H418" s="368">
        <f t="shared" si="13"/>
        <v>100</v>
      </c>
      <c r="I418" s="147" t="str">
        <f t="shared" si="12"/>
        <v>01139070047000122</v>
      </c>
    </row>
    <row r="419" spans="1:9" ht="38.25">
      <c r="A419" s="329" t="s">
        <v>2000</v>
      </c>
      <c r="B419" s="330" t="s">
        <v>442</v>
      </c>
      <c r="C419" s="330" t="s">
        <v>424</v>
      </c>
      <c r="D419" s="330" t="s">
        <v>2005</v>
      </c>
      <c r="E419" s="330" t="s">
        <v>1468</v>
      </c>
      <c r="F419" s="368">
        <v>58239.4</v>
      </c>
      <c r="G419" s="368">
        <v>58229</v>
      </c>
      <c r="H419" s="368">
        <f t="shared" si="13"/>
        <v>99.982142673173144</v>
      </c>
      <c r="I419" s="147" t="str">
        <f t="shared" si="12"/>
        <v>0113907004Ф000</v>
      </c>
    </row>
    <row r="420" spans="1:9" ht="25.5">
      <c r="A420" s="329" t="s">
        <v>1755</v>
      </c>
      <c r="B420" s="330" t="s">
        <v>442</v>
      </c>
      <c r="C420" s="330" t="s">
        <v>424</v>
      </c>
      <c r="D420" s="330" t="s">
        <v>2005</v>
      </c>
      <c r="E420" s="330" t="s">
        <v>1756</v>
      </c>
      <c r="F420" s="368">
        <v>58239.4</v>
      </c>
      <c r="G420" s="368">
        <v>58229</v>
      </c>
      <c r="H420" s="368">
        <f t="shared" si="13"/>
        <v>99.982142673173144</v>
      </c>
      <c r="I420" s="147" t="str">
        <f t="shared" si="12"/>
        <v>0113907004Ф000200</v>
      </c>
    </row>
    <row r="421" spans="1:9" ht="38.25">
      <c r="A421" s="329" t="s">
        <v>1502</v>
      </c>
      <c r="B421" s="330" t="s">
        <v>442</v>
      </c>
      <c r="C421" s="330" t="s">
        <v>424</v>
      </c>
      <c r="D421" s="330" t="s">
        <v>2005</v>
      </c>
      <c r="E421" s="330" t="s">
        <v>1503</v>
      </c>
      <c r="F421" s="368">
        <v>58239.4</v>
      </c>
      <c r="G421" s="368">
        <v>58229</v>
      </c>
      <c r="H421" s="368">
        <f t="shared" si="13"/>
        <v>99.982142673173144</v>
      </c>
      <c r="I421" s="147" t="str">
        <f t="shared" si="12"/>
        <v>0113907004Ф000240</v>
      </c>
    </row>
    <row r="422" spans="1:9">
      <c r="A422" s="329" t="s">
        <v>1577</v>
      </c>
      <c r="B422" s="330" t="s">
        <v>442</v>
      </c>
      <c r="C422" s="330" t="s">
        <v>424</v>
      </c>
      <c r="D422" s="330" t="s">
        <v>2005</v>
      </c>
      <c r="E422" s="330" t="s">
        <v>416</v>
      </c>
      <c r="F422" s="368">
        <v>58239.4</v>
      </c>
      <c r="G422" s="368">
        <v>58229</v>
      </c>
      <c r="H422" s="368">
        <f t="shared" si="13"/>
        <v>99.982142673173144</v>
      </c>
      <c r="I422" s="147" t="str">
        <f t="shared" si="12"/>
        <v>0113907004Ф000244</v>
      </c>
    </row>
    <row r="423" spans="1:9" ht="25.5">
      <c r="A423" s="329" t="s">
        <v>299</v>
      </c>
      <c r="B423" s="330" t="s">
        <v>242</v>
      </c>
      <c r="C423" s="330" t="s">
        <v>1468</v>
      </c>
      <c r="D423" s="330" t="s">
        <v>1468</v>
      </c>
      <c r="E423" s="330" t="s">
        <v>1468</v>
      </c>
      <c r="F423" s="368">
        <v>67530032.680000007</v>
      </c>
      <c r="G423" s="368">
        <f>G424+G432+G440+G501+G513</f>
        <v>33547321.23</v>
      </c>
      <c r="H423" s="368">
        <f t="shared" si="13"/>
        <v>49.677632156596786</v>
      </c>
      <c r="I423" s="147" t="str">
        <f t="shared" si="12"/>
        <v/>
      </c>
    </row>
    <row r="424" spans="1:9">
      <c r="A424" s="329" t="s">
        <v>278</v>
      </c>
      <c r="B424" s="330" t="s">
        <v>242</v>
      </c>
      <c r="C424" s="330" t="s">
        <v>1357</v>
      </c>
      <c r="D424" s="330" t="s">
        <v>1468</v>
      </c>
      <c r="E424" s="330" t="s">
        <v>1468</v>
      </c>
      <c r="F424" s="368">
        <v>862000</v>
      </c>
      <c r="G424" s="368">
        <v>862000</v>
      </c>
      <c r="H424" s="368">
        <f t="shared" si="13"/>
        <v>100</v>
      </c>
      <c r="I424" s="147" t="str">
        <f t="shared" si="12"/>
        <v>0100</v>
      </c>
    </row>
    <row r="425" spans="1:9" ht="51">
      <c r="A425" s="329" t="s">
        <v>280</v>
      </c>
      <c r="B425" s="330" t="s">
        <v>242</v>
      </c>
      <c r="C425" s="330" t="s">
        <v>420</v>
      </c>
      <c r="D425" s="330" t="s">
        <v>1468</v>
      </c>
      <c r="E425" s="330" t="s">
        <v>1468</v>
      </c>
      <c r="F425" s="368">
        <v>862000</v>
      </c>
      <c r="G425" s="368">
        <v>862000</v>
      </c>
      <c r="H425" s="368">
        <f t="shared" si="13"/>
        <v>100</v>
      </c>
      <c r="I425" s="147" t="str">
        <f t="shared" si="12"/>
        <v>0104</v>
      </c>
    </row>
    <row r="426" spans="1:9" ht="25.5">
      <c r="A426" s="329" t="s">
        <v>708</v>
      </c>
      <c r="B426" s="330" t="s">
        <v>242</v>
      </c>
      <c r="C426" s="330" t="s">
        <v>420</v>
      </c>
      <c r="D426" s="330" t="s">
        <v>1146</v>
      </c>
      <c r="E426" s="330" t="s">
        <v>1468</v>
      </c>
      <c r="F426" s="368">
        <v>862000</v>
      </c>
      <c r="G426" s="368">
        <v>862000</v>
      </c>
      <c r="H426" s="368">
        <f t="shared" si="13"/>
        <v>100</v>
      </c>
      <c r="I426" s="147" t="str">
        <f t="shared" si="12"/>
        <v>01048000000000</v>
      </c>
    </row>
    <row r="427" spans="1:9" ht="38.25">
      <c r="A427" s="329" t="s">
        <v>709</v>
      </c>
      <c r="B427" s="330" t="s">
        <v>242</v>
      </c>
      <c r="C427" s="330" t="s">
        <v>420</v>
      </c>
      <c r="D427" s="330" t="s">
        <v>1148</v>
      </c>
      <c r="E427" s="330" t="s">
        <v>1468</v>
      </c>
      <c r="F427" s="368">
        <v>862000</v>
      </c>
      <c r="G427" s="368">
        <v>862000</v>
      </c>
      <c r="H427" s="368">
        <f t="shared" si="13"/>
        <v>100</v>
      </c>
      <c r="I427" s="147" t="str">
        <f t="shared" si="12"/>
        <v>01048020000000</v>
      </c>
    </row>
    <row r="428" spans="1:9" ht="38.25">
      <c r="A428" s="329" t="s">
        <v>415</v>
      </c>
      <c r="B428" s="330" t="s">
        <v>242</v>
      </c>
      <c r="C428" s="330" t="s">
        <v>420</v>
      </c>
      <c r="D428" s="330" t="s">
        <v>766</v>
      </c>
      <c r="E428" s="330" t="s">
        <v>1468</v>
      </c>
      <c r="F428" s="368">
        <v>862000</v>
      </c>
      <c r="G428" s="368">
        <v>862000</v>
      </c>
      <c r="H428" s="368">
        <f t="shared" si="13"/>
        <v>100</v>
      </c>
      <c r="I428" s="147" t="str">
        <f t="shared" si="12"/>
        <v>01048020060000</v>
      </c>
    </row>
    <row r="429" spans="1:9" ht="25.5">
      <c r="A429" s="329" t="s">
        <v>1755</v>
      </c>
      <c r="B429" s="330" t="s">
        <v>242</v>
      </c>
      <c r="C429" s="330" t="s">
        <v>420</v>
      </c>
      <c r="D429" s="330" t="s">
        <v>766</v>
      </c>
      <c r="E429" s="330" t="s">
        <v>1756</v>
      </c>
      <c r="F429" s="368">
        <v>862000</v>
      </c>
      <c r="G429" s="368">
        <v>862000</v>
      </c>
      <c r="H429" s="368">
        <f t="shared" si="13"/>
        <v>100</v>
      </c>
      <c r="I429" s="147" t="str">
        <f t="shared" si="12"/>
        <v>01048020060000200</v>
      </c>
    </row>
    <row r="430" spans="1:9" ht="38.25">
      <c r="A430" s="329" t="s">
        <v>1502</v>
      </c>
      <c r="B430" s="330" t="s">
        <v>242</v>
      </c>
      <c r="C430" s="330" t="s">
        <v>420</v>
      </c>
      <c r="D430" s="330" t="s">
        <v>766</v>
      </c>
      <c r="E430" s="330" t="s">
        <v>1503</v>
      </c>
      <c r="F430" s="368">
        <v>862000</v>
      </c>
      <c r="G430" s="368">
        <v>862000</v>
      </c>
      <c r="H430" s="368">
        <f t="shared" si="13"/>
        <v>100</v>
      </c>
      <c r="I430" s="147" t="str">
        <f t="shared" si="12"/>
        <v>01048020060000240</v>
      </c>
    </row>
    <row r="431" spans="1:9">
      <c r="A431" s="329" t="s">
        <v>1577</v>
      </c>
      <c r="B431" s="330" t="s">
        <v>242</v>
      </c>
      <c r="C431" s="330" t="s">
        <v>420</v>
      </c>
      <c r="D431" s="330" t="s">
        <v>766</v>
      </c>
      <c r="E431" s="330" t="s">
        <v>416</v>
      </c>
      <c r="F431" s="368">
        <v>862000</v>
      </c>
      <c r="G431" s="368">
        <v>862000</v>
      </c>
      <c r="H431" s="368">
        <f t="shared" si="13"/>
        <v>100</v>
      </c>
      <c r="I431" s="147" t="str">
        <f t="shared" si="12"/>
        <v>01048020060000244</v>
      </c>
    </row>
    <row r="432" spans="1:9">
      <c r="A432" s="329" t="s">
        <v>218</v>
      </c>
      <c r="B432" s="330" t="s">
        <v>242</v>
      </c>
      <c r="C432" s="330" t="s">
        <v>1362</v>
      </c>
      <c r="D432" s="330" t="s">
        <v>1468</v>
      </c>
      <c r="E432" s="330" t="s">
        <v>1468</v>
      </c>
      <c r="F432" s="368">
        <v>120000</v>
      </c>
      <c r="G432" s="368">
        <v>120000</v>
      </c>
      <c r="H432" s="368">
        <f t="shared" si="13"/>
        <v>100</v>
      </c>
      <c r="I432" s="147" t="str">
        <f t="shared" ref="I432:I495" si="14">CONCATENATE(C432,D432,E432)</f>
        <v>0400</v>
      </c>
    </row>
    <row r="433" spans="1:9">
      <c r="A433" s="329" t="s">
        <v>298</v>
      </c>
      <c r="B433" s="330" t="s">
        <v>242</v>
      </c>
      <c r="C433" s="330" t="s">
        <v>446</v>
      </c>
      <c r="D433" s="330" t="s">
        <v>1468</v>
      </c>
      <c r="E433" s="330" t="s">
        <v>1468</v>
      </c>
      <c r="F433" s="368">
        <v>120000</v>
      </c>
      <c r="G433" s="368">
        <v>120000</v>
      </c>
      <c r="H433" s="368">
        <f t="shared" si="13"/>
        <v>100</v>
      </c>
      <c r="I433" s="147" t="str">
        <f t="shared" si="14"/>
        <v>0409</v>
      </c>
    </row>
    <row r="434" spans="1:9" ht="25.5">
      <c r="A434" s="329" t="s">
        <v>576</v>
      </c>
      <c r="B434" s="330" t="s">
        <v>242</v>
      </c>
      <c r="C434" s="330" t="s">
        <v>446</v>
      </c>
      <c r="D434" s="330" t="s">
        <v>1133</v>
      </c>
      <c r="E434" s="330" t="s">
        <v>1468</v>
      </c>
      <c r="F434" s="368">
        <v>120000</v>
      </c>
      <c r="G434" s="368">
        <v>120000</v>
      </c>
      <c r="H434" s="368">
        <f t="shared" si="13"/>
        <v>100</v>
      </c>
      <c r="I434" s="147" t="str">
        <f t="shared" si="14"/>
        <v>04090900000000</v>
      </c>
    </row>
    <row r="435" spans="1:9">
      <c r="A435" s="329" t="s">
        <v>577</v>
      </c>
      <c r="B435" s="330" t="s">
        <v>242</v>
      </c>
      <c r="C435" s="330" t="s">
        <v>446</v>
      </c>
      <c r="D435" s="330" t="s">
        <v>1134</v>
      </c>
      <c r="E435" s="330" t="s">
        <v>1468</v>
      </c>
      <c r="F435" s="368">
        <v>120000</v>
      </c>
      <c r="G435" s="368">
        <v>120000</v>
      </c>
      <c r="H435" s="368">
        <f t="shared" si="13"/>
        <v>100</v>
      </c>
      <c r="I435" s="147" t="str">
        <f t="shared" si="14"/>
        <v>04090910000000</v>
      </c>
    </row>
    <row r="436" spans="1:9" ht="51">
      <c r="A436" s="329" t="s">
        <v>447</v>
      </c>
      <c r="B436" s="330" t="s">
        <v>242</v>
      </c>
      <c r="C436" s="330" t="s">
        <v>446</v>
      </c>
      <c r="D436" s="330" t="s">
        <v>799</v>
      </c>
      <c r="E436" s="330" t="s">
        <v>1468</v>
      </c>
      <c r="F436" s="368">
        <v>120000</v>
      </c>
      <c r="G436" s="368">
        <v>120000</v>
      </c>
      <c r="H436" s="368">
        <f t="shared" si="13"/>
        <v>100</v>
      </c>
      <c r="I436" s="147" t="str">
        <f t="shared" si="14"/>
        <v>04090910080000</v>
      </c>
    </row>
    <row r="437" spans="1:9" ht="25.5">
      <c r="A437" s="329" t="s">
        <v>1755</v>
      </c>
      <c r="B437" s="330" t="s">
        <v>242</v>
      </c>
      <c r="C437" s="330" t="s">
        <v>446</v>
      </c>
      <c r="D437" s="330" t="s">
        <v>799</v>
      </c>
      <c r="E437" s="330" t="s">
        <v>1756</v>
      </c>
      <c r="F437" s="368">
        <v>120000</v>
      </c>
      <c r="G437" s="368">
        <v>120000</v>
      </c>
      <c r="H437" s="368">
        <f t="shared" si="13"/>
        <v>100</v>
      </c>
      <c r="I437" s="147" t="str">
        <f t="shared" si="14"/>
        <v>04090910080000200</v>
      </c>
    </row>
    <row r="438" spans="1:9" ht="38.25">
      <c r="A438" s="329" t="s">
        <v>1502</v>
      </c>
      <c r="B438" s="330" t="s">
        <v>242</v>
      </c>
      <c r="C438" s="330" t="s">
        <v>446</v>
      </c>
      <c r="D438" s="330" t="s">
        <v>799</v>
      </c>
      <c r="E438" s="330" t="s">
        <v>1503</v>
      </c>
      <c r="F438" s="368">
        <v>120000</v>
      </c>
      <c r="G438" s="368">
        <v>120000</v>
      </c>
      <c r="H438" s="368">
        <f t="shared" si="13"/>
        <v>100</v>
      </c>
      <c r="I438" s="147" t="str">
        <f t="shared" si="14"/>
        <v>04090910080000240</v>
      </c>
    </row>
    <row r="439" spans="1:9">
      <c r="A439" s="329" t="s">
        <v>1577</v>
      </c>
      <c r="B439" s="330" t="s">
        <v>242</v>
      </c>
      <c r="C439" s="330" t="s">
        <v>446</v>
      </c>
      <c r="D439" s="330" t="s">
        <v>799</v>
      </c>
      <c r="E439" s="330" t="s">
        <v>416</v>
      </c>
      <c r="F439" s="368">
        <v>120000</v>
      </c>
      <c r="G439" s="368">
        <v>120000</v>
      </c>
      <c r="H439" s="368">
        <f t="shared" si="13"/>
        <v>100</v>
      </c>
      <c r="I439" s="147" t="str">
        <f t="shared" si="14"/>
        <v>04090910080000244</v>
      </c>
    </row>
    <row r="440" spans="1:9">
      <c r="A440" s="329" t="s">
        <v>283</v>
      </c>
      <c r="B440" s="330" t="s">
        <v>242</v>
      </c>
      <c r="C440" s="330" t="s">
        <v>1363</v>
      </c>
      <c r="D440" s="330" t="s">
        <v>1468</v>
      </c>
      <c r="E440" s="330" t="s">
        <v>1468</v>
      </c>
      <c r="F440" s="368">
        <f>F441+F472</f>
        <v>60996510.68</v>
      </c>
      <c r="G440" s="368">
        <f>G441+G472</f>
        <v>29232321.23</v>
      </c>
      <c r="H440" s="368">
        <f t="shared" si="13"/>
        <v>47.924579462190316</v>
      </c>
      <c r="I440" s="147" t="str">
        <f t="shared" si="14"/>
        <v>0500</v>
      </c>
    </row>
    <row r="441" spans="1:9">
      <c r="A441" s="329" t="s">
        <v>180</v>
      </c>
      <c r="B441" s="330" t="s">
        <v>242</v>
      </c>
      <c r="C441" s="330" t="s">
        <v>452</v>
      </c>
      <c r="D441" s="330" t="s">
        <v>1468</v>
      </c>
      <c r="E441" s="330" t="s">
        <v>1468</v>
      </c>
      <c r="F441" s="368">
        <v>56216161.619999997</v>
      </c>
      <c r="G441" s="368">
        <v>24768100.52</v>
      </c>
      <c r="H441" s="368">
        <f t="shared" si="13"/>
        <v>44.058683137107437</v>
      </c>
      <c r="I441" s="147" t="str">
        <f t="shared" si="14"/>
        <v>0502</v>
      </c>
    </row>
    <row r="442" spans="1:9" ht="38.25">
      <c r="A442" s="329" t="s">
        <v>545</v>
      </c>
      <c r="B442" s="330" t="s">
        <v>242</v>
      </c>
      <c r="C442" s="330" t="s">
        <v>452</v>
      </c>
      <c r="D442" s="330" t="s">
        <v>1113</v>
      </c>
      <c r="E442" s="330" t="s">
        <v>1468</v>
      </c>
      <c r="F442" s="368">
        <v>56190835.030000001</v>
      </c>
      <c r="G442" s="368">
        <v>24742773.93</v>
      </c>
      <c r="H442" s="368">
        <f t="shared" si="13"/>
        <v>44.0334690110762</v>
      </c>
      <c r="I442" s="147" t="str">
        <f t="shared" si="14"/>
        <v>05020300000000</v>
      </c>
    </row>
    <row r="443" spans="1:9" ht="38.25">
      <c r="A443" s="329" t="s">
        <v>702</v>
      </c>
      <c r="B443" s="330" t="s">
        <v>242</v>
      </c>
      <c r="C443" s="330" t="s">
        <v>452</v>
      </c>
      <c r="D443" s="330" t="s">
        <v>1116</v>
      </c>
      <c r="E443" s="330" t="s">
        <v>1468</v>
      </c>
      <c r="F443" s="368">
        <v>53214773.030000001</v>
      </c>
      <c r="G443" s="368">
        <v>24742773.93</v>
      </c>
      <c r="H443" s="368">
        <f t="shared" si="13"/>
        <v>46.496062129309806</v>
      </c>
      <c r="I443" s="147" t="str">
        <f t="shared" si="14"/>
        <v>05020350000000</v>
      </c>
    </row>
    <row r="444" spans="1:9" ht="229.5">
      <c r="A444" s="329" t="s">
        <v>1909</v>
      </c>
      <c r="B444" s="330" t="s">
        <v>242</v>
      </c>
      <c r="C444" s="330" t="s">
        <v>452</v>
      </c>
      <c r="D444" s="330" t="s">
        <v>1910</v>
      </c>
      <c r="E444" s="330" t="s">
        <v>1468</v>
      </c>
      <c r="F444" s="368">
        <v>22300000</v>
      </c>
      <c r="G444" s="368">
        <v>21175995.789999999</v>
      </c>
      <c r="H444" s="368">
        <f t="shared" si="13"/>
        <v>94.959622376681608</v>
      </c>
      <c r="I444" s="147" t="str">
        <f t="shared" si="14"/>
        <v>05020350075710</v>
      </c>
    </row>
    <row r="445" spans="1:9" ht="25.5">
      <c r="A445" s="329" t="s">
        <v>1755</v>
      </c>
      <c r="B445" s="330" t="s">
        <v>242</v>
      </c>
      <c r="C445" s="330" t="s">
        <v>452</v>
      </c>
      <c r="D445" s="330" t="s">
        <v>1910</v>
      </c>
      <c r="E445" s="330" t="s">
        <v>1756</v>
      </c>
      <c r="F445" s="368">
        <v>22300000</v>
      </c>
      <c r="G445" s="368">
        <v>21175995.789999999</v>
      </c>
      <c r="H445" s="368">
        <f t="shared" si="13"/>
        <v>94.959622376681608</v>
      </c>
      <c r="I445" s="147" t="str">
        <f t="shared" si="14"/>
        <v>05020350075710200</v>
      </c>
    </row>
    <row r="446" spans="1:9" ht="38.25">
      <c r="A446" s="329" t="s">
        <v>1502</v>
      </c>
      <c r="B446" s="330" t="s">
        <v>242</v>
      </c>
      <c r="C446" s="330" t="s">
        <v>452</v>
      </c>
      <c r="D446" s="330" t="s">
        <v>1910</v>
      </c>
      <c r="E446" s="330" t="s">
        <v>1503</v>
      </c>
      <c r="F446" s="368">
        <v>22300000</v>
      </c>
      <c r="G446" s="368">
        <v>21175995.789999999</v>
      </c>
      <c r="H446" s="368">
        <f t="shared" si="13"/>
        <v>94.959622376681608</v>
      </c>
      <c r="I446" s="147" t="str">
        <f t="shared" si="14"/>
        <v>05020350075710240</v>
      </c>
    </row>
    <row r="447" spans="1:9" ht="38.25">
      <c r="A447" s="329" t="s">
        <v>431</v>
      </c>
      <c r="B447" s="330" t="s">
        <v>242</v>
      </c>
      <c r="C447" s="330" t="s">
        <v>452</v>
      </c>
      <c r="D447" s="330" t="s">
        <v>1910</v>
      </c>
      <c r="E447" s="330" t="s">
        <v>432</v>
      </c>
      <c r="F447" s="368">
        <v>22300000</v>
      </c>
      <c r="G447" s="368">
        <v>21175995.789999999</v>
      </c>
      <c r="H447" s="368">
        <f t="shared" si="13"/>
        <v>94.959622376681608</v>
      </c>
      <c r="I447" s="147" t="str">
        <f t="shared" si="14"/>
        <v>05020350075710243</v>
      </c>
    </row>
    <row r="448" spans="1:9" ht="89.25">
      <c r="A448" s="329" t="s">
        <v>475</v>
      </c>
      <c r="B448" s="330" t="s">
        <v>242</v>
      </c>
      <c r="C448" s="330" t="s">
        <v>452</v>
      </c>
      <c r="D448" s="330" t="s">
        <v>821</v>
      </c>
      <c r="E448" s="330" t="s">
        <v>1468</v>
      </c>
      <c r="F448" s="368">
        <v>30317769.09</v>
      </c>
      <c r="G448" s="368">
        <v>2969774.2</v>
      </c>
      <c r="H448" s="368">
        <f t="shared" si="13"/>
        <v>9.795490529610074</v>
      </c>
      <c r="I448" s="147" t="str">
        <f t="shared" si="14"/>
        <v>05020350080000</v>
      </c>
    </row>
    <row r="449" spans="1:9" ht="25.5">
      <c r="A449" s="329" t="s">
        <v>1755</v>
      </c>
      <c r="B449" s="330" t="s">
        <v>242</v>
      </c>
      <c r="C449" s="330" t="s">
        <v>452</v>
      </c>
      <c r="D449" s="330" t="s">
        <v>821</v>
      </c>
      <c r="E449" s="330" t="s">
        <v>1756</v>
      </c>
      <c r="F449" s="368">
        <v>30317769.09</v>
      </c>
      <c r="G449" s="368">
        <v>2969774.2</v>
      </c>
      <c r="H449" s="368">
        <f t="shared" si="13"/>
        <v>9.795490529610074</v>
      </c>
      <c r="I449" s="147" t="str">
        <f t="shared" si="14"/>
        <v>05020350080000200</v>
      </c>
    </row>
    <row r="450" spans="1:9" ht="38.25">
      <c r="A450" s="329" t="s">
        <v>1502</v>
      </c>
      <c r="B450" s="330" t="s">
        <v>242</v>
      </c>
      <c r="C450" s="330" t="s">
        <v>452</v>
      </c>
      <c r="D450" s="330" t="s">
        <v>821</v>
      </c>
      <c r="E450" s="330" t="s">
        <v>1503</v>
      </c>
      <c r="F450" s="368">
        <v>30317769.09</v>
      </c>
      <c r="G450" s="368">
        <v>2969774.2</v>
      </c>
      <c r="H450" s="368">
        <f t="shared" si="13"/>
        <v>9.795490529610074</v>
      </c>
      <c r="I450" s="147" t="str">
        <f t="shared" si="14"/>
        <v>05020350080000240</v>
      </c>
    </row>
    <row r="451" spans="1:9" ht="38.25">
      <c r="A451" s="329" t="s">
        <v>431</v>
      </c>
      <c r="B451" s="330" t="s">
        <v>242</v>
      </c>
      <c r="C451" s="330" t="s">
        <v>452</v>
      </c>
      <c r="D451" s="330" t="s">
        <v>821</v>
      </c>
      <c r="E451" s="330" t="s">
        <v>432</v>
      </c>
      <c r="F451" s="368">
        <v>30209625.690000001</v>
      </c>
      <c r="G451" s="368">
        <v>2861630.8</v>
      </c>
      <c r="H451" s="368">
        <f t="shared" si="13"/>
        <v>9.4725794664422391</v>
      </c>
      <c r="I451" s="147" t="str">
        <f t="shared" si="14"/>
        <v>05020350080000243</v>
      </c>
    </row>
    <row r="452" spans="1:9">
      <c r="A452" s="329" t="s">
        <v>1577</v>
      </c>
      <c r="B452" s="330" t="s">
        <v>242</v>
      </c>
      <c r="C452" s="330" t="s">
        <v>452</v>
      </c>
      <c r="D452" s="330" t="s">
        <v>821</v>
      </c>
      <c r="E452" s="330" t="s">
        <v>416</v>
      </c>
      <c r="F452" s="368">
        <v>108143.4</v>
      </c>
      <c r="G452" s="368">
        <v>108143.4</v>
      </c>
      <c r="H452" s="368">
        <f t="shared" si="13"/>
        <v>100</v>
      </c>
      <c r="I452" s="147" t="str">
        <f t="shared" si="14"/>
        <v>05020350080000244</v>
      </c>
    </row>
    <row r="453" spans="1:9" ht="102">
      <c r="A453" s="329" t="s">
        <v>2001</v>
      </c>
      <c r="B453" s="330" t="s">
        <v>242</v>
      </c>
      <c r="C453" s="330" t="s">
        <v>452</v>
      </c>
      <c r="D453" s="330" t="s">
        <v>2006</v>
      </c>
      <c r="E453" s="330" t="s">
        <v>1468</v>
      </c>
      <c r="F453" s="368">
        <v>332492.59999999998</v>
      </c>
      <c r="G453" s="368">
        <v>332492.59999999998</v>
      </c>
      <c r="H453" s="368">
        <f t="shared" si="13"/>
        <v>100</v>
      </c>
      <c r="I453" s="147" t="str">
        <f t="shared" si="14"/>
        <v>0502035008Ф000</v>
      </c>
    </row>
    <row r="454" spans="1:9" ht="25.5">
      <c r="A454" s="329" t="s">
        <v>1755</v>
      </c>
      <c r="B454" s="330" t="s">
        <v>242</v>
      </c>
      <c r="C454" s="330" t="s">
        <v>452</v>
      </c>
      <c r="D454" s="330" t="s">
        <v>2006</v>
      </c>
      <c r="E454" s="330" t="s">
        <v>1756</v>
      </c>
      <c r="F454" s="368">
        <v>332492.59999999998</v>
      </c>
      <c r="G454" s="368">
        <v>332492.59999999998</v>
      </c>
      <c r="H454" s="368">
        <f t="shared" si="13"/>
        <v>100</v>
      </c>
      <c r="I454" s="147" t="str">
        <f t="shared" si="14"/>
        <v>0502035008Ф000200</v>
      </c>
    </row>
    <row r="455" spans="1:9" ht="38.25">
      <c r="A455" s="329" t="s">
        <v>1502</v>
      </c>
      <c r="B455" s="330" t="s">
        <v>242</v>
      </c>
      <c r="C455" s="330" t="s">
        <v>452</v>
      </c>
      <c r="D455" s="330" t="s">
        <v>2006</v>
      </c>
      <c r="E455" s="330" t="s">
        <v>1503</v>
      </c>
      <c r="F455" s="368">
        <v>332492.59999999998</v>
      </c>
      <c r="G455" s="368">
        <v>332492.59999999998</v>
      </c>
      <c r="H455" s="368">
        <f t="shared" si="13"/>
        <v>100</v>
      </c>
      <c r="I455" s="147" t="str">
        <f t="shared" si="14"/>
        <v>0502035008Ф000240</v>
      </c>
    </row>
    <row r="456" spans="1:9">
      <c r="A456" s="329" t="s">
        <v>1577</v>
      </c>
      <c r="B456" s="330" t="s">
        <v>242</v>
      </c>
      <c r="C456" s="330" t="s">
        <v>452</v>
      </c>
      <c r="D456" s="330" t="s">
        <v>2006</v>
      </c>
      <c r="E456" s="330" t="s">
        <v>416</v>
      </c>
      <c r="F456" s="368">
        <v>332492.59999999998</v>
      </c>
      <c r="G456" s="368">
        <v>332492.59999999998</v>
      </c>
      <c r="H456" s="368">
        <f t="shared" ref="H456:H519" si="15">G456/F456*100</f>
        <v>100</v>
      </c>
      <c r="I456" s="147" t="str">
        <f t="shared" si="14"/>
        <v>0502035008Ф000244</v>
      </c>
    </row>
    <row r="457" spans="1:9" ht="229.5">
      <c r="A457" s="329" t="s">
        <v>1911</v>
      </c>
      <c r="B457" s="330" t="s">
        <v>242</v>
      </c>
      <c r="C457" s="330" t="s">
        <v>452</v>
      </c>
      <c r="D457" s="330" t="s">
        <v>1912</v>
      </c>
      <c r="E457" s="330" t="s">
        <v>1468</v>
      </c>
      <c r="F457" s="368">
        <v>264511.34000000003</v>
      </c>
      <c r="G457" s="368">
        <v>264511.34000000003</v>
      </c>
      <c r="H457" s="368">
        <f t="shared" si="15"/>
        <v>100</v>
      </c>
      <c r="I457" s="147" t="str">
        <f t="shared" si="14"/>
        <v>050203500S5710</v>
      </c>
    </row>
    <row r="458" spans="1:9" ht="25.5">
      <c r="A458" s="329" t="s">
        <v>1755</v>
      </c>
      <c r="B458" s="330" t="s">
        <v>242</v>
      </c>
      <c r="C458" s="330" t="s">
        <v>452</v>
      </c>
      <c r="D458" s="330" t="s">
        <v>1912</v>
      </c>
      <c r="E458" s="330" t="s">
        <v>1756</v>
      </c>
      <c r="F458" s="368">
        <v>264511.34000000003</v>
      </c>
      <c r="G458" s="368">
        <v>264511.34000000003</v>
      </c>
      <c r="H458" s="368">
        <f t="shared" si="15"/>
        <v>100</v>
      </c>
      <c r="I458" s="147" t="str">
        <f t="shared" si="14"/>
        <v>050203500S5710200</v>
      </c>
    </row>
    <row r="459" spans="1:9" ht="38.25">
      <c r="A459" s="329" t="s">
        <v>1502</v>
      </c>
      <c r="B459" s="330" t="s">
        <v>242</v>
      </c>
      <c r="C459" s="330" t="s">
        <v>452</v>
      </c>
      <c r="D459" s="330" t="s">
        <v>1912</v>
      </c>
      <c r="E459" s="330" t="s">
        <v>1503</v>
      </c>
      <c r="F459" s="368">
        <v>264511.34000000003</v>
      </c>
      <c r="G459" s="368">
        <v>264511.34000000003</v>
      </c>
      <c r="H459" s="368">
        <f t="shared" si="15"/>
        <v>100</v>
      </c>
      <c r="I459" s="147" t="str">
        <f t="shared" si="14"/>
        <v>050203500S5710240</v>
      </c>
    </row>
    <row r="460" spans="1:9" ht="38.25">
      <c r="A460" s="329" t="s">
        <v>431</v>
      </c>
      <c r="B460" s="330" t="s">
        <v>242</v>
      </c>
      <c r="C460" s="330" t="s">
        <v>452</v>
      </c>
      <c r="D460" s="330" t="s">
        <v>1912</v>
      </c>
      <c r="E460" s="330" t="s">
        <v>432</v>
      </c>
      <c r="F460" s="368">
        <v>264511.34000000003</v>
      </c>
      <c r="G460" s="368">
        <v>264511.34000000003</v>
      </c>
      <c r="H460" s="368">
        <f t="shared" si="15"/>
        <v>100</v>
      </c>
      <c r="I460" s="147" t="str">
        <f t="shared" si="14"/>
        <v>050203500S5710243</v>
      </c>
    </row>
    <row r="461" spans="1:9" ht="25.5">
      <c r="A461" s="329" t="s">
        <v>1777</v>
      </c>
      <c r="B461" s="330" t="s">
        <v>242</v>
      </c>
      <c r="C461" s="330" t="s">
        <v>452</v>
      </c>
      <c r="D461" s="330" t="s">
        <v>1778</v>
      </c>
      <c r="E461" s="330" t="s">
        <v>1468</v>
      </c>
      <c r="F461" s="368">
        <v>2976062</v>
      </c>
      <c r="G461" s="368">
        <v>0</v>
      </c>
      <c r="H461" s="368">
        <f t="shared" si="15"/>
        <v>0</v>
      </c>
      <c r="I461" s="147" t="str">
        <f t="shared" si="14"/>
        <v>05020370000000</v>
      </c>
    </row>
    <row r="462" spans="1:9" ht="76.5">
      <c r="A462" s="329" t="s">
        <v>1006</v>
      </c>
      <c r="B462" s="330" t="s">
        <v>242</v>
      </c>
      <c r="C462" s="330" t="s">
        <v>452</v>
      </c>
      <c r="D462" s="330" t="s">
        <v>1005</v>
      </c>
      <c r="E462" s="330" t="s">
        <v>1468</v>
      </c>
      <c r="F462" s="368">
        <v>2976062</v>
      </c>
      <c r="G462" s="368">
        <v>0</v>
      </c>
      <c r="H462" s="368">
        <f t="shared" si="15"/>
        <v>0</v>
      </c>
      <c r="I462" s="147" t="str">
        <f t="shared" si="14"/>
        <v>05020370080000</v>
      </c>
    </row>
    <row r="463" spans="1:9" ht="25.5">
      <c r="A463" s="329" t="s">
        <v>1755</v>
      </c>
      <c r="B463" s="330" t="s">
        <v>242</v>
      </c>
      <c r="C463" s="330" t="s">
        <v>452</v>
      </c>
      <c r="D463" s="330" t="s">
        <v>1005</v>
      </c>
      <c r="E463" s="330" t="s">
        <v>1756</v>
      </c>
      <c r="F463" s="368">
        <v>2976062</v>
      </c>
      <c r="G463" s="368">
        <v>0</v>
      </c>
      <c r="H463" s="368">
        <f t="shared" si="15"/>
        <v>0</v>
      </c>
      <c r="I463" s="147" t="str">
        <f t="shared" si="14"/>
        <v>05020370080000200</v>
      </c>
    </row>
    <row r="464" spans="1:9" ht="38.25">
      <c r="A464" s="329" t="s">
        <v>1502</v>
      </c>
      <c r="B464" s="330" t="s">
        <v>242</v>
      </c>
      <c r="C464" s="330" t="s">
        <v>452</v>
      </c>
      <c r="D464" s="330" t="s">
        <v>1005</v>
      </c>
      <c r="E464" s="330" t="s">
        <v>1503</v>
      </c>
      <c r="F464" s="368">
        <v>2976062</v>
      </c>
      <c r="G464" s="368">
        <v>0</v>
      </c>
      <c r="H464" s="368">
        <f t="shared" si="15"/>
        <v>0</v>
      </c>
      <c r="I464" s="147" t="str">
        <f t="shared" si="14"/>
        <v>05020370080000240</v>
      </c>
    </row>
    <row r="465" spans="1:9">
      <c r="A465" s="329" t="s">
        <v>1577</v>
      </c>
      <c r="B465" s="330" t="s">
        <v>242</v>
      </c>
      <c r="C465" s="330" t="s">
        <v>452</v>
      </c>
      <c r="D465" s="330" t="s">
        <v>1005</v>
      </c>
      <c r="E465" s="330" t="s">
        <v>416</v>
      </c>
      <c r="F465" s="368">
        <v>2976062</v>
      </c>
      <c r="G465" s="368">
        <v>0</v>
      </c>
      <c r="H465" s="368">
        <f t="shared" si="15"/>
        <v>0</v>
      </c>
      <c r="I465" s="147" t="str">
        <f t="shared" si="14"/>
        <v>05020370080000244</v>
      </c>
    </row>
    <row r="466" spans="1:9" ht="25.5">
      <c r="A466" s="329" t="s">
        <v>710</v>
      </c>
      <c r="B466" s="330" t="s">
        <v>242</v>
      </c>
      <c r="C466" s="330" t="s">
        <v>452</v>
      </c>
      <c r="D466" s="330" t="s">
        <v>1151</v>
      </c>
      <c r="E466" s="330" t="s">
        <v>1468</v>
      </c>
      <c r="F466" s="368">
        <v>25326.59</v>
      </c>
      <c r="G466" s="368">
        <v>25326.59</v>
      </c>
      <c r="H466" s="368">
        <f t="shared" si="15"/>
        <v>100</v>
      </c>
      <c r="I466" s="147" t="str">
        <f t="shared" si="14"/>
        <v>05029000000000</v>
      </c>
    </row>
    <row r="467" spans="1:9" ht="25.5">
      <c r="A467" s="329" t="s">
        <v>520</v>
      </c>
      <c r="B467" s="330" t="s">
        <v>242</v>
      </c>
      <c r="C467" s="330" t="s">
        <v>452</v>
      </c>
      <c r="D467" s="330" t="s">
        <v>1155</v>
      </c>
      <c r="E467" s="330" t="s">
        <v>1468</v>
      </c>
      <c r="F467" s="368">
        <v>25326.59</v>
      </c>
      <c r="G467" s="368">
        <v>25326.59</v>
      </c>
      <c r="H467" s="368">
        <f t="shared" si="15"/>
        <v>100</v>
      </c>
      <c r="I467" s="147" t="str">
        <f t="shared" si="14"/>
        <v>05029090000000</v>
      </c>
    </row>
    <row r="468" spans="1:9" ht="25.5">
      <c r="A468" s="329" t="s">
        <v>520</v>
      </c>
      <c r="B468" s="330" t="s">
        <v>242</v>
      </c>
      <c r="C468" s="330" t="s">
        <v>452</v>
      </c>
      <c r="D468" s="330" t="s">
        <v>923</v>
      </c>
      <c r="E468" s="330" t="s">
        <v>1468</v>
      </c>
      <c r="F468" s="368">
        <v>25326.59</v>
      </c>
      <c r="G468" s="368">
        <v>25326.59</v>
      </c>
      <c r="H468" s="368">
        <f t="shared" si="15"/>
        <v>100</v>
      </c>
      <c r="I468" s="147" t="str">
        <f t="shared" si="14"/>
        <v>05029090080000</v>
      </c>
    </row>
    <row r="469" spans="1:9" ht="25.5">
      <c r="A469" s="329" t="s">
        <v>1755</v>
      </c>
      <c r="B469" s="330" t="s">
        <v>242</v>
      </c>
      <c r="C469" s="330" t="s">
        <v>452</v>
      </c>
      <c r="D469" s="330" t="s">
        <v>923</v>
      </c>
      <c r="E469" s="330" t="s">
        <v>1756</v>
      </c>
      <c r="F469" s="368">
        <v>25326.59</v>
      </c>
      <c r="G469" s="368">
        <v>25326.59</v>
      </c>
      <c r="H469" s="368">
        <f t="shared" si="15"/>
        <v>100</v>
      </c>
      <c r="I469" s="147" t="str">
        <f t="shared" si="14"/>
        <v>05029090080000200</v>
      </c>
    </row>
    <row r="470" spans="1:9" ht="38.25">
      <c r="A470" s="329" t="s">
        <v>1502</v>
      </c>
      <c r="B470" s="330" t="s">
        <v>242</v>
      </c>
      <c r="C470" s="330" t="s">
        <v>452</v>
      </c>
      <c r="D470" s="330" t="s">
        <v>923</v>
      </c>
      <c r="E470" s="330" t="s">
        <v>1503</v>
      </c>
      <c r="F470" s="368">
        <v>25326.59</v>
      </c>
      <c r="G470" s="368">
        <v>25326.59</v>
      </c>
      <c r="H470" s="368">
        <f t="shared" si="15"/>
        <v>100</v>
      </c>
      <c r="I470" s="147" t="str">
        <f t="shared" si="14"/>
        <v>05029090080000240</v>
      </c>
    </row>
    <row r="471" spans="1:9" ht="38.25">
      <c r="A471" s="329" t="s">
        <v>431</v>
      </c>
      <c r="B471" s="330" t="s">
        <v>242</v>
      </c>
      <c r="C471" s="330" t="s">
        <v>452</v>
      </c>
      <c r="D471" s="330" t="s">
        <v>923</v>
      </c>
      <c r="E471" s="330" t="s">
        <v>432</v>
      </c>
      <c r="F471" s="368">
        <v>25326.59</v>
      </c>
      <c r="G471" s="368">
        <v>25326.59</v>
      </c>
      <c r="H471" s="368">
        <f t="shared" si="15"/>
        <v>100</v>
      </c>
      <c r="I471" s="147" t="str">
        <f t="shared" si="14"/>
        <v>05029090080000243</v>
      </c>
    </row>
    <row r="472" spans="1:9" ht="25.5">
      <c r="A472" s="329" t="s">
        <v>185</v>
      </c>
      <c r="B472" s="330" t="s">
        <v>242</v>
      </c>
      <c r="C472" s="330" t="s">
        <v>477</v>
      </c>
      <c r="D472" s="330" t="s">
        <v>1468</v>
      </c>
      <c r="E472" s="330" t="s">
        <v>1468</v>
      </c>
      <c r="F472" s="368">
        <v>4780349.0599999996</v>
      </c>
      <c r="G472" s="368">
        <v>4464220.71</v>
      </c>
      <c r="H472" s="368">
        <f t="shared" si="15"/>
        <v>93.386919113392125</v>
      </c>
      <c r="I472" s="147" t="str">
        <f t="shared" si="14"/>
        <v>0505</v>
      </c>
    </row>
    <row r="473" spans="1:9" ht="25.5">
      <c r="A473" s="329" t="s">
        <v>710</v>
      </c>
      <c r="B473" s="330" t="s">
        <v>242</v>
      </c>
      <c r="C473" s="330" t="s">
        <v>477</v>
      </c>
      <c r="D473" s="330" t="s">
        <v>1151</v>
      </c>
      <c r="E473" s="330" t="s">
        <v>1468</v>
      </c>
      <c r="F473" s="368">
        <v>4780349.0599999996</v>
      </c>
      <c r="G473" s="368">
        <v>4464220.71</v>
      </c>
      <c r="H473" s="368">
        <f t="shared" si="15"/>
        <v>93.386919113392125</v>
      </c>
      <c r="I473" s="147" t="str">
        <f t="shared" si="14"/>
        <v>05059000000000</v>
      </c>
    </row>
    <row r="474" spans="1:9" ht="38.25">
      <c r="A474" s="329" t="s">
        <v>478</v>
      </c>
      <c r="B474" s="330" t="s">
        <v>242</v>
      </c>
      <c r="C474" s="330" t="s">
        <v>477</v>
      </c>
      <c r="D474" s="330" t="s">
        <v>1153</v>
      </c>
      <c r="E474" s="330" t="s">
        <v>1468</v>
      </c>
      <c r="F474" s="368">
        <v>4335128.53</v>
      </c>
      <c r="G474" s="368">
        <v>4019000.18</v>
      </c>
      <c r="H474" s="368">
        <f t="shared" si="15"/>
        <v>92.707751389322695</v>
      </c>
      <c r="I474" s="147" t="str">
        <f t="shared" si="14"/>
        <v>05059050000000</v>
      </c>
    </row>
    <row r="475" spans="1:9" ht="38.25">
      <c r="A475" s="329" t="s">
        <v>478</v>
      </c>
      <c r="B475" s="330" t="s">
        <v>242</v>
      </c>
      <c r="C475" s="330" t="s">
        <v>477</v>
      </c>
      <c r="D475" s="330" t="s">
        <v>822</v>
      </c>
      <c r="E475" s="330" t="s">
        <v>1468</v>
      </c>
      <c r="F475" s="368">
        <v>4211496.3</v>
      </c>
      <c r="G475" s="368">
        <v>3935935.43</v>
      </c>
      <c r="H475" s="368">
        <f t="shared" si="15"/>
        <v>93.456936671177886</v>
      </c>
      <c r="I475" s="147" t="str">
        <f t="shared" si="14"/>
        <v>05059050040000</v>
      </c>
    </row>
    <row r="476" spans="1:9" ht="63.75">
      <c r="A476" s="329" t="s">
        <v>1754</v>
      </c>
      <c r="B476" s="330" t="s">
        <v>242</v>
      </c>
      <c r="C476" s="330" t="s">
        <v>477</v>
      </c>
      <c r="D476" s="330" t="s">
        <v>822</v>
      </c>
      <c r="E476" s="330" t="s">
        <v>322</v>
      </c>
      <c r="F476" s="368">
        <v>3790281.9</v>
      </c>
      <c r="G476" s="368">
        <f>G477</f>
        <v>3518579.82</v>
      </c>
      <c r="H476" s="368">
        <f t="shared" si="15"/>
        <v>92.831612867633922</v>
      </c>
      <c r="I476" s="147" t="str">
        <f t="shared" si="14"/>
        <v>05059050040000100</v>
      </c>
    </row>
    <row r="477" spans="1:9" ht="25.5">
      <c r="A477" s="329" t="s">
        <v>1487</v>
      </c>
      <c r="B477" s="330" t="s">
        <v>242</v>
      </c>
      <c r="C477" s="330" t="s">
        <v>477</v>
      </c>
      <c r="D477" s="330" t="s">
        <v>822</v>
      </c>
      <c r="E477" s="330" t="s">
        <v>165</v>
      </c>
      <c r="F477" s="368">
        <v>3790281.9</v>
      </c>
      <c r="G477" s="368">
        <f>G478+G479+G480</f>
        <v>3518579.82</v>
      </c>
      <c r="H477" s="368">
        <f t="shared" si="15"/>
        <v>92.831612867633922</v>
      </c>
      <c r="I477" s="147" t="str">
        <f t="shared" si="14"/>
        <v>05059050040000110</v>
      </c>
    </row>
    <row r="478" spans="1:9">
      <c r="A478" s="329" t="s">
        <v>1360</v>
      </c>
      <c r="B478" s="330" t="s">
        <v>242</v>
      </c>
      <c r="C478" s="330" t="s">
        <v>477</v>
      </c>
      <c r="D478" s="330" t="s">
        <v>822</v>
      </c>
      <c r="E478" s="330" t="s">
        <v>430</v>
      </c>
      <c r="F478" s="368">
        <v>2879245</v>
      </c>
      <c r="G478" s="368">
        <v>2701496.67</v>
      </c>
      <c r="H478" s="368">
        <f t="shared" si="15"/>
        <v>93.826564602873319</v>
      </c>
      <c r="I478" s="147" t="str">
        <f t="shared" si="14"/>
        <v>05059050040000111</v>
      </c>
    </row>
    <row r="479" spans="1:9" ht="25.5">
      <c r="A479" s="329" t="s">
        <v>1369</v>
      </c>
      <c r="B479" s="330" t="s">
        <v>242</v>
      </c>
      <c r="C479" s="330" t="s">
        <v>477</v>
      </c>
      <c r="D479" s="330" t="s">
        <v>822</v>
      </c>
      <c r="E479" s="330" t="s">
        <v>479</v>
      </c>
      <c r="F479" s="368">
        <v>9582.9</v>
      </c>
      <c r="G479" s="368">
        <v>9582.9</v>
      </c>
      <c r="H479" s="368">
        <f t="shared" si="15"/>
        <v>100</v>
      </c>
      <c r="I479" s="147" t="str">
        <f t="shared" si="14"/>
        <v>05059050040000112</v>
      </c>
    </row>
    <row r="480" spans="1:9" ht="51">
      <c r="A480" s="329" t="s">
        <v>1361</v>
      </c>
      <c r="B480" s="330" t="s">
        <v>242</v>
      </c>
      <c r="C480" s="330" t="s">
        <v>477</v>
      </c>
      <c r="D480" s="330" t="s">
        <v>822</v>
      </c>
      <c r="E480" s="330" t="s">
        <v>1197</v>
      </c>
      <c r="F480" s="368">
        <v>901454</v>
      </c>
      <c r="G480" s="368">
        <v>807500.25</v>
      </c>
      <c r="H480" s="368">
        <f t="shared" si="15"/>
        <v>89.577532519684866</v>
      </c>
      <c r="I480" s="147" t="str">
        <f t="shared" si="14"/>
        <v>05059050040000119</v>
      </c>
    </row>
    <row r="481" spans="1:9" ht="25.5">
      <c r="A481" s="329" t="s">
        <v>1755</v>
      </c>
      <c r="B481" s="330" t="s">
        <v>242</v>
      </c>
      <c r="C481" s="330" t="s">
        <v>477</v>
      </c>
      <c r="D481" s="330" t="s">
        <v>822</v>
      </c>
      <c r="E481" s="330" t="s">
        <v>1756</v>
      </c>
      <c r="F481" s="368">
        <v>325135.87</v>
      </c>
      <c r="G481" s="368">
        <v>321300.83</v>
      </c>
      <c r="H481" s="368">
        <f t="shared" si="15"/>
        <v>98.820480803917448</v>
      </c>
      <c r="I481" s="147" t="str">
        <f t="shared" si="14"/>
        <v>05059050040000200</v>
      </c>
    </row>
    <row r="482" spans="1:9" ht="38.25">
      <c r="A482" s="329" t="s">
        <v>1502</v>
      </c>
      <c r="B482" s="330" t="s">
        <v>242</v>
      </c>
      <c r="C482" s="330" t="s">
        <v>477</v>
      </c>
      <c r="D482" s="330" t="s">
        <v>822</v>
      </c>
      <c r="E482" s="330" t="s">
        <v>1503</v>
      </c>
      <c r="F482" s="368">
        <v>325135.87</v>
      </c>
      <c r="G482" s="368">
        <v>321300.83</v>
      </c>
      <c r="H482" s="368">
        <f t="shared" si="15"/>
        <v>98.820480803917448</v>
      </c>
      <c r="I482" s="147" t="str">
        <f t="shared" si="14"/>
        <v>05059050040000240</v>
      </c>
    </row>
    <row r="483" spans="1:9">
      <c r="A483" s="329" t="s">
        <v>1577</v>
      </c>
      <c r="B483" s="330" t="s">
        <v>242</v>
      </c>
      <c r="C483" s="330" t="s">
        <v>477</v>
      </c>
      <c r="D483" s="330" t="s">
        <v>822</v>
      </c>
      <c r="E483" s="330" t="s">
        <v>416</v>
      </c>
      <c r="F483" s="368">
        <v>325135.87</v>
      </c>
      <c r="G483" s="368">
        <v>321300.83</v>
      </c>
      <c r="H483" s="368">
        <f t="shared" si="15"/>
        <v>98.820480803917448</v>
      </c>
      <c r="I483" s="147" t="str">
        <f t="shared" si="14"/>
        <v>05059050040000244</v>
      </c>
    </row>
    <row r="484" spans="1:9">
      <c r="A484" s="329" t="s">
        <v>1757</v>
      </c>
      <c r="B484" s="330" t="s">
        <v>242</v>
      </c>
      <c r="C484" s="330" t="s">
        <v>477</v>
      </c>
      <c r="D484" s="330" t="s">
        <v>822</v>
      </c>
      <c r="E484" s="330" t="s">
        <v>1758</v>
      </c>
      <c r="F484" s="368">
        <v>96078.53</v>
      </c>
      <c r="G484" s="368">
        <f>G485</f>
        <v>96054.78</v>
      </c>
      <c r="H484" s="368">
        <f t="shared" si="15"/>
        <v>99.975280637620074</v>
      </c>
      <c r="I484" s="147" t="str">
        <f t="shared" si="14"/>
        <v>05059050040000800</v>
      </c>
    </row>
    <row r="485" spans="1:9">
      <c r="A485" s="329" t="s">
        <v>1507</v>
      </c>
      <c r="B485" s="330" t="s">
        <v>242</v>
      </c>
      <c r="C485" s="330" t="s">
        <v>477</v>
      </c>
      <c r="D485" s="330" t="s">
        <v>822</v>
      </c>
      <c r="E485" s="330" t="s">
        <v>1508</v>
      </c>
      <c r="F485" s="368">
        <v>96078.53</v>
      </c>
      <c r="G485" s="368">
        <f>G486+G487</f>
        <v>96054.78</v>
      </c>
      <c r="H485" s="368">
        <f t="shared" si="15"/>
        <v>99.975280637620074</v>
      </c>
      <c r="I485" s="147" t="str">
        <f t="shared" si="14"/>
        <v>05059050040000850</v>
      </c>
    </row>
    <row r="486" spans="1:9">
      <c r="A486" s="329" t="s">
        <v>1082</v>
      </c>
      <c r="B486" s="330" t="s">
        <v>242</v>
      </c>
      <c r="C486" s="330" t="s">
        <v>477</v>
      </c>
      <c r="D486" s="330" t="s">
        <v>822</v>
      </c>
      <c r="E486" s="330" t="s">
        <v>591</v>
      </c>
      <c r="F486" s="368">
        <v>96050.53</v>
      </c>
      <c r="G486" s="368">
        <v>96050.53</v>
      </c>
      <c r="H486" s="368">
        <f t="shared" si="15"/>
        <v>100</v>
      </c>
      <c r="I486" s="147" t="str">
        <f t="shared" si="14"/>
        <v>05059050040000852</v>
      </c>
    </row>
    <row r="487" spans="1:9">
      <c r="A487" s="329" t="s">
        <v>1198</v>
      </c>
      <c r="B487" s="330" t="s">
        <v>242</v>
      </c>
      <c r="C487" s="330" t="s">
        <v>477</v>
      </c>
      <c r="D487" s="330" t="s">
        <v>822</v>
      </c>
      <c r="E487" s="330" t="s">
        <v>1199</v>
      </c>
      <c r="F487" s="368">
        <v>28</v>
      </c>
      <c r="G487" s="368">
        <v>4.25</v>
      </c>
      <c r="H487" s="368">
        <f t="shared" si="15"/>
        <v>15.178571428571427</v>
      </c>
      <c r="I487" s="147" t="str">
        <f t="shared" si="14"/>
        <v>05059050040000853</v>
      </c>
    </row>
    <row r="488" spans="1:9" ht="51">
      <c r="A488" s="329" t="s">
        <v>672</v>
      </c>
      <c r="B488" s="330" t="s">
        <v>242</v>
      </c>
      <c r="C488" s="330" t="s">
        <v>477</v>
      </c>
      <c r="D488" s="330" t="s">
        <v>823</v>
      </c>
      <c r="E488" s="330" t="s">
        <v>1468</v>
      </c>
      <c r="F488" s="368">
        <v>46872.23</v>
      </c>
      <c r="G488" s="368">
        <v>6304.75</v>
      </c>
      <c r="H488" s="368">
        <f t="shared" si="15"/>
        <v>13.450928193516715</v>
      </c>
      <c r="I488" s="147" t="str">
        <f t="shared" si="14"/>
        <v>05059050047000</v>
      </c>
    </row>
    <row r="489" spans="1:9" ht="63.75">
      <c r="A489" s="329" t="s">
        <v>1754</v>
      </c>
      <c r="B489" s="330" t="s">
        <v>242</v>
      </c>
      <c r="C489" s="330" t="s">
        <v>477</v>
      </c>
      <c r="D489" s="330" t="s">
        <v>823</v>
      </c>
      <c r="E489" s="330" t="s">
        <v>322</v>
      </c>
      <c r="F489" s="368">
        <v>46872.23</v>
      </c>
      <c r="G489" s="368">
        <v>6304.75</v>
      </c>
      <c r="H489" s="368">
        <f t="shared" si="15"/>
        <v>13.450928193516715</v>
      </c>
      <c r="I489" s="147" t="str">
        <f t="shared" si="14"/>
        <v>05059050047000100</v>
      </c>
    </row>
    <row r="490" spans="1:9" ht="25.5">
      <c r="A490" s="329" t="s">
        <v>1487</v>
      </c>
      <c r="B490" s="330" t="s">
        <v>242</v>
      </c>
      <c r="C490" s="330" t="s">
        <v>477</v>
      </c>
      <c r="D490" s="330" t="s">
        <v>823</v>
      </c>
      <c r="E490" s="330" t="s">
        <v>165</v>
      </c>
      <c r="F490" s="368">
        <v>46872.23</v>
      </c>
      <c r="G490" s="368">
        <v>6304.75</v>
      </c>
      <c r="H490" s="368">
        <f t="shared" si="15"/>
        <v>13.450928193516715</v>
      </c>
      <c r="I490" s="147" t="str">
        <f t="shared" si="14"/>
        <v>05059050047000110</v>
      </c>
    </row>
    <row r="491" spans="1:9" ht="25.5">
      <c r="A491" s="329" t="s">
        <v>1369</v>
      </c>
      <c r="B491" s="330" t="s">
        <v>242</v>
      </c>
      <c r="C491" s="330" t="s">
        <v>477</v>
      </c>
      <c r="D491" s="330" t="s">
        <v>823</v>
      </c>
      <c r="E491" s="330" t="s">
        <v>479</v>
      </c>
      <c r="F491" s="368">
        <v>46872.23</v>
      </c>
      <c r="G491" s="368">
        <v>6304.75</v>
      </c>
      <c r="H491" s="368">
        <f t="shared" si="15"/>
        <v>13.450928193516715</v>
      </c>
      <c r="I491" s="147" t="str">
        <f t="shared" si="14"/>
        <v>05059050047000112</v>
      </c>
    </row>
    <row r="492" spans="1:9" ht="51">
      <c r="A492" s="329" t="s">
        <v>2067</v>
      </c>
      <c r="B492" s="330" t="s">
        <v>242</v>
      </c>
      <c r="C492" s="330" t="s">
        <v>477</v>
      </c>
      <c r="D492" s="330" t="s">
        <v>2068</v>
      </c>
      <c r="E492" s="330" t="s">
        <v>1468</v>
      </c>
      <c r="F492" s="368">
        <v>76760</v>
      </c>
      <c r="G492" s="368">
        <v>76760</v>
      </c>
      <c r="H492" s="368">
        <f t="shared" si="15"/>
        <v>100</v>
      </c>
      <c r="I492" s="147" t="str">
        <f t="shared" si="14"/>
        <v>0505905004Ф000</v>
      </c>
    </row>
    <row r="493" spans="1:9" ht="25.5">
      <c r="A493" s="329" t="s">
        <v>1755</v>
      </c>
      <c r="B493" s="330" t="s">
        <v>242</v>
      </c>
      <c r="C493" s="330" t="s">
        <v>477</v>
      </c>
      <c r="D493" s="330" t="s">
        <v>2068</v>
      </c>
      <c r="E493" s="330" t="s">
        <v>1756</v>
      </c>
      <c r="F493" s="368">
        <v>76760</v>
      </c>
      <c r="G493" s="368">
        <v>76760</v>
      </c>
      <c r="H493" s="368">
        <f t="shared" si="15"/>
        <v>100</v>
      </c>
      <c r="I493" s="147" t="str">
        <f t="shared" si="14"/>
        <v>0505905004Ф000200</v>
      </c>
    </row>
    <row r="494" spans="1:9" ht="38.25">
      <c r="A494" s="329" t="s">
        <v>1502</v>
      </c>
      <c r="B494" s="330" t="s">
        <v>242</v>
      </c>
      <c r="C494" s="330" t="s">
        <v>477</v>
      </c>
      <c r="D494" s="330" t="s">
        <v>2068</v>
      </c>
      <c r="E494" s="330" t="s">
        <v>1503</v>
      </c>
      <c r="F494" s="368">
        <v>76760</v>
      </c>
      <c r="G494" s="368">
        <v>76760</v>
      </c>
      <c r="H494" s="368">
        <f t="shared" si="15"/>
        <v>100</v>
      </c>
      <c r="I494" s="147" t="str">
        <f t="shared" si="14"/>
        <v>0505905004Ф000240</v>
      </c>
    </row>
    <row r="495" spans="1:9">
      <c r="A495" s="329" t="s">
        <v>1577</v>
      </c>
      <c r="B495" s="330" t="s">
        <v>242</v>
      </c>
      <c r="C495" s="330" t="s">
        <v>477</v>
      </c>
      <c r="D495" s="330" t="s">
        <v>2068</v>
      </c>
      <c r="E495" s="330" t="s">
        <v>416</v>
      </c>
      <c r="F495" s="368">
        <v>76760</v>
      </c>
      <c r="G495" s="368">
        <v>76760</v>
      </c>
      <c r="H495" s="368">
        <f t="shared" si="15"/>
        <v>100</v>
      </c>
      <c r="I495" s="147" t="str">
        <f t="shared" si="14"/>
        <v>0505905004Ф000244</v>
      </c>
    </row>
    <row r="496" spans="1:9" ht="25.5">
      <c r="A496" s="329" t="s">
        <v>520</v>
      </c>
      <c r="B496" s="330" t="s">
        <v>242</v>
      </c>
      <c r="C496" s="330" t="s">
        <v>477</v>
      </c>
      <c r="D496" s="330" t="s">
        <v>1155</v>
      </c>
      <c r="E496" s="330" t="s">
        <v>1468</v>
      </c>
      <c r="F496" s="368">
        <v>445220.53</v>
      </c>
      <c r="G496" s="368">
        <v>445220.53</v>
      </c>
      <c r="H496" s="368">
        <f t="shared" si="15"/>
        <v>100</v>
      </c>
      <c r="I496" s="147" t="str">
        <f t="shared" ref="I496:I559" si="16">CONCATENATE(C496,D496,E496)</f>
        <v>05059090000000</v>
      </c>
    </row>
    <row r="497" spans="1:9" ht="38.25">
      <c r="A497" s="329" t="s">
        <v>1856</v>
      </c>
      <c r="B497" s="330" t="s">
        <v>242</v>
      </c>
      <c r="C497" s="330" t="s">
        <v>477</v>
      </c>
      <c r="D497" s="330" t="s">
        <v>1857</v>
      </c>
      <c r="E497" s="330" t="s">
        <v>1468</v>
      </c>
      <c r="F497" s="368">
        <v>445220.53</v>
      </c>
      <c r="G497" s="368">
        <v>445220.53</v>
      </c>
      <c r="H497" s="368">
        <f t="shared" si="15"/>
        <v>100</v>
      </c>
      <c r="I497" s="147" t="str">
        <f t="shared" si="16"/>
        <v>05059090080010</v>
      </c>
    </row>
    <row r="498" spans="1:9">
      <c r="A498" s="329" t="s">
        <v>1757</v>
      </c>
      <c r="B498" s="330" t="s">
        <v>242</v>
      </c>
      <c r="C498" s="330" t="s">
        <v>477</v>
      </c>
      <c r="D498" s="330" t="s">
        <v>1857</v>
      </c>
      <c r="E498" s="330" t="s">
        <v>1758</v>
      </c>
      <c r="F498" s="368">
        <v>445220.53</v>
      </c>
      <c r="G498" s="368">
        <v>445220.53</v>
      </c>
      <c r="H498" s="368">
        <f t="shared" si="15"/>
        <v>100</v>
      </c>
      <c r="I498" s="147" t="str">
        <f t="shared" si="16"/>
        <v>05059090080010800</v>
      </c>
    </row>
    <row r="499" spans="1:9">
      <c r="A499" s="329" t="s">
        <v>1516</v>
      </c>
      <c r="B499" s="330" t="s">
        <v>242</v>
      </c>
      <c r="C499" s="330" t="s">
        <v>477</v>
      </c>
      <c r="D499" s="330" t="s">
        <v>1857</v>
      </c>
      <c r="E499" s="330" t="s">
        <v>242</v>
      </c>
      <c r="F499" s="368">
        <v>445220.53</v>
      </c>
      <c r="G499" s="368">
        <v>445220.53</v>
      </c>
      <c r="H499" s="368">
        <f t="shared" si="15"/>
        <v>100</v>
      </c>
      <c r="I499" s="147" t="str">
        <f t="shared" si="16"/>
        <v>05059090080010830</v>
      </c>
    </row>
    <row r="500" spans="1:9" ht="38.25">
      <c r="A500" s="329" t="s">
        <v>1425</v>
      </c>
      <c r="B500" s="330" t="s">
        <v>242</v>
      </c>
      <c r="C500" s="330" t="s">
        <v>477</v>
      </c>
      <c r="D500" s="330" t="s">
        <v>1857</v>
      </c>
      <c r="E500" s="330" t="s">
        <v>521</v>
      </c>
      <c r="F500" s="368">
        <v>445220.53</v>
      </c>
      <c r="G500" s="368">
        <v>445220.53</v>
      </c>
      <c r="H500" s="368">
        <f t="shared" si="15"/>
        <v>100</v>
      </c>
      <c r="I500" s="147" t="str">
        <f t="shared" si="16"/>
        <v>05059090080010831</v>
      </c>
    </row>
    <row r="501" spans="1:9">
      <c r="A501" s="329" t="s">
        <v>1598</v>
      </c>
      <c r="B501" s="330" t="s">
        <v>242</v>
      </c>
      <c r="C501" s="330" t="s">
        <v>1599</v>
      </c>
      <c r="D501" s="330" t="s">
        <v>1468</v>
      </c>
      <c r="E501" s="330" t="s">
        <v>1468</v>
      </c>
      <c r="F501" s="368">
        <v>2218522</v>
      </c>
      <c r="G501" s="368">
        <v>0</v>
      </c>
      <c r="H501" s="368">
        <f t="shared" si="15"/>
        <v>0</v>
      </c>
      <c r="I501" s="147" t="str">
        <f t="shared" si="16"/>
        <v>0600</v>
      </c>
    </row>
    <row r="502" spans="1:9" ht="25.5">
      <c r="A502" s="329" t="s">
        <v>1600</v>
      </c>
      <c r="B502" s="330" t="s">
        <v>242</v>
      </c>
      <c r="C502" s="330" t="s">
        <v>1601</v>
      </c>
      <c r="D502" s="330" t="s">
        <v>1468</v>
      </c>
      <c r="E502" s="330" t="s">
        <v>1468</v>
      </c>
      <c r="F502" s="368">
        <v>2218522</v>
      </c>
      <c r="G502" s="368">
        <v>0</v>
      </c>
      <c r="H502" s="368">
        <f t="shared" si="15"/>
        <v>0</v>
      </c>
      <c r="I502" s="147" t="str">
        <f t="shared" si="16"/>
        <v>0605</v>
      </c>
    </row>
    <row r="503" spans="1:9" ht="38.25">
      <c r="A503" s="329" t="s">
        <v>545</v>
      </c>
      <c r="B503" s="330" t="s">
        <v>242</v>
      </c>
      <c r="C503" s="330" t="s">
        <v>1601</v>
      </c>
      <c r="D503" s="330" t="s">
        <v>1113</v>
      </c>
      <c r="E503" s="330" t="s">
        <v>1468</v>
      </c>
      <c r="F503" s="368">
        <v>2218522</v>
      </c>
      <c r="G503" s="368">
        <v>0</v>
      </c>
      <c r="H503" s="368">
        <f t="shared" si="15"/>
        <v>0</v>
      </c>
      <c r="I503" s="147" t="str">
        <f t="shared" si="16"/>
        <v>06050300000000</v>
      </c>
    </row>
    <row r="504" spans="1:9" ht="25.5">
      <c r="A504" s="329" t="s">
        <v>950</v>
      </c>
      <c r="B504" s="330" t="s">
        <v>242</v>
      </c>
      <c r="C504" s="330" t="s">
        <v>1601</v>
      </c>
      <c r="D504" s="330" t="s">
        <v>1201</v>
      </c>
      <c r="E504" s="330" t="s">
        <v>1468</v>
      </c>
      <c r="F504" s="368">
        <v>2218522</v>
      </c>
      <c r="G504" s="368">
        <v>0</v>
      </c>
      <c r="H504" s="368">
        <f t="shared" si="15"/>
        <v>0</v>
      </c>
      <c r="I504" s="147" t="str">
        <f t="shared" si="16"/>
        <v>06050360000000</v>
      </c>
    </row>
    <row r="505" spans="1:9" ht="89.25">
      <c r="A505" s="329" t="s">
        <v>1846</v>
      </c>
      <c r="B505" s="330" t="s">
        <v>242</v>
      </c>
      <c r="C505" s="330" t="s">
        <v>1601</v>
      </c>
      <c r="D505" s="330" t="s">
        <v>1847</v>
      </c>
      <c r="E505" s="330" t="s">
        <v>1468</v>
      </c>
      <c r="F505" s="368">
        <v>2191900</v>
      </c>
      <c r="G505" s="368">
        <v>0</v>
      </c>
      <c r="H505" s="368">
        <f t="shared" si="15"/>
        <v>0</v>
      </c>
      <c r="I505" s="147" t="str">
        <f t="shared" si="16"/>
        <v>06050360074940</v>
      </c>
    </row>
    <row r="506" spans="1:9" ht="25.5">
      <c r="A506" s="329" t="s">
        <v>1761</v>
      </c>
      <c r="B506" s="330" t="s">
        <v>242</v>
      </c>
      <c r="C506" s="330" t="s">
        <v>1601</v>
      </c>
      <c r="D506" s="330" t="s">
        <v>1847</v>
      </c>
      <c r="E506" s="330" t="s">
        <v>1762</v>
      </c>
      <c r="F506" s="368">
        <v>2191900</v>
      </c>
      <c r="G506" s="368">
        <v>0</v>
      </c>
      <c r="H506" s="368">
        <f t="shared" si="15"/>
        <v>0</v>
      </c>
      <c r="I506" s="147" t="str">
        <f t="shared" si="16"/>
        <v>06050360074940400</v>
      </c>
    </row>
    <row r="507" spans="1:9">
      <c r="A507" s="329" t="s">
        <v>1513</v>
      </c>
      <c r="B507" s="330" t="s">
        <v>242</v>
      </c>
      <c r="C507" s="330" t="s">
        <v>1601</v>
      </c>
      <c r="D507" s="330" t="s">
        <v>1847</v>
      </c>
      <c r="E507" s="330" t="s">
        <v>101</v>
      </c>
      <c r="F507" s="368">
        <v>2191900</v>
      </c>
      <c r="G507" s="368">
        <v>0</v>
      </c>
      <c r="H507" s="368">
        <f t="shared" si="15"/>
        <v>0</v>
      </c>
      <c r="I507" s="147" t="str">
        <f t="shared" si="16"/>
        <v>06050360074940410</v>
      </c>
    </row>
    <row r="508" spans="1:9" ht="38.25">
      <c r="A508" s="329" t="s">
        <v>1603</v>
      </c>
      <c r="B508" s="330" t="s">
        <v>242</v>
      </c>
      <c r="C508" s="330" t="s">
        <v>1601</v>
      </c>
      <c r="D508" s="330" t="s">
        <v>1847</v>
      </c>
      <c r="E508" s="330" t="s">
        <v>1604</v>
      </c>
      <c r="F508" s="368">
        <v>2191900</v>
      </c>
      <c r="G508" s="368">
        <v>0</v>
      </c>
      <c r="H508" s="368">
        <f t="shared" si="15"/>
        <v>0</v>
      </c>
      <c r="I508" s="147" t="str">
        <f t="shared" si="16"/>
        <v>06050360074940414</v>
      </c>
    </row>
    <row r="509" spans="1:9" ht="102">
      <c r="A509" s="329" t="s">
        <v>1594</v>
      </c>
      <c r="B509" s="330" t="s">
        <v>242</v>
      </c>
      <c r="C509" s="330" t="s">
        <v>1601</v>
      </c>
      <c r="D509" s="330" t="s">
        <v>1602</v>
      </c>
      <c r="E509" s="330" t="s">
        <v>1468</v>
      </c>
      <c r="F509" s="368">
        <v>26622</v>
      </c>
      <c r="G509" s="368">
        <v>0</v>
      </c>
      <c r="H509" s="368">
        <f t="shared" si="15"/>
        <v>0</v>
      </c>
      <c r="I509" s="147" t="str">
        <f t="shared" si="16"/>
        <v>060503600S4940</v>
      </c>
    </row>
    <row r="510" spans="1:9" ht="25.5">
      <c r="A510" s="329" t="s">
        <v>1761</v>
      </c>
      <c r="B510" s="330" t="s">
        <v>242</v>
      </c>
      <c r="C510" s="330" t="s">
        <v>1601</v>
      </c>
      <c r="D510" s="330" t="s">
        <v>1602</v>
      </c>
      <c r="E510" s="330" t="s">
        <v>1762</v>
      </c>
      <c r="F510" s="368">
        <v>26622</v>
      </c>
      <c r="G510" s="368">
        <v>0</v>
      </c>
      <c r="H510" s="368">
        <f t="shared" si="15"/>
        <v>0</v>
      </c>
      <c r="I510" s="147" t="str">
        <f t="shared" si="16"/>
        <v>060503600S4940400</v>
      </c>
    </row>
    <row r="511" spans="1:9">
      <c r="A511" s="329" t="s">
        <v>1513</v>
      </c>
      <c r="B511" s="330" t="s">
        <v>242</v>
      </c>
      <c r="C511" s="330" t="s">
        <v>1601</v>
      </c>
      <c r="D511" s="330" t="s">
        <v>1602</v>
      </c>
      <c r="E511" s="330" t="s">
        <v>101</v>
      </c>
      <c r="F511" s="368">
        <v>26622</v>
      </c>
      <c r="G511" s="368">
        <v>0</v>
      </c>
      <c r="H511" s="368">
        <f t="shared" si="15"/>
        <v>0</v>
      </c>
      <c r="I511" s="147" t="str">
        <f t="shared" si="16"/>
        <v>060503600S4940410</v>
      </c>
    </row>
    <row r="512" spans="1:9" ht="38.25">
      <c r="A512" s="329" t="s">
        <v>1603</v>
      </c>
      <c r="B512" s="330" t="s">
        <v>242</v>
      </c>
      <c r="C512" s="330" t="s">
        <v>1601</v>
      </c>
      <c r="D512" s="330" t="s">
        <v>1602</v>
      </c>
      <c r="E512" s="330" t="s">
        <v>1604</v>
      </c>
      <c r="F512" s="368">
        <v>26622</v>
      </c>
      <c r="G512" s="368">
        <v>0</v>
      </c>
      <c r="H512" s="368">
        <f t="shared" si="15"/>
        <v>0</v>
      </c>
      <c r="I512" s="147" t="str">
        <f t="shared" si="16"/>
        <v>060503600S4940414</v>
      </c>
    </row>
    <row r="513" spans="1:9">
      <c r="A513" s="329" t="s">
        <v>292</v>
      </c>
      <c r="B513" s="330" t="s">
        <v>242</v>
      </c>
      <c r="C513" s="330" t="s">
        <v>1366</v>
      </c>
      <c r="D513" s="330" t="s">
        <v>1468</v>
      </c>
      <c r="E513" s="330" t="s">
        <v>1468</v>
      </c>
      <c r="F513" s="368">
        <v>3333000</v>
      </c>
      <c r="G513" s="368">
        <v>3333000</v>
      </c>
      <c r="H513" s="368">
        <f t="shared" si="15"/>
        <v>100</v>
      </c>
      <c r="I513" s="147" t="str">
        <f t="shared" si="16"/>
        <v>1100</v>
      </c>
    </row>
    <row r="514" spans="1:9">
      <c r="A514" s="329" t="s">
        <v>254</v>
      </c>
      <c r="B514" s="330" t="s">
        <v>242</v>
      </c>
      <c r="C514" s="330" t="s">
        <v>469</v>
      </c>
      <c r="D514" s="330" t="s">
        <v>1468</v>
      </c>
      <c r="E514" s="330" t="s">
        <v>1468</v>
      </c>
      <c r="F514" s="368">
        <v>3333000</v>
      </c>
      <c r="G514" s="368">
        <v>3333000</v>
      </c>
      <c r="H514" s="368">
        <f t="shared" si="15"/>
        <v>100</v>
      </c>
      <c r="I514" s="147" t="str">
        <f t="shared" si="16"/>
        <v>1102</v>
      </c>
    </row>
    <row r="515" spans="1:9" ht="25.5">
      <c r="A515" s="329" t="s">
        <v>1913</v>
      </c>
      <c r="B515" s="330" t="s">
        <v>242</v>
      </c>
      <c r="C515" s="330" t="s">
        <v>469</v>
      </c>
      <c r="D515" s="330" t="s">
        <v>1128</v>
      </c>
      <c r="E515" s="330" t="s">
        <v>1468</v>
      </c>
      <c r="F515" s="368">
        <v>3333000</v>
      </c>
      <c r="G515" s="368">
        <v>3333000</v>
      </c>
      <c r="H515" s="368">
        <f t="shared" si="15"/>
        <v>100</v>
      </c>
      <c r="I515" s="147" t="str">
        <f t="shared" si="16"/>
        <v>11020700000000</v>
      </c>
    </row>
    <row r="516" spans="1:9" ht="25.5">
      <c r="A516" s="329" t="s">
        <v>568</v>
      </c>
      <c r="B516" s="330" t="s">
        <v>242</v>
      </c>
      <c r="C516" s="330" t="s">
        <v>469</v>
      </c>
      <c r="D516" s="330" t="s">
        <v>1129</v>
      </c>
      <c r="E516" s="330" t="s">
        <v>1468</v>
      </c>
      <c r="F516" s="368">
        <v>3333000</v>
      </c>
      <c r="G516" s="368">
        <v>3333000</v>
      </c>
      <c r="H516" s="368">
        <f t="shared" si="15"/>
        <v>100</v>
      </c>
      <c r="I516" s="147" t="str">
        <f t="shared" si="16"/>
        <v>11020710000000</v>
      </c>
    </row>
    <row r="517" spans="1:9" ht="89.25">
      <c r="A517" s="329" t="s">
        <v>1914</v>
      </c>
      <c r="B517" s="330" t="s">
        <v>242</v>
      </c>
      <c r="C517" s="330" t="s">
        <v>469</v>
      </c>
      <c r="D517" s="330" t="s">
        <v>1876</v>
      </c>
      <c r="E517" s="330" t="s">
        <v>1468</v>
      </c>
      <c r="F517" s="368">
        <v>3333000</v>
      </c>
      <c r="G517" s="368">
        <v>3333000</v>
      </c>
      <c r="H517" s="368">
        <f t="shared" si="15"/>
        <v>100</v>
      </c>
      <c r="I517" s="147" t="str">
        <f t="shared" si="16"/>
        <v>1102071P552280</v>
      </c>
    </row>
    <row r="518" spans="1:9" ht="25.5">
      <c r="A518" s="329" t="s">
        <v>1755</v>
      </c>
      <c r="B518" s="330" t="s">
        <v>242</v>
      </c>
      <c r="C518" s="330" t="s">
        <v>469</v>
      </c>
      <c r="D518" s="330" t="s">
        <v>1876</v>
      </c>
      <c r="E518" s="330" t="s">
        <v>1756</v>
      </c>
      <c r="F518" s="368">
        <v>3333000</v>
      </c>
      <c r="G518" s="368">
        <v>3333000</v>
      </c>
      <c r="H518" s="368">
        <f t="shared" si="15"/>
        <v>100</v>
      </c>
      <c r="I518" s="147" t="str">
        <f t="shared" si="16"/>
        <v>1102071P552280200</v>
      </c>
    </row>
    <row r="519" spans="1:9" ht="38.25">
      <c r="A519" s="329" t="s">
        <v>1502</v>
      </c>
      <c r="B519" s="330" t="s">
        <v>242</v>
      </c>
      <c r="C519" s="330" t="s">
        <v>469</v>
      </c>
      <c r="D519" s="330" t="s">
        <v>1876</v>
      </c>
      <c r="E519" s="330" t="s">
        <v>1503</v>
      </c>
      <c r="F519" s="368">
        <v>3333000</v>
      </c>
      <c r="G519" s="368">
        <v>3333000</v>
      </c>
      <c r="H519" s="368">
        <f t="shared" si="15"/>
        <v>100</v>
      </c>
      <c r="I519" s="147" t="str">
        <f t="shared" si="16"/>
        <v>1102071P552280240</v>
      </c>
    </row>
    <row r="520" spans="1:9">
      <c r="A520" s="329" t="s">
        <v>1577</v>
      </c>
      <c r="B520" s="330" t="s">
        <v>242</v>
      </c>
      <c r="C520" s="330" t="s">
        <v>469</v>
      </c>
      <c r="D520" s="330" t="s">
        <v>1876</v>
      </c>
      <c r="E520" s="330" t="s">
        <v>416</v>
      </c>
      <c r="F520" s="368">
        <v>3333000</v>
      </c>
      <c r="G520" s="368">
        <v>3333000</v>
      </c>
      <c r="H520" s="368">
        <f t="shared" ref="H520:H583" si="17">G520/F520*100</f>
        <v>100</v>
      </c>
      <c r="I520" s="147" t="str">
        <f t="shared" si="16"/>
        <v>1102071P552280244</v>
      </c>
    </row>
    <row r="521" spans="1:9" ht="25.5">
      <c r="A521" s="329" t="s">
        <v>481</v>
      </c>
      <c r="B521" s="330" t="s">
        <v>176</v>
      </c>
      <c r="C521" s="330" t="s">
        <v>1468</v>
      </c>
      <c r="D521" s="330" t="s">
        <v>1468</v>
      </c>
      <c r="E521" s="330" t="s">
        <v>1468</v>
      </c>
      <c r="F521" s="368">
        <v>92409350</v>
      </c>
      <c r="G521" s="368">
        <f>G522</f>
        <v>92399222.729999989</v>
      </c>
      <c r="H521" s="368">
        <f t="shared" si="17"/>
        <v>99.989040860042834</v>
      </c>
      <c r="I521" s="147" t="str">
        <f t="shared" si="16"/>
        <v/>
      </c>
    </row>
    <row r="522" spans="1:9">
      <c r="A522" s="329" t="s">
        <v>174</v>
      </c>
      <c r="B522" s="330" t="s">
        <v>176</v>
      </c>
      <c r="C522" s="330" t="s">
        <v>1365</v>
      </c>
      <c r="D522" s="330" t="s">
        <v>1468</v>
      </c>
      <c r="E522" s="330" t="s">
        <v>1468</v>
      </c>
      <c r="F522" s="368">
        <v>92409350</v>
      </c>
      <c r="G522" s="368">
        <f>G523+G530+G537</f>
        <v>92399222.729999989</v>
      </c>
      <c r="H522" s="368">
        <f t="shared" si="17"/>
        <v>99.989040860042834</v>
      </c>
      <c r="I522" s="147" t="str">
        <f t="shared" si="16"/>
        <v>1000</v>
      </c>
    </row>
    <row r="523" spans="1:9">
      <c r="A523" s="329" t="s">
        <v>1586</v>
      </c>
      <c r="B523" s="330" t="s">
        <v>176</v>
      </c>
      <c r="C523" s="330" t="s">
        <v>1587</v>
      </c>
      <c r="D523" s="330" t="s">
        <v>1468</v>
      </c>
      <c r="E523" s="330" t="s">
        <v>1468</v>
      </c>
      <c r="F523" s="368">
        <v>69845170</v>
      </c>
      <c r="G523" s="368">
        <v>69845170</v>
      </c>
      <c r="H523" s="368">
        <f t="shared" si="17"/>
        <v>100</v>
      </c>
      <c r="I523" s="147" t="str">
        <f t="shared" si="16"/>
        <v>1002</v>
      </c>
    </row>
    <row r="524" spans="1:9" ht="25.5">
      <c r="A524" s="329" t="s">
        <v>696</v>
      </c>
      <c r="B524" s="330" t="s">
        <v>176</v>
      </c>
      <c r="C524" s="330" t="s">
        <v>1587</v>
      </c>
      <c r="D524" s="330" t="s">
        <v>1108</v>
      </c>
      <c r="E524" s="330" t="s">
        <v>1468</v>
      </c>
      <c r="F524" s="368">
        <v>69845170</v>
      </c>
      <c r="G524" s="368">
        <v>69845170</v>
      </c>
      <c r="H524" s="368">
        <f t="shared" si="17"/>
        <v>100</v>
      </c>
      <c r="I524" s="147" t="str">
        <f t="shared" si="16"/>
        <v>10020200000000</v>
      </c>
    </row>
    <row r="525" spans="1:9" ht="25.5">
      <c r="A525" s="329" t="s">
        <v>543</v>
      </c>
      <c r="B525" s="330" t="s">
        <v>176</v>
      </c>
      <c r="C525" s="330" t="s">
        <v>1587</v>
      </c>
      <c r="D525" s="330" t="s">
        <v>1111</v>
      </c>
      <c r="E525" s="330" t="s">
        <v>1468</v>
      </c>
      <c r="F525" s="368">
        <v>69845170</v>
      </c>
      <c r="G525" s="368">
        <v>69845170</v>
      </c>
      <c r="H525" s="368">
        <f t="shared" si="17"/>
        <v>100</v>
      </c>
      <c r="I525" s="147" t="str">
        <f t="shared" si="16"/>
        <v>10020240000000</v>
      </c>
    </row>
    <row r="526" spans="1:9" ht="89.25">
      <c r="A526" s="329" t="s">
        <v>601</v>
      </c>
      <c r="B526" s="330" t="s">
        <v>176</v>
      </c>
      <c r="C526" s="330" t="s">
        <v>1587</v>
      </c>
      <c r="D526" s="330" t="s">
        <v>827</v>
      </c>
      <c r="E526" s="330" t="s">
        <v>1468</v>
      </c>
      <c r="F526" s="368">
        <v>69845170</v>
      </c>
      <c r="G526" s="368">
        <v>69845170</v>
      </c>
      <c r="H526" s="368">
        <f t="shared" si="17"/>
        <v>100</v>
      </c>
      <c r="I526" s="147" t="str">
        <f t="shared" si="16"/>
        <v>10020240001510</v>
      </c>
    </row>
    <row r="527" spans="1:9" ht="38.25">
      <c r="A527" s="329" t="s">
        <v>1763</v>
      </c>
      <c r="B527" s="330" t="s">
        <v>176</v>
      </c>
      <c r="C527" s="330" t="s">
        <v>1587</v>
      </c>
      <c r="D527" s="330" t="s">
        <v>827</v>
      </c>
      <c r="E527" s="330" t="s">
        <v>1764</v>
      </c>
      <c r="F527" s="368">
        <v>69845170</v>
      </c>
      <c r="G527" s="368">
        <v>69845170</v>
      </c>
      <c r="H527" s="368">
        <f t="shared" si="17"/>
        <v>100</v>
      </c>
      <c r="I527" s="147" t="str">
        <f t="shared" si="16"/>
        <v>10020240001510600</v>
      </c>
    </row>
    <row r="528" spans="1:9">
      <c r="A528" s="329" t="s">
        <v>1504</v>
      </c>
      <c r="B528" s="330" t="s">
        <v>176</v>
      </c>
      <c r="C528" s="330" t="s">
        <v>1587</v>
      </c>
      <c r="D528" s="330" t="s">
        <v>827</v>
      </c>
      <c r="E528" s="330" t="s">
        <v>1505</v>
      </c>
      <c r="F528" s="368">
        <v>69845170</v>
      </c>
      <c r="G528" s="368">
        <v>69845170</v>
      </c>
      <c r="H528" s="368">
        <f t="shared" si="17"/>
        <v>100</v>
      </c>
      <c r="I528" s="147" t="str">
        <f t="shared" si="16"/>
        <v>10020240001510610</v>
      </c>
    </row>
    <row r="529" spans="1:9" ht="51">
      <c r="A529" s="329" t="s">
        <v>435</v>
      </c>
      <c r="B529" s="330" t="s">
        <v>176</v>
      </c>
      <c r="C529" s="330" t="s">
        <v>1587</v>
      </c>
      <c r="D529" s="330" t="s">
        <v>827</v>
      </c>
      <c r="E529" s="330" t="s">
        <v>436</v>
      </c>
      <c r="F529" s="368">
        <v>69845170</v>
      </c>
      <c r="G529" s="368">
        <v>69845170</v>
      </c>
      <c r="H529" s="368">
        <f t="shared" si="17"/>
        <v>100</v>
      </c>
      <c r="I529" s="147" t="str">
        <f t="shared" si="16"/>
        <v>10020240001510611</v>
      </c>
    </row>
    <row r="530" spans="1:9">
      <c r="A530" s="329" t="s">
        <v>127</v>
      </c>
      <c r="B530" s="330" t="s">
        <v>176</v>
      </c>
      <c r="C530" s="330" t="s">
        <v>466</v>
      </c>
      <c r="D530" s="330" t="s">
        <v>1468</v>
      </c>
      <c r="E530" s="330" t="s">
        <v>1468</v>
      </c>
      <c r="F530" s="368">
        <v>192100</v>
      </c>
      <c r="G530" s="368">
        <v>181972.8</v>
      </c>
      <c r="H530" s="368">
        <f t="shared" si="17"/>
        <v>94.728162415408633</v>
      </c>
      <c r="I530" s="147" t="str">
        <f t="shared" si="16"/>
        <v>1003</v>
      </c>
    </row>
    <row r="531" spans="1:9" ht="25.5">
      <c r="A531" s="329" t="s">
        <v>696</v>
      </c>
      <c r="B531" s="330" t="s">
        <v>176</v>
      </c>
      <c r="C531" s="330" t="s">
        <v>466</v>
      </c>
      <c r="D531" s="330" t="s">
        <v>1108</v>
      </c>
      <c r="E531" s="330" t="s">
        <v>1468</v>
      </c>
      <c r="F531" s="368">
        <v>192100</v>
      </c>
      <c r="G531" s="368">
        <v>181972.8</v>
      </c>
      <c r="H531" s="368">
        <f t="shared" si="17"/>
        <v>94.728162415408633</v>
      </c>
      <c r="I531" s="147" t="str">
        <f t="shared" si="16"/>
        <v>10030200000000</v>
      </c>
    </row>
    <row r="532" spans="1:9" ht="25.5">
      <c r="A532" s="329" t="s">
        <v>698</v>
      </c>
      <c r="B532" s="330" t="s">
        <v>176</v>
      </c>
      <c r="C532" s="330" t="s">
        <v>466</v>
      </c>
      <c r="D532" s="330" t="s">
        <v>1110</v>
      </c>
      <c r="E532" s="330" t="s">
        <v>1468</v>
      </c>
      <c r="F532" s="368">
        <v>192100</v>
      </c>
      <c r="G532" s="368">
        <v>181972.8</v>
      </c>
      <c r="H532" s="368">
        <f t="shared" si="17"/>
        <v>94.728162415408633</v>
      </c>
      <c r="I532" s="147" t="str">
        <f t="shared" si="16"/>
        <v>10030220000000</v>
      </c>
    </row>
    <row r="533" spans="1:9" ht="89.25">
      <c r="A533" s="329" t="s">
        <v>1210</v>
      </c>
      <c r="B533" s="330" t="s">
        <v>176</v>
      </c>
      <c r="C533" s="330" t="s">
        <v>466</v>
      </c>
      <c r="D533" s="330" t="s">
        <v>1211</v>
      </c>
      <c r="E533" s="330" t="s">
        <v>1468</v>
      </c>
      <c r="F533" s="368">
        <v>192100</v>
      </c>
      <c r="G533" s="368">
        <v>181972.8</v>
      </c>
      <c r="H533" s="368">
        <f t="shared" si="17"/>
        <v>94.728162415408633</v>
      </c>
      <c r="I533" s="147" t="str">
        <f t="shared" si="16"/>
        <v>10030220006400</v>
      </c>
    </row>
    <row r="534" spans="1:9" ht="25.5">
      <c r="A534" s="329" t="s">
        <v>1755</v>
      </c>
      <c r="B534" s="330" t="s">
        <v>176</v>
      </c>
      <c r="C534" s="330" t="s">
        <v>466</v>
      </c>
      <c r="D534" s="330" t="s">
        <v>1211</v>
      </c>
      <c r="E534" s="330" t="s">
        <v>1756</v>
      </c>
      <c r="F534" s="368">
        <v>192100</v>
      </c>
      <c r="G534" s="368">
        <v>181972.8</v>
      </c>
      <c r="H534" s="368">
        <f t="shared" si="17"/>
        <v>94.728162415408633</v>
      </c>
      <c r="I534" s="147" t="str">
        <f t="shared" si="16"/>
        <v>10030220006400200</v>
      </c>
    </row>
    <row r="535" spans="1:9" ht="38.25">
      <c r="A535" s="329" t="s">
        <v>1502</v>
      </c>
      <c r="B535" s="330" t="s">
        <v>176</v>
      </c>
      <c r="C535" s="330" t="s">
        <v>466</v>
      </c>
      <c r="D535" s="330" t="s">
        <v>1211</v>
      </c>
      <c r="E535" s="330" t="s">
        <v>1503</v>
      </c>
      <c r="F535" s="368">
        <v>192100</v>
      </c>
      <c r="G535" s="368">
        <v>181972.8</v>
      </c>
      <c r="H535" s="368">
        <f t="shared" si="17"/>
        <v>94.728162415408633</v>
      </c>
      <c r="I535" s="147" t="str">
        <f t="shared" si="16"/>
        <v>10030220006400240</v>
      </c>
    </row>
    <row r="536" spans="1:9">
      <c r="A536" s="329" t="s">
        <v>1577</v>
      </c>
      <c r="B536" s="330" t="s">
        <v>176</v>
      </c>
      <c r="C536" s="330" t="s">
        <v>466</v>
      </c>
      <c r="D536" s="330" t="s">
        <v>1211</v>
      </c>
      <c r="E536" s="330" t="s">
        <v>416</v>
      </c>
      <c r="F536" s="368">
        <v>192100</v>
      </c>
      <c r="G536" s="368">
        <v>181972.8</v>
      </c>
      <c r="H536" s="368">
        <f t="shared" si="17"/>
        <v>94.728162415408633</v>
      </c>
      <c r="I536" s="147" t="str">
        <f t="shared" si="16"/>
        <v>10030220006400244</v>
      </c>
    </row>
    <row r="537" spans="1:9">
      <c r="A537" s="329" t="s">
        <v>82</v>
      </c>
      <c r="B537" s="330" t="s">
        <v>176</v>
      </c>
      <c r="C537" s="330" t="s">
        <v>483</v>
      </c>
      <c r="D537" s="330" t="s">
        <v>1468</v>
      </c>
      <c r="E537" s="330" t="s">
        <v>1468</v>
      </c>
      <c r="F537" s="368">
        <v>22372080</v>
      </c>
      <c r="G537" s="368">
        <v>22372079.93</v>
      </c>
      <c r="H537" s="368">
        <f t="shared" si="17"/>
        <v>99.999999687110005</v>
      </c>
      <c r="I537" s="147" t="str">
        <f t="shared" si="16"/>
        <v>1006</v>
      </c>
    </row>
    <row r="538" spans="1:9" ht="25.5">
      <c r="A538" s="329" t="s">
        <v>696</v>
      </c>
      <c r="B538" s="330" t="s">
        <v>176</v>
      </c>
      <c r="C538" s="330" t="s">
        <v>483</v>
      </c>
      <c r="D538" s="330" t="s">
        <v>1108</v>
      </c>
      <c r="E538" s="330" t="s">
        <v>1468</v>
      </c>
      <c r="F538" s="368">
        <v>22372080</v>
      </c>
      <c r="G538" s="368">
        <v>22372079.93</v>
      </c>
      <c r="H538" s="368">
        <f t="shared" si="17"/>
        <v>99.999999687110005</v>
      </c>
      <c r="I538" s="147" t="str">
        <f t="shared" si="16"/>
        <v>10060200000000</v>
      </c>
    </row>
    <row r="539" spans="1:9" ht="76.5">
      <c r="A539" s="329" t="s">
        <v>699</v>
      </c>
      <c r="B539" s="330" t="s">
        <v>176</v>
      </c>
      <c r="C539" s="330" t="s">
        <v>483</v>
      </c>
      <c r="D539" s="330" t="s">
        <v>1112</v>
      </c>
      <c r="E539" s="330" t="s">
        <v>1468</v>
      </c>
      <c r="F539" s="368">
        <v>22372080</v>
      </c>
      <c r="G539" s="368">
        <v>22372079.93</v>
      </c>
      <c r="H539" s="368">
        <f t="shared" si="17"/>
        <v>99.999999687110005</v>
      </c>
      <c r="I539" s="147" t="str">
        <f t="shared" si="16"/>
        <v>10060260000000</v>
      </c>
    </row>
    <row r="540" spans="1:9" ht="140.25">
      <c r="A540" s="329" t="s">
        <v>674</v>
      </c>
      <c r="B540" s="330" t="s">
        <v>176</v>
      </c>
      <c r="C540" s="330" t="s">
        <v>483</v>
      </c>
      <c r="D540" s="330" t="s">
        <v>829</v>
      </c>
      <c r="E540" s="330" t="s">
        <v>1468</v>
      </c>
      <c r="F540" s="368">
        <v>22372080</v>
      </c>
      <c r="G540" s="368">
        <v>22372079.93</v>
      </c>
      <c r="H540" s="368">
        <f t="shared" si="17"/>
        <v>99.999999687110005</v>
      </c>
      <c r="I540" s="147" t="str">
        <f t="shared" si="16"/>
        <v>10060260075130</v>
      </c>
    </row>
    <row r="541" spans="1:9" ht="63.75">
      <c r="A541" s="329" t="s">
        <v>1754</v>
      </c>
      <c r="B541" s="330" t="s">
        <v>176</v>
      </c>
      <c r="C541" s="330" t="s">
        <v>483</v>
      </c>
      <c r="D541" s="330" t="s">
        <v>829</v>
      </c>
      <c r="E541" s="330" t="s">
        <v>322</v>
      </c>
      <c r="F541" s="368">
        <v>19912699.690000001</v>
      </c>
      <c r="G541" s="368">
        <f>G542</f>
        <v>19912699.690000001</v>
      </c>
      <c r="H541" s="368">
        <f t="shared" si="17"/>
        <v>100</v>
      </c>
      <c r="I541" s="147" t="str">
        <f t="shared" si="16"/>
        <v>10060260075130100</v>
      </c>
    </row>
    <row r="542" spans="1:9" ht="25.5">
      <c r="A542" s="329" t="s">
        <v>1509</v>
      </c>
      <c r="B542" s="330" t="s">
        <v>176</v>
      </c>
      <c r="C542" s="330" t="s">
        <v>483</v>
      </c>
      <c r="D542" s="330" t="s">
        <v>829</v>
      </c>
      <c r="E542" s="330" t="s">
        <v>37</v>
      </c>
      <c r="F542" s="368">
        <v>19912699.690000001</v>
      </c>
      <c r="G542" s="368">
        <f>G543+G544+G545</f>
        <v>19912699.690000001</v>
      </c>
      <c r="H542" s="368">
        <f t="shared" si="17"/>
        <v>100</v>
      </c>
      <c r="I542" s="147" t="str">
        <f t="shared" si="16"/>
        <v>10060260075130120</v>
      </c>
    </row>
    <row r="543" spans="1:9" ht="25.5">
      <c r="A543" s="329" t="s">
        <v>1081</v>
      </c>
      <c r="B543" s="330" t="s">
        <v>176</v>
      </c>
      <c r="C543" s="330" t="s">
        <v>483</v>
      </c>
      <c r="D543" s="330" t="s">
        <v>829</v>
      </c>
      <c r="E543" s="330" t="s">
        <v>411</v>
      </c>
      <c r="F543" s="368">
        <v>14879938.67</v>
      </c>
      <c r="G543" s="368">
        <v>14879938.67</v>
      </c>
      <c r="H543" s="368">
        <f t="shared" si="17"/>
        <v>100</v>
      </c>
      <c r="I543" s="147" t="str">
        <f t="shared" si="16"/>
        <v>10060260075130121</v>
      </c>
    </row>
    <row r="544" spans="1:9" ht="38.25">
      <c r="A544" s="329" t="s">
        <v>412</v>
      </c>
      <c r="B544" s="330" t="s">
        <v>176</v>
      </c>
      <c r="C544" s="330" t="s">
        <v>483</v>
      </c>
      <c r="D544" s="330" t="s">
        <v>829</v>
      </c>
      <c r="E544" s="330" t="s">
        <v>413</v>
      </c>
      <c r="F544" s="368">
        <v>583142.41</v>
      </c>
      <c r="G544" s="368">
        <v>583142.41</v>
      </c>
      <c r="H544" s="368">
        <f t="shared" si="17"/>
        <v>100</v>
      </c>
      <c r="I544" s="147" t="str">
        <f t="shared" si="16"/>
        <v>10060260075130122</v>
      </c>
    </row>
    <row r="545" spans="1:9" ht="51">
      <c r="A545" s="329" t="s">
        <v>1195</v>
      </c>
      <c r="B545" s="330" t="s">
        <v>176</v>
      </c>
      <c r="C545" s="330" t="s">
        <v>483</v>
      </c>
      <c r="D545" s="330" t="s">
        <v>829</v>
      </c>
      <c r="E545" s="330" t="s">
        <v>1196</v>
      </c>
      <c r="F545" s="368">
        <v>4449618.6100000003</v>
      </c>
      <c r="G545" s="368">
        <v>4449618.6100000003</v>
      </c>
      <c r="H545" s="368">
        <f t="shared" si="17"/>
        <v>100</v>
      </c>
      <c r="I545" s="147" t="str">
        <f t="shared" si="16"/>
        <v>10060260075130129</v>
      </c>
    </row>
    <row r="546" spans="1:9" ht="25.5">
      <c r="A546" s="329" t="s">
        <v>1755</v>
      </c>
      <c r="B546" s="330" t="s">
        <v>176</v>
      </c>
      <c r="C546" s="330" t="s">
        <v>483</v>
      </c>
      <c r="D546" s="330" t="s">
        <v>829</v>
      </c>
      <c r="E546" s="330" t="s">
        <v>1756</v>
      </c>
      <c r="F546" s="368">
        <v>2454259.96</v>
      </c>
      <c r="G546" s="368">
        <v>2454259.96</v>
      </c>
      <c r="H546" s="368">
        <f t="shared" si="17"/>
        <v>100</v>
      </c>
      <c r="I546" s="147" t="str">
        <f t="shared" si="16"/>
        <v>10060260075130200</v>
      </c>
    </row>
    <row r="547" spans="1:9" ht="38.25">
      <c r="A547" s="329" t="s">
        <v>1502</v>
      </c>
      <c r="B547" s="330" t="s">
        <v>176</v>
      </c>
      <c r="C547" s="330" t="s">
        <v>483</v>
      </c>
      <c r="D547" s="330" t="s">
        <v>829</v>
      </c>
      <c r="E547" s="330" t="s">
        <v>1503</v>
      </c>
      <c r="F547" s="368">
        <v>2454259.96</v>
      </c>
      <c r="G547" s="368">
        <v>2454259.96</v>
      </c>
      <c r="H547" s="368">
        <f t="shared" si="17"/>
        <v>100</v>
      </c>
      <c r="I547" s="147" t="str">
        <f t="shared" si="16"/>
        <v>10060260075130240</v>
      </c>
    </row>
    <row r="548" spans="1:9">
      <c r="A548" s="329" t="s">
        <v>1577</v>
      </c>
      <c r="B548" s="330" t="s">
        <v>176</v>
      </c>
      <c r="C548" s="330" t="s">
        <v>483</v>
      </c>
      <c r="D548" s="330" t="s">
        <v>829</v>
      </c>
      <c r="E548" s="330" t="s">
        <v>416</v>
      </c>
      <c r="F548" s="368">
        <v>2454259.96</v>
      </c>
      <c r="G548" s="368">
        <v>2454259.96</v>
      </c>
      <c r="H548" s="368">
        <f t="shared" si="17"/>
        <v>100</v>
      </c>
      <c r="I548" s="147" t="str">
        <f t="shared" si="16"/>
        <v>10060260075130244</v>
      </c>
    </row>
    <row r="549" spans="1:9">
      <c r="A549" s="329" t="s">
        <v>1757</v>
      </c>
      <c r="B549" s="330" t="s">
        <v>176</v>
      </c>
      <c r="C549" s="330" t="s">
        <v>483</v>
      </c>
      <c r="D549" s="330" t="s">
        <v>829</v>
      </c>
      <c r="E549" s="330" t="s">
        <v>1758</v>
      </c>
      <c r="F549" s="368">
        <v>5120.3500000000004</v>
      </c>
      <c r="G549" s="368">
        <v>5120.3500000000004</v>
      </c>
      <c r="H549" s="368">
        <f t="shared" si="17"/>
        <v>100</v>
      </c>
      <c r="I549" s="147" t="str">
        <f t="shared" si="16"/>
        <v>10060260075130800</v>
      </c>
    </row>
    <row r="550" spans="1:9">
      <c r="A550" s="329" t="s">
        <v>1516</v>
      </c>
      <c r="B550" s="330" t="s">
        <v>176</v>
      </c>
      <c r="C550" s="330" t="s">
        <v>483</v>
      </c>
      <c r="D550" s="330" t="s">
        <v>829</v>
      </c>
      <c r="E550" s="330" t="s">
        <v>242</v>
      </c>
      <c r="F550" s="368">
        <v>3150</v>
      </c>
      <c r="G550" s="368">
        <v>3150</v>
      </c>
      <c r="H550" s="368">
        <f t="shared" si="17"/>
        <v>100</v>
      </c>
      <c r="I550" s="147" t="str">
        <f t="shared" si="16"/>
        <v>10060260075130830</v>
      </c>
    </row>
    <row r="551" spans="1:9" ht="38.25">
      <c r="A551" s="329" t="s">
        <v>1425</v>
      </c>
      <c r="B551" s="330" t="s">
        <v>176</v>
      </c>
      <c r="C551" s="330" t="s">
        <v>483</v>
      </c>
      <c r="D551" s="330" t="s">
        <v>829</v>
      </c>
      <c r="E551" s="330" t="s">
        <v>521</v>
      </c>
      <c r="F551" s="368">
        <v>3150</v>
      </c>
      <c r="G551" s="368">
        <v>3150</v>
      </c>
      <c r="H551" s="368">
        <f t="shared" si="17"/>
        <v>100</v>
      </c>
      <c r="I551" s="147" t="str">
        <f t="shared" si="16"/>
        <v>10060260075130831</v>
      </c>
    </row>
    <row r="552" spans="1:9">
      <c r="A552" s="329" t="s">
        <v>1507</v>
      </c>
      <c r="B552" s="330" t="s">
        <v>176</v>
      </c>
      <c r="C552" s="330" t="s">
        <v>483</v>
      </c>
      <c r="D552" s="330" t="s">
        <v>829</v>
      </c>
      <c r="E552" s="330" t="s">
        <v>1508</v>
      </c>
      <c r="F552" s="368">
        <v>1970.35</v>
      </c>
      <c r="G552" s="368">
        <v>1970.35</v>
      </c>
      <c r="H552" s="368">
        <f t="shared" si="17"/>
        <v>100</v>
      </c>
      <c r="I552" s="147" t="str">
        <f t="shared" si="16"/>
        <v>10060260075130850</v>
      </c>
    </row>
    <row r="553" spans="1:9">
      <c r="A553" s="329" t="s">
        <v>1082</v>
      </c>
      <c r="B553" s="330" t="s">
        <v>176</v>
      </c>
      <c r="C553" s="330" t="s">
        <v>483</v>
      </c>
      <c r="D553" s="330" t="s">
        <v>829</v>
      </c>
      <c r="E553" s="330" t="s">
        <v>591</v>
      </c>
      <c r="F553" s="368">
        <v>800</v>
      </c>
      <c r="G553" s="368">
        <v>800</v>
      </c>
      <c r="H553" s="368">
        <f t="shared" si="17"/>
        <v>100</v>
      </c>
      <c r="I553" s="147" t="str">
        <f t="shared" si="16"/>
        <v>10060260075130852</v>
      </c>
    </row>
    <row r="554" spans="1:9">
      <c r="A554" s="329" t="s">
        <v>1198</v>
      </c>
      <c r="B554" s="330" t="s">
        <v>176</v>
      </c>
      <c r="C554" s="330" t="s">
        <v>483</v>
      </c>
      <c r="D554" s="330" t="s">
        <v>829</v>
      </c>
      <c r="E554" s="330" t="s">
        <v>1199</v>
      </c>
      <c r="F554" s="368">
        <v>1170.3499999999999</v>
      </c>
      <c r="G554" s="368">
        <v>1170.3499999999999</v>
      </c>
      <c r="H554" s="368">
        <f t="shared" si="17"/>
        <v>100</v>
      </c>
      <c r="I554" s="147" t="str">
        <f t="shared" si="16"/>
        <v>10060260075130853</v>
      </c>
    </row>
    <row r="555" spans="1:9" ht="38.25">
      <c r="A555" s="329" t="s">
        <v>1915</v>
      </c>
      <c r="B555" s="330" t="s">
        <v>274</v>
      </c>
      <c r="C555" s="330" t="s">
        <v>1468</v>
      </c>
      <c r="D555" s="330" t="s">
        <v>1468</v>
      </c>
      <c r="E555" s="330" t="s">
        <v>1468</v>
      </c>
      <c r="F555" s="368">
        <v>302576656.26999998</v>
      </c>
      <c r="G555" s="368">
        <f>G556+G674+G840</f>
        <v>302292960.43999994</v>
      </c>
      <c r="H555" s="368">
        <f t="shared" si="17"/>
        <v>99.906240014184405</v>
      </c>
      <c r="I555" s="147" t="str">
        <f t="shared" si="16"/>
        <v/>
      </c>
    </row>
    <row r="556" spans="1:9">
      <c r="A556" s="329" t="s">
        <v>173</v>
      </c>
      <c r="B556" s="330" t="s">
        <v>274</v>
      </c>
      <c r="C556" s="330" t="s">
        <v>1364</v>
      </c>
      <c r="D556" s="330" t="s">
        <v>1468</v>
      </c>
      <c r="E556" s="330" t="s">
        <v>1468</v>
      </c>
      <c r="F556" s="368">
        <v>61458129.740000002</v>
      </c>
      <c r="G556" s="368">
        <f>G557+G617</f>
        <v>61372087.760000005</v>
      </c>
      <c r="H556" s="368">
        <f t="shared" si="17"/>
        <v>99.859999026387555</v>
      </c>
      <c r="I556" s="147" t="str">
        <f t="shared" si="16"/>
        <v>0700</v>
      </c>
    </row>
    <row r="557" spans="1:9">
      <c r="A557" s="329" t="s">
        <v>1240</v>
      </c>
      <c r="B557" s="330" t="s">
        <v>274</v>
      </c>
      <c r="C557" s="330" t="s">
        <v>1241</v>
      </c>
      <c r="D557" s="330" t="s">
        <v>1468</v>
      </c>
      <c r="E557" s="330" t="s">
        <v>1468</v>
      </c>
      <c r="F557" s="368">
        <v>50688322.359999999</v>
      </c>
      <c r="G557" s="368">
        <v>50674183.560000002</v>
      </c>
      <c r="H557" s="368">
        <f t="shared" si="17"/>
        <v>99.972106395829044</v>
      </c>
      <c r="I557" s="147" t="str">
        <f t="shared" si="16"/>
        <v>0703</v>
      </c>
    </row>
    <row r="558" spans="1:9" ht="25.5">
      <c r="A558" s="329" t="s">
        <v>554</v>
      </c>
      <c r="B558" s="330" t="s">
        <v>274</v>
      </c>
      <c r="C558" s="330" t="s">
        <v>1241</v>
      </c>
      <c r="D558" s="330" t="s">
        <v>1120</v>
      </c>
      <c r="E558" s="330" t="s">
        <v>1468</v>
      </c>
      <c r="F558" s="368">
        <v>50688322.359999999</v>
      </c>
      <c r="G558" s="368">
        <v>50674183.560000002</v>
      </c>
      <c r="H558" s="368">
        <f t="shared" si="17"/>
        <v>99.972106395829044</v>
      </c>
      <c r="I558" s="147" t="str">
        <f t="shared" si="16"/>
        <v>07030500000000</v>
      </c>
    </row>
    <row r="559" spans="1:9">
      <c r="A559" s="329" t="s">
        <v>703</v>
      </c>
      <c r="B559" s="330" t="s">
        <v>274</v>
      </c>
      <c r="C559" s="330" t="s">
        <v>1241</v>
      </c>
      <c r="D559" s="330" t="s">
        <v>1122</v>
      </c>
      <c r="E559" s="330" t="s">
        <v>1468</v>
      </c>
      <c r="F559" s="368">
        <v>223137</v>
      </c>
      <c r="G559" s="368">
        <v>223137</v>
      </c>
      <c r="H559" s="368">
        <f t="shared" si="17"/>
        <v>100</v>
      </c>
      <c r="I559" s="147" t="str">
        <f t="shared" si="16"/>
        <v>07030520000000</v>
      </c>
    </row>
    <row r="560" spans="1:9" ht="51">
      <c r="A560" s="329" t="s">
        <v>602</v>
      </c>
      <c r="B560" s="330" t="s">
        <v>274</v>
      </c>
      <c r="C560" s="330" t="s">
        <v>1241</v>
      </c>
      <c r="D560" s="330" t="s">
        <v>830</v>
      </c>
      <c r="E560" s="330" t="s">
        <v>1468</v>
      </c>
      <c r="F560" s="368">
        <v>223137</v>
      </c>
      <c r="G560" s="368">
        <v>223137</v>
      </c>
      <c r="H560" s="368">
        <f t="shared" si="17"/>
        <v>100</v>
      </c>
      <c r="I560" s="147" t="str">
        <f t="shared" ref="I560:I575" si="18">CONCATENATE(C560,D560,E560)</f>
        <v>07030520080520</v>
      </c>
    </row>
    <row r="561" spans="1:9" ht="38.25">
      <c r="A561" s="329" t="s">
        <v>1763</v>
      </c>
      <c r="B561" s="330" t="s">
        <v>274</v>
      </c>
      <c r="C561" s="330" t="s">
        <v>1241</v>
      </c>
      <c r="D561" s="330" t="s">
        <v>830</v>
      </c>
      <c r="E561" s="330" t="s">
        <v>1764</v>
      </c>
      <c r="F561" s="368">
        <v>223137</v>
      </c>
      <c r="G561" s="368">
        <v>223137</v>
      </c>
      <c r="H561" s="368">
        <f t="shared" si="17"/>
        <v>100</v>
      </c>
      <c r="I561" s="147" t="str">
        <f t="shared" si="18"/>
        <v>07030520080520600</v>
      </c>
    </row>
    <row r="562" spans="1:9">
      <c r="A562" s="329" t="s">
        <v>1504</v>
      </c>
      <c r="B562" s="330" t="s">
        <v>274</v>
      </c>
      <c r="C562" s="330" t="s">
        <v>1241</v>
      </c>
      <c r="D562" s="330" t="s">
        <v>830</v>
      </c>
      <c r="E562" s="330" t="s">
        <v>1505</v>
      </c>
      <c r="F562" s="368">
        <v>223137</v>
      </c>
      <c r="G562" s="368">
        <v>223137</v>
      </c>
      <c r="H562" s="368">
        <f t="shared" si="17"/>
        <v>100</v>
      </c>
      <c r="I562" s="147" t="str">
        <f t="shared" si="18"/>
        <v>07030520080520610</v>
      </c>
    </row>
    <row r="563" spans="1:9">
      <c r="A563" s="329" t="s">
        <v>454</v>
      </c>
      <c r="B563" s="330" t="s">
        <v>274</v>
      </c>
      <c r="C563" s="330" t="s">
        <v>1241</v>
      </c>
      <c r="D563" s="330" t="s">
        <v>830</v>
      </c>
      <c r="E563" s="330" t="s">
        <v>455</v>
      </c>
      <c r="F563" s="368">
        <v>223137</v>
      </c>
      <c r="G563" s="368">
        <v>223137</v>
      </c>
      <c r="H563" s="368">
        <f t="shared" si="17"/>
        <v>100</v>
      </c>
      <c r="I563" s="147" t="str">
        <f t="shared" si="18"/>
        <v>07030520080520612</v>
      </c>
    </row>
    <row r="564" spans="1:9" ht="25.5">
      <c r="A564" s="329" t="s">
        <v>704</v>
      </c>
      <c r="B564" s="330" t="s">
        <v>274</v>
      </c>
      <c r="C564" s="330" t="s">
        <v>1241</v>
      </c>
      <c r="D564" s="330" t="s">
        <v>1123</v>
      </c>
      <c r="E564" s="330" t="s">
        <v>1468</v>
      </c>
      <c r="F564" s="368">
        <v>50465185.359999999</v>
      </c>
      <c r="G564" s="368">
        <v>50451046.560000002</v>
      </c>
      <c r="H564" s="368">
        <f t="shared" si="17"/>
        <v>99.971983061393445</v>
      </c>
      <c r="I564" s="147" t="str">
        <f t="shared" si="18"/>
        <v>07030530000000</v>
      </c>
    </row>
    <row r="565" spans="1:9" ht="140.25">
      <c r="A565" s="329" t="s">
        <v>2019</v>
      </c>
      <c r="B565" s="330" t="s">
        <v>274</v>
      </c>
      <c r="C565" s="330" t="s">
        <v>1241</v>
      </c>
      <c r="D565" s="330" t="s">
        <v>2020</v>
      </c>
      <c r="E565" s="330" t="s">
        <v>1468</v>
      </c>
      <c r="F565" s="368">
        <v>8000</v>
      </c>
      <c r="G565" s="368">
        <v>8000</v>
      </c>
      <c r="H565" s="368">
        <f t="shared" si="17"/>
        <v>100</v>
      </c>
      <c r="I565" s="147" t="str">
        <f t="shared" si="18"/>
        <v>07030530010370</v>
      </c>
    </row>
    <row r="566" spans="1:9" ht="38.25">
      <c r="A566" s="329" t="s">
        <v>1763</v>
      </c>
      <c r="B566" s="330" t="s">
        <v>274</v>
      </c>
      <c r="C566" s="330" t="s">
        <v>1241</v>
      </c>
      <c r="D566" s="330" t="s">
        <v>2020</v>
      </c>
      <c r="E566" s="330" t="s">
        <v>1764</v>
      </c>
      <c r="F566" s="368">
        <v>8000</v>
      </c>
      <c r="G566" s="368">
        <v>8000</v>
      </c>
      <c r="H566" s="368">
        <f t="shared" si="17"/>
        <v>100</v>
      </c>
      <c r="I566" s="147" t="str">
        <f t="shared" si="18"/>
        <v>07030530010370600</v>
      </c>
    </row>
    <row r="567" spans="1:9">
      <c r="A567" s="329" t="s">
        <v>1504</v>
      </c>
      <c r="B567" s="330" t="s">
        <v>274</v>
      </c>
      <c r="C567" s="330" t="s">
        <v>1241</v>
      </c>
      <c r="D567" s="330" t="s">
        <v>2020</v>
      </c>
      <c r="E567" s="330" t="s">
        <v>1505</v>
      </c>
      <c r="F567" s="368">
        <v>8000</v>
      </c>
      <c r="G567" s="368">
        <v>8000</v>
      </c>
      <c r="H567" s="368">
        <f t="shared" si="17"/>
        <v>100</v>
      </c>
      <c r="I567" s="147" t="str">
        <f t="shared" si="18"/>
        <v>07030530010370610</v>
      </c>
    </row>
    <row r="568" spans="1:9" ht="51">
      <c r="A568" s="329" t="s">
        <v>435</v>
      </c>
      <c r="B568" s="330" t="s">
        <v>274</v>
      </c>
      <c r="C568" s="330" t="s">
        <v>1241</v>
      </c>
      <c r="D568" s="330" t="s">
        <v>2020</v>
      </c>
      <c r="E568" s="330" t="s">
        <v>436</v>
      </c>
      <c r="F568" s="368">
        <v>8000</v>
      </c>
      <c r="G568" s="368">
        <v>8000</v>
      </c>
      <c r="H568" s="368">
        <f t="shared" si="17"/>
        <v>100</v>
      </c>
      <c r="I568" s="147" t="str">
        <f t="shared" si="18"/>
        <v>07030530010370611</v>
      </c>
    </row>
    <row r="569" spans="1:9" ht="165.75">
      <c r="A569" s="329" t="s">
        <v>1848</v>
      </c>
      <c r="B569" s="330" t="s">
        <v>274</v>
      </c>
      <c r="C569" s="330" t="s">
        <v>1241</v>
      </c>
      <c r="D569" s="330" t="s">
        <v>1849</v>
      </c>
      <c r="E569" s="330" t="s">
        <v>1468</v>
      </c>
      <c r="F569" s="368">
        <v>2500000</v>
      </c>
      <c r="G569" s="368">
        <v>2500000</v>
      </c>
      <c r="H569" s="368">
        <f t="shared" si="17"/>
        <v>100</v>
      </c>
      <c r="I569" s="147" t="str">
        <f t="shared" si="18"/>
        <v>07030530010480</v>
      </c>
    </row>
    <row r="570" spans="1:9" ht="38.25">
      <c r="A570" s="329" t="s">
        <v>1763</v>
      </c>
      <c r="B570" s="330" t="s">
        <v>274</v>
      </c>
      <c r="C570" s="330" t="s">
        <v>1241</v>
      </c>
      <c r="D570" s="330" t="s">
        <v>1849</v>
      </c>
      <c r="E570" s="330" t="s">
        <v>1764</v>
      </c>
      <c r="F570" s="368">
        <v>2500000</v>
      </c>
      <c r="G570" s="368">
        <v>2500000</v>
      </c>
      <c r="H570" s="368">
        <f t="shared" si="17"/>
        <v>100</v>
      </c>
      <c r="I570" s="147" t="str">
        <f t="shared" si="18"/>
        <v>07030530010480600</v>
      </c>
    </row>
    <row r="571" spans="1:9">
      <c r="A571" s="329" t="s">
        <v>1504</v>
      </c>
      <c r="B571" s="330" t="s">
        <v>274</v>
      </c>
      <c r="C571" s="330" t="s">
        <v>1241</v>
      </c>
      <c r="D571" s="330" t="s">
        <v>1849</v>
      </c>
      <c r="E571" s="330" t="s">
        <v>1505</v>
      </c>
      <c r="F571" s="368">
        <v>2500000</v>
      </c>
      <c r="G571" s="368">
        <v>2500000</v>
      </c>
      <c r="H571" s="368">
        <f t="shared" si="17"/>
        <v>100</v>
      </c>
      <c r="I571" s="147" t="str">
        <f t="shared" si="18"/>
        <v>07030530010480610</v>
      </c>
    </row>
    <row r="572" spans="1:9" ht="51">
      <c r="A572" s="329" t="s">
        <v>435</v>
      </c>
      <c r="B572" s="330" t="s">
        <v>274</v>
      </c>
      <c r="C572" s="330" t="s">
        <v>1241</v>
      </c>
      <c r="D572" s="330" t="s">
        <v>1849</v>
      </c>
      <c r="E572" s="330" t="s">
        <v>436</v>
      </c>
      <c r="F572" s="368">
        <v>2500000</v>
      </c>
      <c r="G572" s="368">
        <v>2500000</v>
      </c>
      <c r="H572" s="368">
        <f t="shared" si="17"/>
        <v>100</v>
      </c>
      <c r="I572" s="147" t="str">
        <f t="shared" si="18"/>
        <v>07030530010480611</v>
      </c>
    </row>
    <row r="573" spans="1:9" ht="114.75">
      <c r="A573" s="329" t="s">
        <v>603</v>
      </c>
      <c r="B573" s="330" t="s">
        <v>274</v>
      </c>
      <c r="C573" s="330" t="s">
        <v>1241</v>
      </c>
      <c r="D573" s="330" t="s">
        <v>831</v>
      </c>
      <c r="E573" s="330" t="s">
        <v>1468</v>
      </c>
      <c r="F573" s="368">
        <v>31677965</v>
      </c>
      <c r="G573" s="368">
        <v>31677965</v>
      </c>
      <c r="H573" s="368">
        <f t="shared" si="17"/>
        <v>100</v>
      </c>
      <c r="I573" s="147" t="str">
        <f t="shared" si="18"/>
        <v>07030530040000</v>
      </c>
    </row>
    <row r="574" spans="1:9" ht="38.25">
      <c r="A574" s="329" t="s">
        <v>1763</v>
      </c>
      <c r="B574" s="330" t="s">
        <v>274</v>
      </c>
      <c r="C574" s="330" t="s">
        <v>1241</v>
      </c>
      <c r="D574" s="330" t="s">
        <v>831</v>
      </c>
      <c r="E574" s="330" t="s">
        <v>1764</v>
      </c>
      <c r="F574" s="368">
        <v>31677965</v>
      </c>
      <c r="G574" s="368">
        <v>31677965</v>
      </c>
      <c r="H574" s="368">
        <f t="shared" si="17"/>
        <v>100</v>
      </c>
      <c r="I574" s="147" t="str">
        <f t="shared" si="18"/>
        <v>07030530040000600</v>
      </c>
    </row>
    <row r="575" spans="1:9">
      <c r="A575" s="329" t="s">
        <v>1504</v>
      </c>
      <c r="B575" s="330" t="s">
        <v>274</v>
      </c>
      <c r="C575" s="330" t="s">
        <v>1241</v>
      </c>
      <c r="D575" s="330" t="s">
        <v>831</v>
      </c>
      <c r="E575" s="330" t="s">
        <v>1505</v>
      </c>
      <c r="F575" s="368">
        <v>31677965</v>
      </c>
      <c r="G575" s="368">
        <v>31677965</v>
      </c>
      <c r="H575" s="368">
        <f t="shared" si="17"/>
        <v>100</v>
      </c>
      <c r="I575" s="147" t="str">
        <f t="shared" si="18"/>
        <v>07030530040000610</v>
      </c>
    </row>
    <row r="576" spans="1:9" ht="51">
      <c r="A576" s="329" t="s">
        <v>435</v>
      </c>
      <c r="B576" s="330" t="s">
        <v>274</v>
      </c>
      <c r="C576" s="330" t="s">
        <v>1241</v>
      </c>
      <c r="D576" s="330" t="s">
        <v>831</v>
      </c>
      <c r="E576" s="330" t="s">
        <v>436</v>
      </c>
      <c r="F576" s="368">
        <v>31677965</v>
      </c>
      <c r="G576" s="368">
        <v>31677965</v>
      </c>
      <c r="H576" s="368">
        <f t="shared" si="17"/>
        <v>100</v>
      </c>
      <c r="I576" s="147" t="str">
        <f t="shared" ref="I576:I616" si="19">CONCATENATE(C576,D576,E576)</f>
        <v>07030530040000611</v>
      </c>
    </row>
    <row r="577" spans="1:9" ht="153">
      <c r="A577" s="329" t="s">
        <v>604</v>
      </c>
      <c r="B577" s="330" t="s">
        <v>274</v>
      </c>
      <c r="C577" s="330" t="s">
        <v>1241</v>
      </c>
      <c r="D577" s="330" t="s">
        <v>832</v>
      </c>
      <c r="E577" s="330" t="s">
        <v>1468</v>
      </c>
      <c r="F577" s="368">
        <v>10870926</v>
      </c>
      <c r="G577" s="368">
        <v>10870926</v>
      </c>
      <c r="H577" s="368">
        <f t="shared" si="17"/>
        <v>100</v>
      </c>
      <c r="I577" s="147" t="str">
        <f t="shared" si="19"/>
        <v>07030530041000</v>
      </c>
    </row>
    <row r="578" spans="1:9" ht="38.25">
      <c r="A578" s="329" t="s">
        <v>1763</v>
      </c>
      <c r="B578" s="330" t="s">
        <v>274</v>
      </c>
      <c r="C578" s="330" t="s">
        <v>1241</v>
      </c>
      <c r="D578" s="330" t="s">
        <v>832</v>
      </c>
      <c r="E578" s="330" t="s">
        <v>1764</v>
      </c>
      <c r="F578" s="368">
        <v>10870926</v>
      </c>
      <c r="G578" s="368">
        <v>10870926</v>
      </c>
      <c r="H578" s="368">
        <f t="shared" si="17"/>
        <v>100</v>
      </c>
      <c r="I578" s="147" t="str">
        <f t="shared" si="19"/>
        <v>07030530041000600</v>
      </c>
    </row>
    <row r="579" spans="1:9">
      <c r="A579" s="329" t="s">
        <v>1504</v>
      </c>
      <c r="B579" s="330" t="s">
        <v>274</v>
      </c>
      <c r="C579" s="330" t="s">
        <v>1241</v>
      </c>
      <c r="D579" s="330" t="s">
        <v>832</v>
      </c>
      <c r="E579" s="330" t="s">
        <v>1505</v>
      </c>
      <c r="F579" s="368">
        <v>10870926</v>
      </c>
      <c r="G579" s="368">
        <v>10870926</v>
      </c>
      <c r="H579" s="368">
        <f t="shared" si="17"/>
        <v>100</v>
      </c>
      <c r="I579" s="147" t="str">
        <f t="shared" si="19"/>
        <v>07030530041000610</v>
      </c>
    </row>
    <row r="580" spans="1:9" ht="51">
      <c r="A580" s="329" t="s">
        <v>435</v>
      </c>
      <c r="B580" s="330" t="s">
        <v>274</v>
      </c>
      <c r="C580" s="330" t="s">
        <v>1241</v>
      </c>
      <c r="D580" s="330" t="s">
        <v>832</v>
      </c>
      <c r="E580" s="330" t="s">
        <v>436</v>
      </c>
      <c r="F580" s="368">
        <v>10870926</v>
      </c>
      <c r="G580" s="368">
        <v>10870926</v>
      </c>
      <c r="H580" s="368">
        <f t="shared" si="17"/>
        <v>100</v>
      </c>
      <c r="I580" s="147" t="str">
        <f t="shared" si="19"/>
        <v>07030530041000611</v>
      </c>
    </row>
    <row r="581" spans="1:9" ht="114.75">
      <c r="A581" s="329" t="s">
        <v>675</v>
      </c>
      <c r="B581" s="330" t="s">
        <v>274</v>
      </c>
      <c r="C581" s="330" t="s">
        <v>1241</v>
      </c>
      <c r="D581" s="330" t="s">
        <v>833</v>
      </c>
      <c r="E581" s="330" t="s">
        <v>1468</v>
      </c>
      <c r="F581" s="368">
        <v>187561</v>
      </c>
      <c r="G581" s="368">
        <v>187561</v>
      </c>
      <c r="H581" s="368">
        <f t="shared" si="17"/>
        <v>100</v>
      </c>
      <c r="I581" s="147" t="str">
        <f t="shared" si="19"/>
        <v>07030530045000</v>
      </c>
    </row>
    <row r="582" spans="1:9" ht="38.25">
      <c r="A582" s="329" t="s">
        <v>1763</v>
      </c>
      <c r="B582" s="330" t="s">
        <v>274</v>
      </c>
      <c r="C582" s="330" t="s">
        <v>1241</v>
      </c>
      <c r="D582" s="330" t="s">
        <v>833</v>
      </c>
      <c r="E582" s="330" t="s">
        <v>1764</v>
      </c>
      <c r="F582" s="368">
        <v>187561</v>
      </c>
      <c r="G582" s="368">
        <v>187561</v>
      </c>
      <c r="H582" s="368">
        <f t="shared" si="17"/>
        <v>100</v>
      </c>
      <c r="I582" s="147" t="str">
        <f t="shared" si="19"/>
        <v>07030530045000600</v>
      </c>
    </row>
    <row r="583" spans="1:9">
      <c r="A583" s="329" t="s">
        <v>1504</v>
      </c>
      <c r="B583" s="330" t="s">
        <v>274</v>
      </c>
      <c r="C583" s="330" t="s">
        <v>1241</v>
      </c>
      <c r="D583" s="330" t="s">
        <v>833</v>
      </c>
      <c r="E583" s="330" t="s">
        <v>1505</v>
      </c>
      <c r="F583" s="368">
        <v>187561</v>
      </c>
      <c r="G583" s="368">
        <v>187561</v>
      </c>
      <c r="H583" s="368">
        <f t="shared" si="17"/>
        <v>100</v>
      </c>
      <c r="I583" s="147" t="str">
        <f t="shared" si="19"/>
        <v>07030530045000610</v>
      </c>
    </row>
    <row r="584" spans="1:9" ht="51">
      <c r="A584" s="329" t="s">
        <v>435</v>
      </c>
      <c r="B584" s="330" t="s">
        <v>274</v>
      </c>
      <c r="C584" s="330" t="s">
        <v>1241</v>
      </c>
      <c r="D584" s="330" t="s">
        <v>833</v>
      </c>
      <c r="E584" s="330" t="s">
        <v>436</v>
      </c>
      <c r="F584" s="368">
        <v>187561</v>
      </c>
      <c r="G584" s="368">
        <v>187561</v>
      </c>
      <c r="H584" s="368">
        <f t="shared" ref="H584:H647" si="20">G584/F584*100</f>
        <v>100</v>
      </c>
      <c r="I584" s="147" t="str">
        <f t="shared" si="19"/>
        <v>07030530045000611</v>
      </c>
    </row>
    <row r="585" spans="1:9" ht="102">
      <c r="A585" s="329" t="s">
        <v>605</v>
      </c>
      <c r="B585" s="330" t="s">
        <v>274</v>
      </c>
      <c r="C585" s="330" t="s">
        <v>1241</v>
      </c>
      <c r="D585" s="330" t="s">
        <v>834</v>
      </c>
      <c r="E585" s="330" t="s">
        <v>1468</v>
      </c>
      <c r="F585" s="368">
        <v>816533.36</v>
      </c>
      <c r="G585" s="368">
        <v>810494.56</v>
      </c>
      <c r="H585" s="368">
        <f t="shared" si="20"/>
        <v>99.260434380782698</v>
      </c>
      <c r="I585" s="147" t="str">
        <f t="shared" si="19"/>
        <v>07030530047000</v>
      </c>
    </row>
    <row r="586" spans="1:9" ht="38.25">
      <c r="A586" s="329" t="s">
        <v>1763</v>
      </c>
      <c r="B586" s="330" t="s">
        <v>274</v>
      </c>
      <c r="C586" s="330" t="s">
        <v>1241</v>
      </c>
      <c r="D586" s="330" t="s">
        <v>834</v>
      </c>
      <c r="E586" s="330" t="s">
        <v>1764</v>
      </c>
      <c r="F586" s="368">
        <v>816533.36</v>
      </c>
      <c r="G586" s="368">
        <v>810494.56</v>
      </c>
      <c r="H586" s="368">
        <f t="shared" si="20"/>
        <v>99.260434380782698</v>
      </c>
      <c r="I586" s="147" t="str">
        <f t="shared" si="19"/>
        <v>07030530047000600</v>
      </c>
    </row>
    <row r="587" spans="1:9">
      <c r="A587" s="329" t="s">
        <v>1504</v>
      </c>
      <c r="B587" s="330" t="s">
        <v>274</v>
      </c>
      <c r="C587" s="330" t="s">
        <v>1241</v>
      </c>
      <c r="D587" s="330" t="s">
        <v>834</v>
      </c>
      <c r="E587" s="330" t="s">
        <v>1505</v>
      </c>
      <c r="F587" s="368">
        <v>816533.36</v>
      </c>
      <c r="G587" s="368">
        <v>810494.56</v>
      </c>
      <c r="H587" s="368">
        <f t="shared" si="20"/>
        <v>99.260434380782698</v>
      </c>
      <c r="I587" s="147" t="str">
        <f t="shared" si="19"/>
        <v>07030530047000610</v>
      </c>
    </row>
    <row r="588" spans="1:9">
      <c r="A588" s="329" t="s">
        <v>454</v>
      </c>
      <c r="B588" s="330" t="s">
        <v>274</v>
      </c>
      <c r="C588" s="330" t="s">
        <v>1241</v>
      </c>
      <c r="D588" s="330" t="s">
        <v>834</v>
      </c>
      <c r="E588" s="330" t="s">
        <v>455</v>
      </c>
      <c r="F588" s="368">
        <v>816533.36</v>
      </c>
      <c r="G588" s="368">
        <v>810494.56</v>
      </c>
      <c r="H588" s="368">
        <f t="shared" si="20"/>
        <v>99.260434380782698</v>
      </c>
      <c r="I588" s="147" t="str">
        <f t="shared" si="19"/>
        <v>07030530047000612</v>
      </c>
    </row>
    <row r="589" spans="1:9" ht="114.75">
      <c r="A589" s="329" t="s">
        <v>676</v>
      </c>
      <c r="B589" s="330" t="s">
        <v>274</v>
      </c>
      <c r="C589" s="330" t="s">
        <v>1241</v>
      </c>
      <c r="D589" s="330" t="s">
        <v>835</v>
      </c>
      <c r="E589" s="330" t="s">
        <v>1468</v>
      </c>
      <c r="F589" s="368">
        <v>3048800</v>
      </c>
      <c r="G589" s="368">
        <v>3048800</v>
      </c>
      <c r="H589" s="368">
        <f t="shared" si="20"/>
        <v>100</v>
      </c>
      <c r="I589" s="147" t="str">
        <f t="shared" si="19"/>
        <v>0703053004Г000</v>
      </c>
    </row>
    <row r="590" spans="1:9" ht="38.25">
      <c r="A590" s="329" t="s">
        <v>1763</v>
      </c>
      <c r="B590" s="330" t="s">
        <v>274</v>
      </c>
      <c r="C590" s="330" t="s">
        <v>1241</v>
      </c>
      <c r="D590" s="330" t="s">
        <v>835</v>
      </c>
      <c r="E590" s="330" t="s">
        <v>1764</v>
      </c>
      <c r="F590" s="368">
        <v>3048800</v>
      </c>
      <c r="G590" s="368">
        <v>3048800</v>
      </c>
      <c r="H590" s="368">
        <f t="shared" si="20"/>
        <v>100</v>
      </c>
      <c r="I590" s="147" t="str">
        <f t="shared" si="19"/>
        <v>0703053004Г000600</v>
      </c>
    </row>
    <row r="591" spans="1:9">
      <c r="A591" s="329" t="s">
        <v>1504</v>
      </c>
      <c r="B591" s="330" t="s">
        <v>274</v>
      </c>
      <c r="C591" s="330" t="s">
        <v>1241</v>
      </c>
      <c r="D591" s="330" t="s">
        <v>835</v>
      </c>
      <c r="E591" s="330" t="s">
        <v>1505</v>
      </c>
      <c r="F591" s="368">
        <v>3048800</v>
      </c>
      <c r="G591" s="368">
        <v>3048800</v>
      </c>
      <c r="H591" s="368">
        <f t="shared" si="20"/>
        <v>100</v>
      </c>
      <c r="I591" s="147" t="str">
        <f t="shared" si="19"/>
        <v>0703053004Г000610</v>
      </c>
    </row>
    <row r="592" spans="1:9" ht="51">
      <c r="A592" s="329" t="s">
        <v>435</v>
      </c>
      <c r="B592" s="330" t="s">
        <v>274</v>
      </c>
      <c r="C592" s="330" t="s">
        <v>1241</v>
      </c>
      <c r="D592" s="330" t="s">
        <v>835</v>
      </c>
      <c r="E592" s="330" t="s">
        <v>436</v>
      </c>
      <c r="F592" s="368">
        <v>3048800</v>
      </c>
      <c r="G592" s="368">
        <v>3048800</v>
      </c>
      <c r="H592" s="368">
        <f t="shared" si="20"/>
        <v>100</v>
      </c>
      <c r="I592" s="147" t="str">
        <f t="shared" si="19"/>
        <v>0703053004Г000611</v>
      </c>
    </row>
    <row r="593" spans="1:9" ht="102">
      <c r="A593" s="329" t="s">
        <v>1087</v>
      </c>
      <c r="B593" s="330" t="s">
        <v>274</v>
      </c>
      <c r="C593" s="330" t="s">
        <v>1241</v>
      </c>
      <c r="D593" s="330" t="s">
        <v>1088</v>
      </c>
      <c r="E593" s="330" t="s">
        <v>1468</v>
      </c>
      <c r="F593" s="368">
        <v>331000</v>
      </c>
      <c r="G593" s="368">
        <v>331000</v>
      </c>
      <c r="H593" s="368">
        <f t="shared" si="20"/>
        <v>100</v>
      </c>
      <c r="I593" s="147" t="str">
        <f t="shared" si="19"/>
        <v>0703053004Э000</v>
      </c>
    </row>
    <row r="594" spans="1:9" ht="38.25">
      <c r="A594" s="329" t="s">
        <v>1763</v>
      </c>
      <c r="B594" s="330" t="s">
        <v>274</v>
      </c>
      <c r="C594" s="330" t="s">
        <v>1241</v>
      </c>
      <c r="D594" s="330" t="s">
        <v>1088</v>
      </c>
      <c r="E594" s="330" t="s">
        <v>1764</v>
      </c>
      <c r="F594" s="368">
        <v>331000</v>
      </c>
      <c r="G594" s="368">
        <v>331000</v>
      </c>
      <c r="H594" s="368">
        <f t="shared" si="20"/>
        <v>100</v>
      </c>
      <c r="I594" s="147" t="str">
        <f t="shared" si="19"/>
        <v>0703053004Э000600</v>
      </c>
    </row>
    <row r="595" spans="1:9">
      <c r="A595" s="329" t="s">
        <v>1504</v>
      </c>
      <c r="B595" s="330" t="s">
        <v>274</v>
      </c>
      <c r="C595" s="330" t="s">
        <v>1241</v>
      </c>
      <c r="D595" s="330" t="s">
        <v>1088</v>
      </c>
      <c r="E595" s="330" t="s">
        <v>1505</v>
      </c>
      <c r="F595" s="368">
        <v>331000</v>
      </c>
      <c r="G595" s="368">
        <v>331000</v>
      </c>
      <c r="H595" s="368">
        <f t="shared" si="20"/>
        <v>100</v>
      </c>
      <c r="I595" s="147" t="str">
        <f t="shared" si="19"/>
        <v>0703053004Э000610</v>
      </c>
    </row>
    <row r="596" spans="1:9" ht="51">
      <c r="A596" s="329" t="s">
        <v>435</v>
      </c>
      <c r="B596" s="330" t="s">
        <v>274</v>
      </c>
      <c r="C596" s="330" t="s">
        <v>1241</v>
      </c>
      <c r="D596" s="330" t="s">
        <v>1088</v>
      </c>
      <c r="E596" s="330" t="s">
        <v>436</v>
      </c>
      <c r="F596" s="368">
        <v>331000</v>
      </c>
      <c r="G596" s="368">
        <v>331000</v>
      </c>
      <c r="H596" s="368">
        <f t="shared" si="20"/>
        <v>100</v>
      </c>
      <c r="I596" s="147" t="str">
        <f t="shared" si="19"/>
        <v>0703053004Э000611</v>
      </c>
    </row>
    <row r="597" spans="1:9" ht="89.25">
      <c r="A597" s="329" t="s">
        <v>1916</v>
      </c>
      <c r="B597" s="330" t="s">
        <v>274</v>
      </c>
      <c r="C597" s="330" t="s">
        <v>1241</v>
      </c>
      <c r="D597" s="330" t="s">
        <v>1917</v>
      </c>
      <c r="E597" s="330" t="s">
        <v>1468</v>
      </c>
      <c r="F597" s="368">
        <v>673200</v>
      </c>
      <c r="G597" s="368">
        <v>673200</v>
      </c>
      <c r="H597" s="368">
        <f t="shared" si="20"/>
        <v>100</v>
      </c>
      <c r="I597" s="147" t="str">
        <f t="shared" si="19"/>
        <v>07030530074490</v>
      </c>
    </row>
    <row r="598" spans="1:9" ht="38.25">
      <c r="A598" s="329" t="s">
        <v>1763</v>
      </c>
      <c r="B598" s="330" t="s">
        <v>274</v>
      </c>
      <c r="C598" s="330" t="s">
        <v>1241</v>
      </c>
      <c r="D598" s="330" t="s">
        <v>1917</v>
      </c>
      <c r="E598" s="330" t="s">
        <v>1764</v>
      </c>
      <c r="F598" s="368">
        <v>673200</v>
      </c>
      <c r="G598" s="368">
        <v>673200</v>
      </c>
      <c r="H598" s="368">
        <f t="shared" si="20"/>
        <v>100</v>
      </c>
      <c r="I598" s="147" t="str">
        <f t="shared" si="19"/>
        <v>07030530074490600</v>
      </c>
    </row>
    <row r="599" spans="1:9">
      <c r="A599" s="329" t="s">
        <v>1504</v>
      </c>
      <c r="B599" s="330" t="s">
        <v>274</v>
      </c>
      <c r="C599" s="330" t="s">
        <v>1241</v>
      </c>
      <c r="D599" s="330" t="s">
        <v>1917</v>
      </c>
      <c r="E599" s="330" t="s">
        <v>1505</v>
      </c>
      <c r="F599" s="368">
        <v>673200</v>
      </c>
      <c r="G599" s="368">
        <v>673200</v>
      </c>
      <c r="H599" s="368">
        <f t="shared" si="20"/>
        <v>100</v>
      </c>
      <c r="I599" s="147" t="str">
        <f t="shared" si="19"/>
        <v>07030530074490610</v>
      </c>
    </row>
    <row r="600" spans="1:9">
      <c r="A600" s="329" t="s">
        <v>454</v>
      </c>
      <c r="B600" s="330" t="s">
        <v>274</v>
      </c>
      <c r="C600" s="330" t="s">
        <v>1241</v>
      </c>
      <c r="D600" s="330" t="s">
        <v>1917</v>
      </c>
      <c r="E600" s="330" t="s">
        <v>455</v>
      </c>
      <c r="F600" s="368">
        <v>673200</v>
      </c>
      <c r="G600" s="368">
        <v>673200</v>
      </c>
      <c r="H600" s="368">
        <f t="shared" si="20"/>
        <v>100</v>
      </c>
      <c r="I600" s="147" t="str">
        <f t="shared" si="19"/>
        <v>07030530074490612</v>
      </c>
    </row>
    <row r="601" spans="1:9" ht="89.25">
      <c r="A601" s="329" t="s">
        <v>1918</v>
      </c>
      <c r="B601" s="330" t="s">
        <v>274</v>
      </c>
      <c r="C601" s="330" t="s">
        <v>1241</v>
      </c>
      <c r="D601" s="330" t="s">
        <v>1919</v>
      </c>
      <c r="E601" s="330" t="s">
        <v>1468</v>
      </c>
      <c r="F601" s="368">
        <v>200000</v>
      </c>
      <c r="G601" s="368">
        <v>200000</v>
      </c>
      <c r="H601" s="368">
        <f t="shared" si="20"/>
        <v>100</v>
      </c>
      <c r="I601" s="147" t="str">
        <f t="shared" si="19"/>
        <v>07030530074810</v>
      </c>
    </row>
    <row r="602" spans="1:9" ht="38.25">
      <c r="A602" s="329" t="s">
        <v>1763</v>
      </c>
      <c r="B602" s="330" t="s">
        <v>274</v>
      </c>
      <c r="C602" s="330" t="s">
        <v>1241</v>
      </c>
      <c r="D602" s="330" t="s">
        <v>1919</v>
      </c>
      <c r="E602" s="330" t="s">
        <v>1764</v>
      </c>
      <c r="F602" s="368">
        <v>200000</v>
      </c>
      <c r="G602" s="368">
        <v>200000</v>
      </c>
      <c r="H602" s="368">
        <f t="shared" si="20"/>
        <v>100</v>
      </c>
      <c r="I602" s="147" t="str">
        <f t="shared" si="19"/>
        <v>07030530074810600</v>
      </c>
    </row>
    <row r="603" spans="1:9">
      <c r="A603" s="329" t="s">
        <v>1504</v>
      </c>
      <c r="B603" s="330" t="s">
        <v>274</v>
      </c>
      <c r="C603" s="330" t="s">
        <v>1241</v>
      </c>
      <c r="D603" s="330" t="s">
        <v>1919</v>
      </c>
      <c r="E603" s="330" t="s">
        <v>1505</v>
      </c>
      <c r="F603" s="368">
        <v>200000</v>
      </c>
      <c r="G603" s="368">
        <v>200000</v>
      </c>
      <c r="H603" s="368">
        <f t="shared" si="20"/>
        <v>100</v>
      </c>
      <c r="I603" s="147" t="str">
        <f t="shared" si="19"/>
        <v>07030530074810610</v>
      </c>
    </row>
    <row r="604" spans="1:9">
      <c r="A604" s="329" t="s">
        <v>454</v>
      </c>
      <c r="B604" s="330" t="s">
        <v>274</v>
      </c>
      <c r="C604" s="330" t="s">
        <v>1241</v>
      </c>
      <c r="D604" s="330" t="s">
        <v>1919</v>
      </c>
      <c r="E604" s="330" t="s">
        <v>455</v>
      </c>
      <c r="F604" s="368">
        <v>200000</v>
      </c>
      <c r="G604" s="368">
        <v>200000</v>
      </c>
      <c r="H604" s="368">
        <f t="shared" si="20"/>
        <v>100</v>
      </c>
      <c r="I604" s="147" t="str">
        <f t="shared" si="19"/>
        <v>07030530074810612</v>
      </c>
    </row>
    <row r="605" spans="1:9" ht="102">
      <c r="A605" s="329" t="s">
        <v>1920</v>
      </c>
      <c r="B605" s="330" t="s">
        <v>274</v>
      </c>
      <c r="C605" s="330" t="s">
        <v>1241</v>
      </c>
      <c r="D605" s="330" t="s">
        <v>1921</v>
      </c>
      <c r="E605" s="330" t="s">
        <v>1468</v>
      </c>
      <c r="F605" s="368">
        <v>6800</v>
      </c>
      <c r="G605" s="368">
        <v>6800</v>
      </c>
      <c r="H605" s="368">
        <f t="shared" si="20"/>
        <v>100</v>
      </c>
      <c r="I605" s="147" t="str">
        <f t="shared" si="19"/>
        <v>070305300S4490</v>
      </c>
    </row>
    <row r="606" spans="1:9" ht="38.25">
      <c r="A606" s="329" t="s">
        <v>1763</v>
      </c>
      <c r="B606" s="330" t="s">
        <v>274</v>
      </c>
      <c r="C606" s="330" t="s">
        <v>1241</v>
      </c>
      <c r="D606" s="330" t="s">
        <v>1921</v>
      </c>
      <c r="E606" s="330" t="s">
        <v>1764</v>
      </c>
      <c r="F606" s="368">
        <v>6800</v>
      </c>
      <c r="G606" s="368">
        <v>6800</v>
      </c>
      <c r="H606" s="368">
        <f t="shared" si="20"/>
        <v>100</v>
      </c>
      <c r="I606" s="147" t="str">
        <f t="shared" si="19"/>
        <v>070305300S4490600</v>
      </c>
    </row>
    <row r="607" spans="1:9">
      <c r="A607" s="329" t="s">
        <v>1504</v>
      </c>
      <c r="B607" s="330" t="s">
        <v>274</v>
      </c>
      <c r="C607" s="330" t="s">
        <v>1241</v>
      </c>
      <c r="D607" s="330" t="s">
        <v>1921</v>
      </c>
      <c r="E607" s="330" t="s">
        <v>1505</v>
      </c>
      <c r="F607" s="368">
        <v>6800</v>
      </c>
      <c r="G607" s="368">
        <v>6800</v>
      </c>
      <c r="H607" s="368">
        <f t="shared" si="20"/>
        <v>100</v>
      </c>
      <c r="I607" s="147" t="str">
        <f t="shared" si="19"/>
        <v>070305300S4490610</v>
      </c>
    </row>
    <row r="608" spans="1:9">
      <c r="A608" s="329" t="s">
        <v>454</v>
      </c>
      <c r="B608" s="330" t="s">
        <v>274</v>
      </c>
      <c r="C608" s="330" t="s">
        <v>1241</v>
      </c>
      <c r="D608" s="330" t="s">
        <v>1921</v>
      </c>
      <c r="E608" s="330" t="s">
        <v>455</v>
      </c>
      <c r="F608" s="368">
        <v>6800</v>
      </c>
      <c r="G608" s="368">
        <v>6800</v>
      </c>
      <c r="H608" s="368">
        <f t="shared" si="20"/>
        <v>100</v>
      </c>
      <c r="I608" s="147" t="str">
        <f t="shared" si="19"/>
        <v>070305300S4490612</v>
      </c>
    </row>
    <row r="609" spans="1:9" ht="114.75">
      <c r="A609" s="329" t="s">
        <v>1922</v>
      </c>
      <c r="B609" s="330" t="s">
        <v>274</v>
      </c>
      <c r="C609" s="330" t="s">
        <v>1241</v>
      </c>
      <c r="D609" s="330" t="s">
        <v>1923</v>
      </c>
      <c r="E609" s="330" t="s">
        <v>1468</v>
      </c>
      <c r="F609" s="368">
        <v>10000</v>
      </c>
      <c r="G609" s="368">
        <v>10000</v>
      </c>
      <c r="H609" s="368">
        <f t="shared" si="20"/>
        <v>100</v>
      </c>
      <c r="I609" s="147" t="str">
        <f t="shared" si="19"/>
        <v>070305300S4810</v>
      </c>
    </row>
    <row r="610" spans="1:9" ht="38.25">
      <c r="A610" s="329" t="s">
        <v>1763</v>
      </c>
      <c r="B610" s="330" t="s">
        <v>274</v>
      </c>
      <c r="C610" s="330" t="s">
        <v>1241</v>
      </c>
      <c r="D610" s="330" t="s">
        <v>1923</v>
      </c>
      <c r="E610" s="330" t="s">
        <v>1764</v>
      </c>
      <c r="F610" s="368">
        <v>10000</v>
      </c>
      <c r="G610" s="368">
        <v>10000</v>
      </c>
      <c r="H610" s="368">
        <f t="shared" si="20"/>
        <v>100</v>
      </c>
      <c r="I610" s="147" t="str">
        <f t="shared" si="19"/>
        <v>070305300S4810600</v>
      </c>
    </row>
    <row r="611" spans="1:9">
      <c r="A611" s="329" t="s">
        <v>1504</v>
      </c>
      <c r="B611" s="330" t="s">
        <v>274</v>
      </c>
      <c r="C611" s="330" t="s">
        <v>1241</v>
      </c>
      <c r="D611" s="330" t="s">
        <v>1923</v>
      </c>
      <c r="E611" s="330" t="s">
        <v>1505</v>
      </c>
      <c r="F611" s="368">
        <v>10000</v>
      </c>
      <c r="G611" s="368">
        <v>10000</v>
      </c>
      <c r="H611" s="368">
        <f t="shared" si="20"/>
        <v>100</v>
      </c>
      <c r="I611" s="147" t="str">
        <f t="shared" si="19"/>
        <v>070305300S4810610</v>
      </c>
    </row>
    <row r="612" spans="1:9">
      <c r="A612" s="329" t="s">
        <v>454</v>
      </c>
      <c r="B612" s="330" t="s">
        <v>274</v>
      </c>
      <c r="C612" s="330" t="s">
        <v>1241</v>
      </c>
      <c r="D612" s="330" t="s">
        <v>1923</v>
      </c>
      <c r="E612" s="330" t="s">
        <v>455</v>
      </c>
      <c r="F612" s="368">
        <v>10000</v>
      </c>
      <c r="G612" s="368">
        <v>10000</v>
      </c>
      <c r="H612" s="368">
        <f t="shared" si="20"/>
        <v>100</v>
      </c>
      <c r="I612" s="147" t="str">
        <f t="shared" si="19"/>
        <v>070305300S4810612</v>
      </c>
    </row>
    <row r="613" spans="1:9" ht="76.5">
      <c r="A613" s="329" t="s">
        <v>606</v>
      </c>
      <c r="B613" s="330" t="s">
        <v>274</v>
      </c>
      <c r="C613" s="330" t="s">
        <v>1241</v>
      </c>
      <c r="D613" s="330" t="s">
        <v>859</v>
      </c>
      <c r="E613" s="330" t="s">
        <v>1468</v>
      </c>
      <c r="F613" s="368">
        <v>134400</v>
      </c>
      <c r="G613" s="368">
        <v>126300</v>
      </c>
      <c r="H613" s="368">
        <f t="shared" si="20"/>
        <v>93.973214285714292</v>
      </c>
      <c r="I613" s="147" t="str">
        <f t="shared" si="19"/>
        <v>070305300Ф0000</v>
      </c>
    </row>
    <row r="614" spans="1:9" ht="38.25">
      <c r="A614" s="329" t="s">
        <v>1763</v>
      </c>
      <c r="B614" s="330" t="s">
        <v>274</v>
      </c>
      <c r="C614" s="330" t="s">
        <v>1241</v>
      </c>
      <c r="D614" s="330" t="s">
        <v>859</v>
      </c>
      <c r="E614" s="330" t="s">
        <v>1764</v>
      </c>
      <c r="F614" s="368">
        <v>134400</v>
      </c>
      <c r="G614" s="368">
        <v>126300</v>
      </c>
      <c r="H614" s="368">
        <f t="shared" si="20"/>
        <v>93.973214285714292</v>
      </c>
      <c r="I614" s="147" t="str">
        <f t="shared" si="19"/>
        <v>070305300Ф0000600</v>
      </c>
    </row>
    <row r="615" spans="1:9">
      <c r="A615" s="329" t="s">
        <v>1504</v>
      </c>
      <c r="B615" s="330" t="s">
        <v>274</v>
      </c>
      <c r="C615" s="330" t="s">
        <v>1241</v>
      </c>
      <c r="D615" s="330" t="s">
        <v>859</v>
      </c>
      <c r="E615" s="330" t="s">
        <v>1505</v>
      </c>
      <c r="F615" s="368">
        <v>134400</v>
      </c>
      <c r="G615" s="368">
        <v>126300</v>
      </c>
      <c r="H615" s="368">
        <f t="shared" si="20"/>
        <v>93.973214285714292</v>
      </c>
      <c r="I615" s="147" t="str">
        <f t="shared" si="19"/>
        <v>070305300Ф0000610</v>
      </c>
    </row>
    <row r="616" spans="1:9">
      <c r="A616" s="329" t="s">
        <v>454</v>
      </c>
      <c r="B616" s="330" t="s">
        <v>274</v>
      </c>
      <c r="C616" s="330" t="s">
        <v>1241</v>
      </c>
      <c r="D616" s="330" t="s">
        <v>859</v>
      </c>
      <c r="E616" s="330" t="s">
        <v>455</v>
      </c>
      <c r="F616" s="368">
        <v>134400</v>
      </c>
      <c r="G616" s="368">
        <v>126300</v>
      </c>
      <c r="H616" s="368">
        <f t="shared" si="20"/>
        <v>93.973214285714292</v>
      </c>
      <c r="I616" s="147" t="str">
        <f t="shared" si="19"/>
        <v>070305300Ф0000612</v>
      </c>
    </row>
    <row r="617" spans="1:9">
      <c r="A617" s="329" t="s">
        <v>1238</v>
      </c>
      <c r="B617" s="330" t="s">
        <v>274</v>
      </c>
      <c r="C617" s="330" t="s">
        <v>453</v>
      </c>
      <c r="D617" s="330" t="s">
        <v>1468</v>
      </c>
      <c r="E617" s="330" t="s">
        <v>1468</v>
      </c>
      <c r="F617" s="368">
        <v>10769807.380000001</v>
      </c>
      <c r="G617" s="368">
        <v>10697904.199999999</v>
      </c>
      <c r="H617" s="368">
        <f t="shared" si="20"/>
        <v>99.332363361172753</v>
      </c>
      <c r="I617" s="147" t="str">
        <f t="shared" ref="I617:I680" si="21">CONCATENATE(C617,D617,E617)</f>
        <v>0707</v>
      </c>
    </row>
    <row r="618" spans="1:9">
      <c r="A618" s="329" t="s">
        <v>559</v>
      </c>
      <c r="B618" s="330" t="s">
        <v>274</v>
      </c>
      <c r="C618" s="330" t="s">
        <v>453</v>
      </c>
      <c r="D618" s="330" t="s">
        <v>1124</v>
      </c>
      <c r="E618" s="330" t="s">
        <v>1468</v>
      </c>
      <c r="F618" s="368">
        <v>10769807.380000001</v>
      </c>
      <c r="G618" s="368">
        <v>10697904.199999999</v>
      </c>
      <c r="H618" s="368">
        <f t="shared" si="20"/>
        <v>99.332363361172753</v>
      </c>
      <c r="I618" s="147" t="str">
        <f t="shared" si="21"/>
        <v>07070600000000</v>
      </c>
    </row>
    <row r="619" spans="1:9" ht="25.5">
      <c r="A619" s="329" t="s">
        <v>560</v>
      </c>
      <c r="B619" s="330" t="s">
        <v>274</v>
      </c>
      <c r="C619" s="330" t="s">
        <v>453</v>
      </c>
      <c r="D619" s="330" t="s">
        <v>1125</v>
      </c>
      <c r="E619" s="330" t="s">
        <v>1468</v>
      </c>
      <c r="F619" s="368">
        <v>566740</v>
      </c>
      <c r="G619" s="368">
        <v>566664</v>
      </c>
      <c r="H619" s="368">
        <f t="shared" si="20"/>
        <v>99.986589970709673</v>
      </c>
      <c r="I619" s="147" t="str">
        <f t="shared" si="21"/>
        <v>07070610000000</v>
      </c>
    </row>
    <row r="620" spans="1:9" ht="51">
      <c r="A620" s="329" t="s">
        <v>1085</v>
      </c>
      <c r="B620" s="330" t="s">
        <v>274</v>
      </c>
      <c r="C620" s="330" t="s">
        <v>453</v>
      </c>
      <c r="D620" s="330" t="s">
        <v>1086</v>
      </c>
      <c r="E620" s="330" t="s">
        <v>1468</v>
      </c>
      <c r="F620" s="368">
        <v>354260</v>
      </c>
      <c r="G620" s="368">
        <v>354184</v>
      </c>
      <c r="H620" s="368">
        <f t="shared" si="20"/>
        <v>99.978546830011865</v>
      </c>
      <c r="I620" s="147" t="str">
        <f t="shared" si="21"/>
        <v>07070610080000</v>
      </c>
    </row>
    <row r="621" spans="1:9" ht="38.25">
      <c r="A621" s="329" t="s">
        <v>1763</v>
      </c>
      <c r="B621" s="330" t="s">
        <v>274</v>
      </c>
      <c r="C621" s="330" t="s">
        <v>453</v>
      </c>
      <c r="D621" s="330" t="s">
        <v>1086</v>
      </c>
      <c r="E621" s="330" t="s">
        <v>1764</v>
      </c>
      <c r="F621" s="368">
        <v>354260</v>
      </c>
      <c r="G621" s="368">
        <v>354184</v>
      </c>
      <c r="H621" s="368">
        <f t="shared" si="20"/>
        <v>99.978546830011865</v>
      </c>
      <c r="I621" s="147" t="str">
        <f t="shared" si="21"/>
        <v>07070610080000600</v>
      </c>
    </row>
    <row r="622" spans="1:9">
      <c r="A622" s="329" t="s">
        <v>1504</v>
      </c>
      <c r="B622" s="330" t="s">
        <v>274</v>
      </c>
      <c r="C622" s="330" t="s">
        <v>453</v>
      </c>
      <c r="D622" s="330" t="s">
        <v>1086</v>
      </c>
      <c r="E622" s="330" t="s">
        <v>1505</v>
      </c>
      <c r="F622" s="368">
        <v>354260</v>
      </c>
      <c r="G622" s="368">
        <v>354184</v>
      </c>
      <c r="H622" s="368">
        <f t="shared" si="20"/>
        <v>99.978546830011865</v>
      </c>
      <c r="I622" s="147" t="str">
        <f t="shared" si="21"/>
        <v>07070610080000610</v>
      </c>
    </row>
    <row r="623" spans="1:9">
      <c r="A623" s="329" t="s">
        <v>454</v>
      </c>
      <c r="B623" s="330" t="s">
        <v>274</v>
      </c>
      <c r="C623" s="330" t="s">
        <v>453</v>
      </c>
      <c r="D623" s="330" t="s">
        <v>1086</v>
      </c>
      <c r="E623" s="330" t="s">
        <v>455</v>
      </c>
      <c r="F623" s="368">
        <v>354260</v>
      </c>
      <c r="G623" s="368">
        <v>354184</v>
      </c>
      <c r="H623" s="368">
        <f t="shared" si="20"/>
        <v>99.978546830011865</v>
      </c>
      <c r="I623" s="147" t="str">
        <f t="shared" si="21"/>
        <v>07070610080000612</v>
      </c>
    </row>
    <row r="624" spans="1:9" ht="76.5">
      <c r="A624" s="329" t="s">
        <v>456</v>
      </c>
      <c r="B624" s="330" t="s">
        <v>274</v>
      </c>
      <c r="C624" s="330" t="s">
        <v>453</v>
      </c>
      <c r="D624" s="330" t="s">
        <v>810</v>
      </c>
      <c r="E624" s="330" t="s">
        <v>1468</v>
      </c>
      <c r="F624" s="368">
        <v>212480</v>
      </c>
      <c r="G624" s="368">
        <v>212480</v>
      </c>
      <c r="H624" s="368">
        <f t="shared" si="20"/>
        <v>100</v>
      </c>
      <c r="I624" s="147" t="str">
        <f t="shared" si="21"/>
        <v>070706100S4560</v>
      </c>
    </row>
    <row r="625" spans="1:9" ht="38.25">
      <c r="A625" s="329" t="s">
        <v>1763</v>
      </c>
      <c r="B625" s="330" t="s">
        <v>274</v>
      </c>
      <c r="C625" s="330" t="s">
        <v>453</v>
      </c>
      <c r="D625" s="330" t="s">
        <v>810</v>
      </c>
      <c r="E625" s="330" t="s">
        <v>1764</v>
      </c>
      <c r="F625" s="368">
        <v>212480</v>
      </c>
      <c r="G625" s="368">
        <v>212480</v>
      </c>
      <c r="H625" s="368">
        <f t="shared" si="20"/>
        <v>100</v>
      </c>
      <c r="I625" s="147" t="str">
        <f t="shared" si="21"/>
        <v>070706100S4560600</v>
      </c>
    </row>
    <row r="626" spans="1:9">
      <c r="A626" s="329" t="s">
        <v>1504</v>
      </c>
      <c r="B626" s="330" t="s">
        <v>274</v>
      </c>
      <c r="C626" s="330" t="s">
        <v>453</v>
      </c>
      <c r="D626" s="330" t="s">
        <v>810</v>
      </c>
      <c r="E626" s="330" t="s">
        <v>1505</v>
      </c>
      <c r="F626" s="368">
        <v>212480</v>
      </c>
      <c r="G626" s="368">
        <v>212480</v>
      </c>
      <c r="H626" s="368">
        <f t="shared" si="20"/>
        <v>100</v>
      </c>
      <c r="I626" s="147" t="str">
        <f t="shared" si="21"/>
        <v>070706100S4560610</v>
      </c>
    </row>
    <row r="627" spans="1:9">
      <c r="A627" s="329" t="s">
        <v>454</v>
      </c>
      <c r="B627" s="330" t="s">
        <v>274</v>
      </c>
      <c r="C627" s="330" t="s">
        <v>453</v>
      </c>
      <c r="D627" s="330" t="s">
        <v>810</v>
      </c>
      <c r="E627" s="330" t="s">
        <v>455</v>
      </c>
      <c r="F627" s="368">
        <v>212480</v>
      </c>
      <c r="G627" s="368">
        <v>212480</v>
      </c>
      <c r="H627" s="368">
        <f t="shared" si="20"/>
        <v>100</v>
      </c>
      <c r="I627" s="147" t="str">
        <f t="shared" si="21"/>
        <v>070706100S4560612</v>
      </c>
    </row>
    <row r="628" spans="1:9" ht="25.5">
      <c r="A628" s="329" t="s">
        <v>562</v>
      </c>
      <c r="B628" s="330" t="s">
        <v>274</v>
      </c>
      <c r="C628" s="330" t="s">
        <v>453</v>
      </c>
      <c r="D628" s="330" t="s">
        <v>1246</v>
      </c>
      <c r="E628" s="330" t="s">
        <v>1468</v>
      </c>
      <c r="F628" s="368">
        <v>389974.69</v>
      </c>
      <c r="G628" s="368">
        <v>365782.68</v>
      </c>
      <c r="H628" s="368">
        <f t="shared" si="20"/>
        <v>93.796517922740065</v>
      </c>
      <c r="I628" s="147" t="str">
        <f t="shared" si="21"/>
        <v>07070620000000</v>
      </c>
    </row>
    <row r="629" spans="1:9" ht="63.75">
      <c r="A629" s="329" t="s">
        <v>1959</v>
      </c>
      <c r="B629" s="330" t="s">
        <v>274</v>
      </c>
      <c r="C629" s="330" t="s">
        <v>453</v>
      </c>
      <c r="D629" s="330" t="s">
        <v>1960</v>
      </c>
      <c r="E629" s="330" t="s">
        <v>1468</v>
      </c>
      <c r="F629" s="368">
        <v>75675.679999999993</v>
      </c>
      <c r="G629" s="368">
        <v>75675.679999999993</v>
      </c>
      <c r="H629" s="368">
        <f t="shared" si="20"/>
        <v>100</v>
      </c>
      <c r="I629" s="147" t="str">
        <f t="shared" si="21"/>
        <v>07070620074540</v>
      </c>
    </row>
    <row r="630" spans="1:9" ht="38.25">
      <c r="A630" s="329" t="s">
        <v>1763</v>
      </c>
      <c r="B630" s="330" t="s">
        <v>274</v>
      </c>
      <c r="C630" s="330" t="s">
        <v>453</v>
      </c>
      <c r="D630" s="330" t="s">
        <v>1960</v>
      </c>
      <c r="E630" s="330" t="s">
        <v>1764</v>
      </c>
      <c r="F630" s="368">
        <v>75675.679999999993</v>
      </c>
      <c r="G630" s="368">
        <v>75675.679999999993</v>
      </c>
      <c r="H630" s="368">
        <f t="shared" si="20"/>
        <v>100</v>
      </c>
      <c r="I630" s="147" t="str">
        <f t="shared" si="21"/>
        <v>07070620074540600</v>
      </c>
    </row>
    <row r="631" spans="1:9">
      <c r="A631" s="329" t="s">
        <v>1504</v>
      </c>
      <c r="B631" s="330" t="s">
        <v>274</v>
      </c>
      <c r="C631" s="330" t="s">
        <v>453</v>
      </c>
      <c r="D631" s="330" t="s">
        <v>1960</v>
      </c>
      <c r="E631" s="330" t="s">
        <v>1505</v>
      </c>
      <c r="F631" s="368">
        <v>75675.679999999993</v>
      </c>
      <c r="G631" s="368">
        <v>75675.679999999993</v>
      </c>
      <c r="H631" s="368">
        <f t="shared" si="20"/>
        <v>100</v>
      </c>
      <c r="I631" s="147" t="str">
        <f t="shared" si="21"/>
        <v>07070620074540610</v>
      </c>
    </row>
    <row r="632" spans="1:9">
      <c r="A632" s="329" t="s">
        <v>454</v>
      </c>
      <c r="B632" s="330" t="s">
        <v>274</v>
      </c>
      <c r="C632" s="330" t="s">
        <v>453</v>
      </c>
      <c r="D632" s="330" t="s">
        <v>1960</v>
      </c>
      <c r="E632" s="330" t="s">
        <v>455</v>
      </c>
      <c r="F632" s="368">
        <v>75675.679999999993</v>
      </c>
      <c r="G632" s="368">
        <v>75675.679999999993</v>
      </c>
      <c r="H632" s="368">
        <f t="shared" si="20"/>
        <v>100</v>
      </c>
      <c r="I632" s="147" t="str">
        <f t="shared" si="21"/>
        <v>07070620074540612</v>
      </c>
    </row>
    <row r="633" spans="1:9" ht="51">
      <c r="A633" s="329" t="s">
        <v>457</v>
      </c>
      <c r="B633" s="330" t="s">
        <v>274</v>
      </c>
      <c r="C633" s="330" t="s">
        <v>453</v>
      </c>
      <c r="D633" s="330" t="s">
        <v>811</v>
      </c>
      <c r="E633" s="330" t="s">
        <v>1468</v>
      </c>
      <c r="F633" s="368">
        <v>304299.01</v>
      </c>
      <c r="G633" s="368">
        <v>280107</v>
      </c>
      <c r="H633" s="368">
        <f t="shared" si="20"/>
        <v>92.049921555775029</v>
      </c>
      <c r="I633" s="147" t="str">
        <f t="shared" si="21"/>
        <v>07070620080000</v>
      </c>
    </row>
    <row r="634" spans="1:9" ht="38.25">
      <c r="A634" s="329" t="s">
        <v>1763</v>
      </c>
      <c r="B634" s="330" t="s">
        <v>274</v>
      </c>
      <c r="C634" s="330" t="s">
        <v>453</v>
      </c>
      <c r="D634" s="330" t="s">
        <v>811</v>
      </c>
      <c r="E634" s="330" t="s">
        <v>1764</v>
      </c>
      <c r="F634" s="368">
        <v>304299.01</v>
      </c>
      <c r="G634" s="368">
        <v>280107</v>
      </c>
      <c r="H634" s="368">
        <f t="shared" si="20"/>
        <v>92.049921555775029</v>
      </c>
      <c r="I634" s="147" t="str">
        <f t="shared" si="21"/>
        <v>07070620080000600</v>
      </c>
    </row>
    <row r="635" spans="1:9">
      <c r="A635" s="329" t="s">
        <v>1504</v>
      </c>
      <c r="B635" s="330" t="s">
        <v>274</v>
      </c>
      <c r="C635" s="330" t="s">
        <v>453</v>
      </c>
      <c r="D635" s="330" t="s">
        <v>811</v>
      </c>
      <c r="E635" s="330" t="s">
        <v>1505</v>
      </c>
      <c r="F635" s="368">
        <v>304299.01</v>
      </c>
      <c r="G635" s="368">
        <v>280107</v>
      </c>
      <c r="H635" s="368">
        <f t="shared" si="20"/>
        <v>92.049921555775029</v>
      </c>
      <c r="I635" s="147" t="str">
        <f t="shared" si="21"/>
        <v>07070620080000610</v>
      </c>
    </row>
    <row r="636" spans="1:9">
      <c r="A636" s="329" t="s">
        <v>454</v>
      </c>
      <c r="B636" s="330" t="s">
        <v>274</v>
      </c>
      <c r="C636" s="330" t="s">
        <v>453</v>
      </c>
      <c r="D636" s="330" t="s">
        <v>811</v>
      </c>
      <c r="E636" s="330" t="s">
        <v>455</v>
      </c>
      <c r="F636" s="368">
        <v>304299.01</v>
      </c>
      <c r="G636" s="368">
        <v>280107</v>
      </c>
      <c r="H636" s="368">
        <f t="shared" si="20"/>
        <v>92.049921555775029</v>
      </c>
      <c r="I636" s="147" t="str">
        <f t="shared" si="21"/>
        <v>07070620080000612</v>
      </c>
    </row>
    <row r="637" spans="1:9" ht="89.25">
      <c r="A637" s="329" t="s">
        <v>2036</v>
      </c>
      <c r="B637" s="330" t="s">
        <v>274</v>
      </c>
      <c r="C637" s="330" t="s">
        <v>453</v>
      </c>
      <c r="D637" s="330" t="s">
        <v>2045</v>
      </c>
      <c r="E637" s="330" t="s">
        <v>1468</v>
      </c>
      <c r="F637" s="368">
        <v>10000</v>
      </c>
      <c r="G637" s="368">
        <v>10000</v>
      </c>
      <c r="H637" s="368">
        <f t="shared" si="20"/>
        <v>100</v>
      </c>
      <c r="I637" s="147" t="str">
        <f t="shared" si="21"/>
        <v>070706200S4540</v>
      </c>
    </row>
    <row r="638" spans="1:9" ht="38.25">
      <c r="A638" s="329" t="s">
        <v>1763</v>
      </c>
      <c r="B638" s="330" t="s">
        <v>274</v>
      </c>
      <c r="C638" s="330" t="s">
        <v>453</v>
      </c>
      <c r="D638" s="330" t="s">
        <v>2045</v>
      </c>
      <c r="E638" s="330" t="s">
        <v>1764</v>
      </c>
      <c r="F638" s="368">
        <v>10000</v>
      </c>
      <c r="G638" s="368">
        <v>10000</v>
      </c>
      <c r="H638" s="368">
        <f t="shared" si="20"/>
        <v>100</v>
      </c>
      <c r="I638" s="147" t="str">
        <f t="shared" si="21"/>
        <v>070706200S4540600</v>
      </c>
    </row>
    <row r="639" spans="1:9">
      <c r="A639" s="329" t="s">
        <v>1504</v>
      </c>
      <c r="B639" s="330" t="s">
        <v>274</v>
      </c>
      <c r="C639" s="330" t="s">
        <v>453</v>
      </c>
      <c r="D639" s="330" t="s">
        <v>2045</v>
      </c>
      <c r="E639" s="330" t="s">
        <v>1505</v>
      </c>
      <c r="F639" s="368">
        <v>10000</v>
      </c>
      <c r="G639" s="368">
        <v>10000</v>
      </c>
      <c r="H639" s="368">
        <f t="shared" si="20"/>
        <v>100</v>
      </c>
      <c r="I639" s="147" t="str">
        <f t="shared" si="21"/>
        <v>070706200S4540610</v>
      </c>
    </row>
    <row r="640" spans="1:9">
      <c r="A640" s="329" t="s">
        <v>454</v>
      </c>
      <c r="B640" s="330" t="s">
        <v>274</v>
      </c>
      <c r="C640" s="330" t="s">
        <v>453</v>
      </c>
      <c r="D640" s="330" t="s">
        <v>2045</v>
      </c>
      <c r="E640" s="330" t="s">
        <v>455</v>
      </c>
      <c r="F640" s="368">
        <v>10000</v>
      </c>
      <c r="G640" s="368">
        <v>10000</v>
      </c>
      <c r="H640" s="368">
        <f t="shared" si="20"/>
        <v>100</v>
      </c>
      <c r="I640" s="147" t="str">
        <f t="shared" si="21"/>
        <v>070706200S4540612</v>
      </c>
    </row>
    <row r="641" spans="1:9" ht="25.5">
      <c r="A641" s="329" t="s">
        <v>540</v>
      </c>
      <c r="B641" s="330" t="s">
        <v>274</v>
      </c>
      <c r="C641" s="330" t="s">
        <v>453</v>
      </c>
      <c r="D641" s="330" t="s">
        <v>1127</v>
      </c>
      <c r="E641" s="330" t="s">
        <v>1468</v>
      </c>
      <c r="F641" s="368">
        <v>9813092.6899999995</v>
      </c>
      <c r="G641" s="368">
        <v>9765457.5199999996</v>
      </c>
      <c r="H641" s="368">
        <f t="shared" si="20"/>
        <v>99.514575358606947</v>
      </c>
      <c r="I641" s="147" t="str">
        <f t="shared" si="21"/>
        <v>07070640000000</v>
      </c>
    </row>
    <row r="642" spans="1:9" ht="102">
      <c r="A642" s="329" t="s">
        <v>459</v>
      </c>
      <c r="B642" s="330" t="s">
        <v>274</v>
      </c>
      <c r="C642" s="330" t="s">
        <v>453</v>
      </c>
      <c r="D642" s="330" t="s">
        <v>813</v>
      </c>
      <c r="E642" s="330" t="s">
        <v>1468</v>
      </c>
      <c r="F642" s="368">
        <v>5800150</v>
      </c>
      <c r="G642" s="368">
        <v>5800150</v>
      </c>
      <c r="H642" s="368">
        <f t="shared" si="20"/>
        <v>100</v>
      </c>
      <c r="I642" s="147" t="str">
        <f t="shared" si="21"/>
        <v>07070640040000</v>
      </c>
    </row>
    <row r="643" spans="1:9" ht="38.25">
      <c r="A643" s="329" t="s">
        <v>1763</v>
      </c>
      <c r="B643" s="330" t="s">
        <v>274</v>
      </c>
      <c r="C643" s="330" t="s">
        <v>453</v>
      </c>
      <c r="D643" s="330" t="s">
        <v>813</v>
      </c>
      <c r="E643" s="330" t="s">
        <v>1764</v>
      </c>
      <c r="F643" s="368">
        <v>5800150</v>
      </c>
      <c r="G643" s="368">
        <v>5800150</v>
      </c>
      <c r="H643" s="368">
        <f t="shared" si="20"/>
        <v>100</v>
      </c>
      <c r="I643" s="147" t="str">
        <f t="shared" si="21"/>
        <v>07070640040000600</v>
      </c>
    </row>
    <row r="644" spans="1:9">
      <c r="A644" s="329" t="s">
        <v>1504</v>
      </c>
      <c r="B644" s="330" t="s">
        <v>274</v>
      </c>
      <c r="C644" s="330" t="s">
        <v>453</v>
      </c>
      <c r="D644" s="330" t="s">
        <v>813</v>
      </c>
      <c r="E644" s="330" t="s">
        <v>1505</v>
      </c>
      <c r="F644" s="368">
        <v>5800150</v>
      </c>
      <c r="G644" s="368">
        <v>5800150</v>
      </c>
      <c r="H644" s="368">
        <f t="shared" si="20"/>
        <v>100</v>
      </c>
      <c r="I644" s="147" t="str">
        <f t="shared" si="21"/>
        <v>07070640040000610</v>
      </c>
    </row>
    <row r="645" spans="1:9" ht="51">
      <c r="A645" s="329" t="s">
        <v>435</v>
      </c>
      <c r="B645" s="330" t="s">
        <v>274</v>
      </c>
      <c r="C645" s="330" t="s">
        <v>453</v>
      </c>
      <c r="D645" s="330" t="s">
        <v>813</v>
      </c>
      <c r="E645" s="330" t="s">
        <v>436</v>
      </c>
      <c r="F645" s="368">
        <v>5800150</v>
      </c>
      <c r="G645" s="368">
        <v>5800150</v>
      </c>
      <c r="H645" s="368">
        <f t="shared" si="20"/>
        <v>100</v>
      </c>
      <c r="I645" s="147" t="str">
        <f t="shared" si="21"/>
        <v>07070640040000611</v>
      </c>
    </row>
    <row r="646" spans="1:9" ht="140.25">
      <c r="A646" s="329" t="s">
        <v>460</v>
      </c>
      <c r="B646" s="330" t="s">
        <v>274</v>
      </c>
      <c r="C646" s="330" t="s">
        <v>453</v>
      </c>
      <c r="D646" s="330" t="s">
        <v>814</v>
      </c>
      <c r="E646" s="330" t="s">
        <v>1468</v>
      </c>
      <c r="F646" s="368">
        <v>1680000</v>
      </c>
      <c r="G646" s="368">
        <v>1680000</v>
      </c>
      <c r="H646" s="368">
        <f t="shared" si="20"/>
        <v>100</v>
      </c>
      <c r="I646" s="147" t="str">
        <f t="shared" si="21"/>
        <v>07070640041000</v>
      </c>
    </row>
    <row r="647" spans="1:9" ht="38.25">
      <c r="A647" s="329" t="s">
        <v>1763</v>
      </c>
      <c r="B647" s="330" t="s">
        <v>274</v>
      </c>
      <c r="C647" s="330" t="s">
        <v>453</v>
      </c>
      <c r="D647" s="330" t="s">
        <v>814</v>
      </c>
      <c r="E647" s="330" t="s">
        <v>1764</v>
      </c>
      <c r="F647" s="368">
        <v>1680000</v>
      </c>
      <c r="G647" s="368">
        <v>1680000</v>
      </c>
      <c r="H647" s="368">
        <f t="shared" si="20"/>
        <v>100</v>
      </c>
      <c r="I647" s="147" t="str">
        <f t="shared" si="21"/>
        <v>07070640041000600</v>
      </c>
    </row>
    <row r="648" spans="1:9">
      <c r="A648" s="329" t="s">
        <v>1504</v>
      </c>
      <c r="B648" s="330" t="s">
        <v>274</v>
      </c>
      <c r="C648" s="330" t="s">
        <v>453</v>
      </c>
      <c r="D648" s="330" t="s">
        <v>814</v>
      </c>
      <c r="E648" s="330" t="s">
        <v>1505</v>
      </c>
      <c r="F648" s="368">
        <v>1680000</v>
      </c>
      <c r="G648" s="368">
        <v>1680000</v>
      </c>
      <c r="H648" s="368">
        <f t="shared" ref="H648:H711" si="22">G648/F648*100</f>
        <v>100</v>
      </c>
      <c r="I648" s="147" t="str">
        <f t="shared" si="21"/>
        <v>07070640041000610</v>
      </c>
    </row>
    <row r="649" spans="1:9" ht="51">
      <c r="A649" s="329" t="s">
        <v>435</v>
      </c>
      <c r="B649" s="330" t="s">
        <v>274</v>
      </c>
      <c r="C649" s="330" t="s">
        <v>453</v>
      </c>
      <c r="D649" s="330" t="s">
        <v>814</v>
      </c>
      <c r="E649" s="330" t="s">
        <v>436</v>
      </c>
      <c r="F649" s="368">
        <v>1680000</v>
      </c>
      <c r="G649" s="368">
        <v>1680000</v>
      </c>
      <c r="H649" s="368">
        <f t="shared" si="22"/>
        <v>100</v>
      </c>
      <c r="I649" s="147" t="str">
        <f t="shared" si="21"/>
        <v>07070640041000611</v>
      </c>
    </row>
    <row r="650" spans="1:9" ht="102">
      <c r="A650" s="329" t="s">
        <v>1035</v>
      </c>
      <c r="B650" s="330" t="s">
        <v>274</v>
      </c>
      <c r="C650" s="330" t="s">
        <v>453</v>
      </c>
      <c r="D650" s="330" t="s">
        <v>1034</v>
      </c>
      <c r="E650" s="330" t="s">
        <v>1468</v>
      </c>
      <c r="F650" s="368">
        <v>51073.7</v>
      </c>
      <c r="G650" s="368">
        <v>51073.7</v>
      </c>
      <c r="H650" s="368">
        <f t="shared" si="22"/>
        <v>100</v>
      </c>
      <c r="I650" s="147" t="str">
        <f t="shared" si="21"/>
        <v>07070640047000</v>
      </c>
    </row>
    <row r="651" spans="1:9" ht="38.25">
      <c r="A651" s="329" t="s">
        <v>1763</v>
      </c>
      <c r="B651" s="330" t="s">
        <v>274</v>
      </c>
      <c r="C651" s="330" t="s">
        <v>453</v>
      </c>
      <c r="D651" s="330" t="s">
        <v>1034</v>
      </c>
      <c r="E651" s="330" t="s">
        <v>1764</v>
      </c>
      <c r="F651" s="368">
        <v>51073.7</v>
      </c>
      <c r="G651" s="368">
        <v>51073.7</v>
      </c>
      <c r="H651" s="368">
        <f t="shared" si="22"/>
        <v>100</v>
      </c>
      <c r="I651" s="147" t="str">
        <f t="shared" si="21"/>
        <v>07070640047000600</v>
      </c>
    </row>
    <row r="652" spans="1:9">
      <c r="A652" s="329" t="s">
        <v>1504</v>
      </c>
      <c r="B652" s="330" t="s">
        <v>274</v>
      </c>
      <c r="C652" s="330" t="s">
        <v>453</v>
      </c>
      <c r="D652" s="330" t="s">
        <v>1034</v>
      </c>
      <c r="E652" s="330" t="s">
        <v>1505</v>
      </c>
      <c r="F652" s="368">
        <v>51073.7</v>
      </c>
      <c r="G652" s="368">
        <v>51073.7</v>
      </c>
      <c r="H652" s="368">
        <f t="shared" si="22"/>
        <v>100</v>
      </c>
      <c r="I652" s="147" t="str">
        <f t="shared" si="21"/>
        <v>07070640047000610</v>
      </c>
    </row>
    <row r="653" spans="1:9">
      <c r="A653" s="329" t="s">
        <v>454</v>
      </c>
      <c r="B653" s="330" t="s">
        <v>274</v>
      </c>
      <c r="C653" s="330" t="s">
        <v>453</v>
      </c>
      <c r="D653" s="330" t="s">
        <v>1034</v>
      </c>
      <c r="E653" s="330" t="s">
        <v>455</v>
      </c>
      <c r="F653" s="368">
        <v>51073.7</v>
      </c>
      <c r="G653" s="368">
        <v>51073.7</v>
      </c>
      <c r="H653" s="368">
        <f t="shared" si="22"/>
        <v>100</v>
      </c>
      <c r="I653" s="147" t="str">
        <f t="shared" si="21"/>
        <v>07070640047000612</v>
      </c>
    </row>
    <row r="654" spans="1:9" ht="89.25">
      <c r="A654" s="329" t="s">
        <v>1553</v>
      </c>
      <c r="B654" s="330" t="s">
        <v>274</v>
      </c>
      <c r="C654" s="330" t="s">
        <v>453</v>
      </c>
      <c r="D654" s="330" t="s">
        <v>1554</v>
      </c>
      <c r="E654" s="330" t="s">
        <v>1468</v>
      </c>
      <c r="F654" s="368">
        <v>996700</v>
      </c>
      <c r="G654" s="368">
        <v>996700</v>
      </c>
      <c r="H654" s="368">
        <f t="shared" si="22"/>
        <v>100</v>
      </c>
      <c r="I654" s="147" t="str">
        <f t="shared" si="21"/>
        <v>0707064004Г000</v>
      </c>
    </row>
    <row r="655" spans="1:9" ht="38.25">
      <c r="A655" s="329" t="s">
        <v>1763</v>
      </c>
      <c r="B655" s="330" t="s">
        <v>274</v>
      </c>
      <c r="C655" s="330" t="s">
        <v>453</v>
      </c>
      <c r="D655" s="330" t="s">
        <v>1554</v>
      </c>
      <c r="E655" s="330" t="s">
        <v>1764</v>
      </c>
      <c r="F655" s="368">
        <v>996700</v>
      </c>
      <c r="G655" s="368">
        <v>996700</v>
      </c>
      <c r="H655" s="368">
        <f t="shared" si="22"/>
        <v>100</v>
      </c>
      <c r="I655" s="147" t="str">
        <f t="shared" si="21"/>
        <v>0707064004Г000600</v>
      </c>
    </row>
    <row r="656" spans="1:9">
      <c r="A656" s="329" t="s">
        <v>1504</v>
      </c>
      <c r="B656" s="330" t="s">
        <v>274</v>
      </c>
      <c r="C656" s="330" t="s">
        <v>453</v>
      </c>
      <c r="D656" s="330" t="s">
        <v>1554</v>
      </c>
      <c r="E656" s="330" t="s">
        <v>1505</v>
      </c>
      <c r="F656" s="368">
        <v>996700</v>
      </c>
      <c r="G656" s="368">
        <v>996700</v>
      </c>
      <c r="H656" s="368">
        <f t="shared" si="22"/>
        <v>100</v>
      </c>
      <c r="I656" s="147" t="str">
        <f t="shared" si="21"/>
        <v>0707064004Г000610</v>
      </c>
    </row>
    <row r="657" spans="1:9" ht="51">
      <c r="A657" s="329" t="s">
        <v>435</v>
      </c>
      <c r="B657" s="330" t="s">
        <v>274</v>
      </c>
      <c r="C657" s="330" t="s">
        <v>453</v>
      </c>
      <c r="D657" s="330" t="s">
        <v>1554</v>
      </c>
      <c r="E657" s="330" t="s">
        <v>436</v>
      </c>
      <c r="F657" s="368">
        <v>996700</v>
      </c>
      <c r="G657" s="368">
        <v>996700</v>
      </c>
      <c r="H657" s="368">
        <f t="shared" si="22"/>
        <v>100</v>
      </c>
      <c r="I657" s="147" t="str">
        <f t="shared" si="21"/>
        <v>0707064004Г000611</v>
      </c>
    </row>
    <row r="658" spans="1:9" ht="76.5">
      <c r="A658" s="329" t="s">
        <v>1555</v>
      </c>
      <c r="B658" s="330" t="s">
        <v>274</v>
      </c>
      <c r="C658" s="330" t="s">
        <v>453</v>
      </c>
      <c r="D658" s="330" t="s">
        <v>1556</v>
      </c>
      <c r="E658" s="330" t="s">
        <v>1468</v>
      </c>
      <c r="F658" s="368">
        <v>155000</v>
      </c>
      <c r="G658" s="368">
        <v>155000</v>
      </c>
      <c r="H658" s="368">
        <f t="shared" si="22"/>
        <v>100</v>
      </c>
      <c r="I658" s="147" t="str">
        <f t="shared" si="21"/>
        <v>0707064004Э000</v>
      </c>
    </row>
    <row r="659" spans="1:9" ht="38.25">
      <c r="A659" s="329" t="s">
        <v>1763</v>
      </c>
      <c r="B659" s="330" t="s">
        <v>274</v>
      </c>
      <c r="C659" s="330" t="s">
        <v>453</v>
      </c>
      <c r="D659" s="330" t="s">
        <v>1556</v>
      </c>
      <c r="E659" s="330" t="s">
        <v>1764</v>
      </c>
      <c r="F659" s="368">
        <v>155000</v>
      </c>
      <c r="G659" s="368">
        <v>155000</v>
      </c>
      <c r="H659" s="368">
        <f t="shared" si="22"/>
        <v>100</v>
      </c>
      <c r="I659" s="147" t="str">
        <f t="shared" si="21"/>
        <v>0707064004Э000600</v>
      </c>
    </row>
    <row r="660" spans="1:9">
      <c r="A660" s="329" t="s">
        <v>1504</v>
      </c>
      <c r="B660" s="330" t="s">
        <v>274</v>
      </c>
      <c r="C660" s="330" t="s">
        <v>453</v>
      </c>
      <c r="D660" s="330" t="s">
        <v>1556</v>
      </c>
      <c r="E660" s="330" t="s">
        <v>1505</v>
      </c>
      <c r="F660" s="368">
        <v>155000</v>
      </c>
      <c r="G660" s="368">
        <v>155000</v>
      </c>
      <c r="H660" s="368">
        <f t="shared" si="22"/>
        <v>100</v>
      </c>
      <c r="I660" s="147" t="str">
        <f t="shared" si="21"/>
        <v>0707064004Э000610</v>
      </c>
    </row>
    <row r="661" spans="1:9" ht="51">
      <c r="A661" s="329" t="s">
        <v>435</v>
      </c>
      <c r="B661" s="330" t="s">
        <v>274</v>
      </c>
      <c r="C661" s="330" t="s">
        <v>453</v>
      </c>
      <c r="D661" s="330" t="s">
        <v>1556</v>
      </c>
      <c r="E661" s="330" t="s">
        <v>436</v>
      </c>
      <c r="F661" s="368">
        <v>155000</v>
      </c>
      <c r="G661" s="368">
        <v>155000</v>
      </c>
      <c r="H661" s="368">
        <f t="shared" si="22"/>
        <v>100</v>
      </c>
      <c r="I661" s="147" t="str">
        <f t="shared" si="21"/>
        <v>0707064004Э000611</v>
      </c>
    </row>
    <row r="662" spans="1:9" ht="63.75">
      <c r="A662" s="329" t="s">
        <v>458</v>
      </c>
      <c r="B662" s="330" t="s">
        <v>274</v>
      </c>
      <c r="C662" s="330" t="s">
        <v>453</v>
      </c>
      <c r="D662" s="330" t="s">
        <v>812</v>
      </c>
      <c r="E662" s="330" t="s">
        <v>1468</v>
      </c>
      <c r="F662" s="368">
        <v>1062400</v>
      </c>
      <c r="G662" s="368">
        <v>1015464.83</v>
      </c>
      <c r="H662" s="368">
        <f t="shared" si="22"/>
        <v>95.582156438253008</v>
      </c>
      <c r="I662" s="147" t="str">
        <f t="shared" si="21"/>
        <v>07070640074560</v>
      </c>
    </row>
    <row r="663" spans="1:9" ht="38.25">
      <c r="A663" s="329" t="s">
        <v>1763</v>
      </c>
      <c r="B663" s="330" t="s">
        <v>274</v>
      </c>
      <c r="C663" s="330" t="s">
        <v>453</v>
      </c>
      <c r="D663" s="330" t="s">
        <v>812</v>
      </c>
      <c r="E663" s="330" t="s">
        <v>1764</v>
      </c>
      <c r="F663" s="368">
        <v>1062400</v>
      </c>
      <c r="G663" s="368">
        <v>1015464.83</v>
      </c>
      <c r="H663" s="368">
        <f t="shared" si="22"/>
        <v>95.582156438253008</v>
      </c>
      <c r="I663" s="147" t="str">
        <f t="shared" si="21"/>
        <v>07070640074560600</v>
      </c>
    </row>
    <row r="664" spans="1:9">
      <c r="A664" s="329" t="s">
        <v>1504</v>
      </c>
      <c r="B664" s="330" t="s">
        <v>274</v>
      </c>
      <c r="C664" s="330" t="s">
        <v>453</v>
      </c>
      <c r="D664" s="330" t="s">
        <v>812</v>
      </c>
      <c r="E664" s="330" t="s">
        <v>1505</v>
      </c>
      <c r="F664" s="368">
        <v>1062400</v>
      </c>
      <c r="G664" s="368">
        <v>1015464.83</v>
      </c>
      <c r="H664" s="368">
        <f t="shared" si="22"/>
        <v>95.582156438253008</v>
      </c>
      <c r="I664" s="147" t="str">
        <f t="shared" si="21"/>
        <v>07070640074560610</v>
      </c>
    </row>
    <row r="665" spans="1:9">
      <c r="A665" s="329" t="s">
        <v>454</v>
      </c>
      <c r="B665" s="330" t="s">
        <v>274</v>
      </c>
      <c r="C665" s="330" t="s">
        <v>453</v>
      </c>
      <c r="D665" s="330" t="s">
        <v>812</v>
      </c>
      <c r="E665" s="330" t="s">
        <v>455</v>
      </c>
      <c r="F665" s="368">
        <v>1062400</v>
      </c>
      <c r="G665" s="368">
        <v>1015464.83</v>
      </c>
      <c r="H665" s="368">
        <f t="shared" si="22"/>
        <v>95.582156438253008</v>
      </c>
      <c r="I665" s="147" t="str">
        <f t="shared" si="21"/>
        <v>07070640074560612</v>
      </c>
    </row>
    <row r="666" spans="1:9" ht="51">
      <c r="A666" s="329" t="s">
        <v>1961</v>
      </c>
      <c r="B666" s="330" t="s">
        <v>274</v>
      </c>
      <c r="C666" s="330" t="s">
        <v>453</v>
      </c>
      <c r="D666" s="330" t="s">
        <v>1962</v>
      </c>
      <c r="E666" s="330" t="s">
        <v>1468</v>
      </c>
      <c r="F666" s="368">
        <v>56768.99</v>
      </c>
      <c r="G666" s="368">
        <v>56768.99</v>
      </c>
      <c r="H666" s="368">
        <f t="shared" si="22"/>
        <v>100</v>
      </c>
      <c r="I666" s="147" t="str">
        <f t="shared" si="21"/>
        <v>07070640080000</v>
      </c>
    </row>
    <row r="667" spans="1:9" ht="38.25">
      <c r="A667" s="329" t="s">
        <v>1763</v>
      </c>
      <c r="B667" s="330" t="s">
        <v>274</v>
      </c>
      <c r="C667" s="330" t="s">
        <v>453</v>
      </c>
      <c r="D667" s="330" t="s">
        <v>1962</v>
      </c>
      <c r="E667" s="330" t="s">
        <v>1764</v>
      </c>
      <c r="F667" s="368">
        <v>56768.99</v>
      </c>
      <c r="G667" s="368">
        <v>56768.99</v>
      </c>
      <c r="H667" s="368">
        <f t="shared" si="22"/>
        <v>100</v>
      </c>
      <c r="I667" s="147" t="str">
        <f t="shared" si="21"/>
        <v>07070640080000600</v>
      </c>
    </row>
    <row r="668" spans="1:9">
      <c r="A668" s="329" t="s">
        <v>1504</v>
      </c>
      <c r="B668" s="330" t="s">
        <v>274</v>
      </c>
      <c r="C668" s="330" t="s">
        <v>453</v>
      </c>
      <c r="D668" s="330" t="s">
        <v>1962</v>
      </c>
      <c r="E668" s="330" t="s">
        <v>1505</v>
      </c>
      <c r="F668" s="368">
        <v>56768.99</v>
      </c>
      <c r="G668" s="368">
        <v>56768.99</v>
      </c>
      <c r="H668" s="368">
        <f t="shared" si="22"/>
        <v>100</v>
      </c>
      <c r="I668" s="147" t="str">
        <f t="shared" si="21"/>
        <v>07070640080000610</v>
      </c>
    </row>
    <row r="669" spans="1:9">
      <c r="A669" s="329" t="s">
        <v>454</v>
      </c>
      <c r="B669" s="330" t="s">
        <v>274</v>
      </c>
      <c r="C669" s="330" t="s">
        <v>453</v>
      </c>
      <c r="D669" s="330" t="s">
        <v>1962</v>
      </c>
      <c r="E669" s="330" t="s">
        <v>455</v>
      </c>
      <c r="F669" s="368">
        <v>56768.99</v>
      </c>
      <c r="G669" s="368">
        <v>56768.99</v>
      </c>
      <c r="H669" s="368">
        <f t="shared" si="22"/>
        <v>100</v>
      </c>
      <c r="I669" s="147" t="str">
        <f t="shared" si="21"/>
        <v>07070640080000612</v>
      </c>
    </row>
    <row r="670" spans="1:9" ht="63.75">
      <c r="A670" s="329" t="s">
        <v>1924</v>
      </c>
      <c r="B670" s="330" t="s">
        <v>274</v>
      </c>
      <c r="C670" s="330" t="s">
        <v>453</v>
      </c>
      <c r="D670" s="330" t="s">
        <v>1925</v>
      </c>
      <c r="E670" s="330" t="s">
        <v>1468</v>
      </c>
      <c r="F670" s="368">
        <v>11000</v>
      </c>
      <c r="G670" s="368">
        <v>10300</v>
      </c>
      <c r="H670" s="368">
        <f t="shared" si="22"/>
        <v>93.63636363636364</v>
      </c>
      <c r="I670" s="147" t="str">
        <f t="shared" si="21"/>
        <v>070706400Ф0000</v>
      </c>
    </row>
    <row r="671" spans="1:9" ht="38.25">
      <c r="A671" s="329" t="s">
        <v>1763</v>
      </c>
      <c r="B671" s="330" t="s">
        <v>274</v>
      </c>
      <c r="C671" s="330" t="s">
        <v>453</v>
      </c>
      <c r="D671" s="330" t="s">
        <v>1925</v>
      </c>
      <c r="E671" s="330" t="s">
        <v>1764</v>
      </c>
      <c r="F671" s="368">
        <v>11000</v>
      </c>
      <c r="G671" s="368">
        <v>10300</v>
      </c>
      <c r="H671" s="368">
        <f t="shared" si="22"/>
        <v>93.63636363636364</v>
      </c>
      <c r="I671" s="147" t="str">
        <f t="shared" si="21"/>
        <v>070706400Ф0000600</v>
      </c>
    </row>
    <row r="672" spans="1:9">
      <c r="A672" s="329" t="s">
        <v>1504</v>
      </c>
      <c r="B672" s="330" t="s">
        <v>274</v>
      </c>
      <c r="C672" s="330" t="s">
        <v>453</v>
      </c>
      <c r="D672" s="330" t="s">
        <v>1925</v>
      </c>
      <c r="E672" s="330" t="s">
        <v>1505</v>
      </c>
      <c r="F672" s="368">
        <v>11000</v>
      </c>
      <c r="G672" s="368">
        <v>10300</v>
      </c>
      <c r="H672" s="368">
        <f t="shared" si="22"/>
        <v>93.63636363636364</v>
      </c>
      <c r="I672" s="147" t="str">
        <f t="shared" si="21"/>
        <v>070706400Ф0000610</v>
      </c>
    </row>
    <row r="673" spans="1:9">
      <c r="A673" s="329" t="s">
        <v>454</v>
      </c>
      <c r="B673" s="330" t="s">
        <v>274</v>
      </c>
      <c r="C673" s="330" t="s">
        <v>453</v>
      </c>
      <c r="D673" s="330" t="s">
        <v>1925</v>
      </c>
      <c r="E673" s="330" t="s">
        <v>455</v>
      </c>
      <c r="F673" s="368">
        <v>11000</v>
      </c>
      <c r="G673" s="368">
        <v>10300</v>
      </c>
      <c r="H673" s="368">
        <f t="shared" si="22"/>
        <v>93.63636363636364</v>
      </c>
      <c r="I673" s="147" t="str">
        <f t="shared" si="21"/>
        <v>070706400Ф0000612</v>
      </c>
    </row>
    <row r="674" spans="1:9">
      <c r="A674" s="329" t="s">
        <v>293</v>
      </c>
      <c r="B674" s="330" t="s">
        <v>274</v>
      </c>
      <c r="C674" s="330" t="s">
        <v>1370</v>
      </c>
      <c r="D674" s="330" t="s">
        <v>1468</v>
      </c>
      <c r="E674" s="330" t="s">
        <v>1468</v>
      </c>
      <c r="F674" s="368">
        <v>230533940.43000001</v>
      </c>
      <c r="G674" s="368">
        <f>G675+G804</f>
        <v>230352976.15999997</v>
      </c>
      <c r="H674" s="368">
        <f t="shared" si="22"/>
        <v>99.921502113891563</v>
      </c>
      <c r="I674" s="147" t="str">
        <f t="shared" si="21"/>
        <v>0800</v>
      </c>
    </row>
    <row r="675" spans="1:9">
      <c r="A675" s="329" t="s">
        <v>250</v>
      </c>
      <c r="B675" s="330" t="s">
        <v>274</v>
      </c>
      <c r="C675" s="330" t="s">
        <v>480</v>
      </c>
      <c r="D675" s="330" t="s">
        <v>1468</v>
      </c>
      <c r="E675" s="330" t="s">
        <v>1468</v>
      </c>
      <c r="F675" s="368">
        <v>144494841.08000001</v>
      </c>
      <c r="G675" s="368">
        <v>144468915.19999999</v>
      </c>
      <c r="H675" s="368">
        <f t="shared" si="22"/>
        <v>99.982057573954719</v>
      </c>
      <c r="I675" s="147" t="str">
        <f t="shared" si="21"/>
        <v>0801</v>
      </c>
    </row>
    <row r="676" spans="1:9" ht="25.5">
      <c r="A676" s="329" t="s">
        <v>554</v>
      </c>
      <c r="B676" s="330" t="s">
        <v>274</v>
      </c>
      <c r="C676" s="330" t="s">
        <v>480</v>
      </c>
      <c r="D676" s="330" t="s">
        <v>1120</v>
      </c>
      <c r="E676" s="330" t="s">
        <v>1468</v>
      </c>
      <c r="F676" s="368">
        <v>144494841.08000001</v>
      </c>
      <c r="G676" s="368">
        <v>144468915.19999999</v>
      </c>
      <c r="H676" s="368">
        <f t="shared" si="22"/>
        <v>99.982057573954719</v>
      </c>
      <c r="I676" s="147" t="str">
        <f t="shared" si="21"/>
        <v>08010500000000</v>
      </c>
    </row>
    <row r="677" spans="1:9">
      <c r="A677" s="329" t="s">
        <v>555</v>
      </c>
      <c r="B677" s="330" t="s">
        <v>274</v>
      </c>
      <c r="C677" s="330" t="s">
        <v>480</v>
      </c>
      <c r="D677" s="330" t="s">
        <v>1121</v>
      </c>
      <c r="E677" s="330" t="s">
        <v>1468</v>
      </c>
      <c r="F677" s="368">
        <v>42924224.079999998</v>
      </c>
      <c r="G677" s="368">
        <v>42900602.289999999</v>
      </c>
      <c r="H677" s="368">
        <f t="shared" si="22"/>
        <v>99.94496862667576</v>
      </c>
      <c r="I677" s="147" t="str">
        <f t="shared" si="21"/>
        <v>08010510000000</v>
      </c>
    </row>
    <row r="678" spans="1:9" ht="89.25">
      <c r="A678" s="329" t="s">
        <v>1850</v>
      </c>
      <c r="B678" s="330" t="s">
        <v>274</v>
      </c>
      <c r="C678" s="330" t="s">
        <v>480</v>
      </c>
      <c r="D678" s="330" t="s">
        <v>1851</v>
      </c>
      <c r="E678" s="330" t="s">
        <v>1468</v>
      </c>
      <c r="F678" s="368">
        <v>11422860</v>
      </c>
      <c r="G678" s="368">
        <v>11422860</v>
      </c>
      <c r="H678" s="368">
        <f t="shared" si="22"/>
        <v>100</v>
      </c>
      <c r="I678" s="147" t="str">
        <f t="shared" si="21"/>
        <v>08010510010490</v>
      </c>
    </row>
    <row r="679" spans="1:9" ht="38.25">
      <c r="A679" s="329" t="s">
        <v>1763</v>
      </c>
      <c r="B679" s="330" t="s">
        <v>274</v>
      </c>
      <c r="C679" s="330" t="s">
        <v>480</v>
      </c>
      <c r="D679" s="330" t="s">
        <v>1851</v>
      </c>
      <c r="E679" s="330" t="s">
        <v>1764</v>
      </c>
      <c r="F679" s="368">
        <v>11422860</v>
      </c>
      <c r="G679" s="368">
        <v>11422860</v>
      </c>
      <c r="H679" s="368">
        <f t="shared" si="22"/>
        <v>100</v>
      </c>
      <c r="I679" s="147" t="str">
        <f t="shared" si="21"/>
        <v>08010510010490600</v>
      </c>
    </row>
    <row r="680" spans="1:9">
      <c r="A680" s="329" t="s">
        <v>1504</v>
      </c>
      <c r="B680" s="330" t="s">
        <v>274</v>
      </c>
      <c r="C680" s="330" t="s">
        <v>480</v>
      </c>
      <c r="D680" s="330" t="s">
        <v>1851</v>
      </c>
      <c r="E680" s="330" t="s">
        <v>1505</v>
      </c>
      <c r="F680" s="368">
        <v>11422860</v>
      </c>
      <c r="G680" s="368">
        <v>11422860</v>
      </c>
      <c r="H680" s="368">
        <f t="shared" si="22"/>
        <v>100</v>
      </c>
      <c r="I680" s="147" t="str">
        <f t="shared" si="21"/>
        <v>08010510010490610</v>
      </c>
    </row>
    <row r="681" spans="1:9" ht="51">
      <c r="A681" s="329" t="s">
        <v>435</v>
      </c>
      <c r="B681" s="330" t="s">
        <v>274</v>
      </c>
      <c r="C681" s="330" t="s">
        <v>480</v>
      </c>
      <c r="D681" s="330" t="s">
        <v>1851</v>
      </c>
      <c r="E681" s="330" t="s">
        <v>436</v>
      </c>
      <c r="F681" s="368">
        <v>11422860</v>
      </c>
      <c r="G681" s="368">
        <v>11422860</v>
      </c>
      <c r="H681" s="368">
        <f t="shared" si="22"/>
        <v>100</v>
      </c>
      <c r="I681" s="147" t="str">
        <f t="shared" ref="I681:I744" si="23">CONCATENATE(C681,D681,E681)</f>
        <v>08010510010490611</v>
      </c>
    </row>
    <row r="682" spans="1:9" ht="102">
      <c r="A682" s="329" t="s">
        <v>486</v>
      </c>
      <c r="B682" s="330" t="s">
        <v>274</v>
      </c>
      <c r="C682" s="330" t="s">
        <v>480</v>
      </c>
      <c r="D682" s="330" t="s">
        <v>836</v>
      </c>
      <c r="E682" s="330" t="s">
        <v>1468</v>
      </c>
      <c r="F682" s="368">
        <v>24190798</v>
      </c>
      <c r="G682" s="368">
        <v>24190798</v>
      </c>
      <c r="H682" s="368">
        <f t="shared" si="22"/>
        <v>100</v>
      </c>
      <c r="I682" s="147" t="str">
        <f t="shared" si="23"/>
        <v>08010510040000</v>
      </c>
    </row>
    <row r="683" spans="1:9" ht="38.25">
      <c r="A683" s="329" t="s">
        <v>1763</v>
      </c>
      <c r="B683" s="330" t="s">
        <v>274</v>
      </c>
      <c r="C683" s="330" t="s">
        <v>480</v>
      </c>
      <c r="D683" s="330" t="s">
        <v>836</v>
      </c>
      <c r="E683" s="330" t="s">
        <v>1764</v>
      </c>
      <c r="F683" s="368">
        <v>24190798</v>
      </c>
      <c r="G683" s="368">
        <v>24190798</v>
      </c>
      <c r="H683" s="368">
        <f t="shared" si="22"/>
        <v>100</v>
      </c>
      <c r="I683" s="147" t="str">
        <f t="shared" si="23"/>
        <v>08010510040000600</v>
      </c>
    </row>
    <row r="684" spans="1:9">
      <c r="A684" s="329" t="s">
        <v>1504</v>
      </c>
      <c r="B684" s="330" t="s">
        <v>274</v>
      </c>
      <c r="C684" s="330" t="s">
        <v>480</v>
      </c>
      <c r="D684" s="330" t="s">
        <v>836</v>
      </c>
      <c r="E684" s="330" t="s">
        <v>1505</v>
      </c>
      <c r="F684" s="368">
        <v>24190798</v>
      </c>
      <c r="G684" s="368">
        <v>24190798</v>
      </c>
      <c r="H684" s="368">
        <f t="shared" si="22"/>
        <v>100</v>
      </c>
      <c r="I684" s="147" t="str">
        <f t="shared" si="23"/>
        <v>08010510040000610</v>
      </c>
    </row>
    <row r="685" spans="1:9" ht="51">
      <c r="A685" s="329" t="s">
        <v>435</v>
      </c>
      <c r="B685" s="330" t="s">
        <v>274</v>
      </c>
      <c r="C685" s="330" t="s">
        <v>480</v>
      </c>
      <c r="D685" s="330" t="s">
        <v>836</v>
      </c>
      <c r="E685" s="330" t="s">
        <v>436</v>
      </c>
      <c r="F685" s="368">
        <v>24190798</v>
      </c>
      <c r="G685" s="368">
        <v>24190798</v>
      </c>
      <c r="H685" s="368">
        <f t="shared" si="22"/>
        <v>100</v>
      </c>
      <c r="I685" s="147" t="str">
        <f t="shared" si="23"/>
        <v>08010510040000611</v>
      </c>
    </row>
    <row r="686" spans="1:9" ht="140.25">
      <c r="A686" s="329" t="s">
        <v>487</v>
      </c>
      <c r="B686" s="330" t="s">
        <v>274</v>
      </c>
      <c r="C686" s="330" t="s">
        <v>480</v>
      </c>
      <c r="D686" s="330" t="s">
        <v>837</v>
      </c>
      <c r="E686" s="330" t="s">
        <v>1468</v>
      </c>
      <c r="F686" s="368">
        <v>61000</v>
      </c>
      <c r="G686" s="368">
        <v>61000</v>
      </c>
      <c r="H686" s="368">
        <f t="shared" si="22"/>
        <v>100</v>
      </c>
      <c r="I686" s="147" t="str">
        <f t="shared" si="23"/>
        <v>08010510041000</v>
      </c>
    </row>
    <row r="687" spans="1:9" ht="38.25">
      <c r="A687" s="329" t="s">
        <v>1763</v>
      </c>
      <c r="B687" s="330" t="s">
        <v>274</v>
      </c>
      <c r="C687" s="330" t="s">
        <v>480</v>
      </c>
      <c r="D687" s="330" t="s">
        <v>837</v>
      </c>
      <c r="E687" s="330" t="s">
        <v>1764</v>
      </c>
      <c r="F687" s="368">
        <v>61000</v>
      </c>
      <c r="G687" s="368">
        <v>61000</v>
      </c>
      <c r="H687" s="368">
        <f t="shared" si="22"/>
        <v>100</v>
      </c>
      <c r="I687" s="147" t="str">
        <f t="shared" si="23"/>
        <v>08010510041000600</v>
      </c>
    </row>
    <row r="688" spans="1:9">
      <c r="A688" s="329" t="s">
        <v>1504</v>
      </c>
      <c r="B688" s="330" t="s">
        <v>274</v>
      </c>
      <c r="C688" s="330" t="s">
        <v>480</v>
      </c>
      <c r="D688" s="330" t="s">
        <v>837</v>
      </c>
      <c r="E688" s="330" t="s">
        <v>1505</v>
      </c>
      <c r="F688" s="368">
        <v>61000</v>
      </c>
      <c r="G688" s="368">
        <v>61000</v>
      </c>
      <c r="H688" s="368">
        <f t="shared" si="22"/>
        <v>100</v>
      </c>
      <c r="I688" s="147" t="str">
        <f t="shared" si="23"/>
        <v>08010510041000610</v>
      </c>
    </row>
    <row r="689" spans="1:9" ht="51">
      <c r="A689" s="329" t="s">
        <v>435</v>
      </c>
      <c r="B689" s="330" t="s">
        <v>274</v>
      </c>
      <c r="C689" s="330" t="s">
        <v>480</v>
      </c>
      <c r="D689" s="330" t="s">
        <v>837</v>
      </c>
      <c r="E689" s="330" t="s">
        <v>436</v>
      </c>
      <c r="F689" s="368">
        <v>61000</v>
      </c>
      <c r="G689" s="368">
        <v>61000</v>
      </c>
      <c r="H689" s="368">
        <f t="shared" si="22"/>
        <v>100</v>
      </c>
      <c r="I689" s="147" t="str">
        <f t="shared" si="23"/>
        <v>08010510041000611</v>
      </c>
    </row>
    <row r="690" spans="1:9" ht="102">
      <c r="A690" s="329" t="s">
        <v>1207</v>
      </c>
      <c r="B690" s="330" t="s">
        <v>274</v>
      </c>
      <c r="C690" s="330" t="s">
        <v>480</v>
      </c>
      <c r="D690" s="330" t="s">
        <v>1208</v>
      </c>
      <c r="E690" s="330" t="s">
        <v>1468</v>
      </c>
      <c r="F690" s="368">
        <v>176000</v>
      </c>
      <c r="G690" s="368">
        <v>176000</v>
      </c>
      <c r="H690" s="368">
        <f t="shared" si="22"/>
        <v>100</v>
      </c>
      <c r="I690" s="147" t="str">
        <f t="shared" si="23"/>
        <v>08010510045000</v>
      </c>
    </row>
    <row r="691" spans="1:9" ht="38.25">
      <c r="A691" s="329" t="s">
        <v>1763</v>
      </c>
      <c r="B691" s="330" t="s">
        <v>274</v>
      </c>
      <c r="C691" s="330" t="s">
        <v>480</v>
      </c>
      <c r="D691" s="330" t="s">
        <v>1208</v>
      </c>
      <c r="E691" s="330" t="s">
        <v>1764</v>
      </c>
      <c r="F691" s="368">
        <v>176000</v>
      </c>
      <c r="G691" s="368">
        <v>176000</v>
      </c>
      <c r="H691" s="368">
        <f t="shared" si="22"/>
        <v>100</v>
      </c>
      <c r="I691" s="147" t="str">
        <f t="shared" si="23"/>
        <v>08010510045000600</v>
      </c>
    </row>
    <row r="692" spans="1:9">
      <c r="A692" s="329" t="s">
        <v>1504</v>
      </c>
      <c r="B692" s="330" t="s">
        <v>274</v>
      </c>
      <c r="C692" s="330" t="s">
        <v>480</v>
      </c>
      <c r="D692" s="330" t="s">
        <v>1208</v>
      </c>
      <c r="E692" s="330" t="s">
        <v>1505</v>
      </c>
      <c r="F692" s="368">
        <v>176000</v>
      </c>
      <c r="G692" s="368">
        <v>176000</v>
      </c>
      <c r="H692" s="368">
        <f t="shared" si="22"/>
        <v>100</v>
      </c>
      <c r="I692" s="147" t="str">
        <f t="shared" si="23"/>
        <v>08010510045000610</v>
      </c>
    </row>
    <row r="693" spans="1:9" ht="51">
      <c r="A693" s="329" t="s">
        <v>435</v>
      </c>
      <c r="B693" s="330" t="s">
        <v>274</v>
      </c>
      <c r="C693" s="330" t="s">
        <v>480</v>
      </c>
      <c r="D693" s="330" t="s">
        <v>1208</v>
      </c>
      <c r="E693" s="330" t="s">
        <v>436</v>
      </c>
      <c r="F693" s="368">
        <v>176000</v>
      </c>
      <c r="G693" s="368">
        <v>176000</v>
      </c>
      <c r="H693" s="368">
        <f t="shared" si="22"/>
        <v>100</v>
      </c>
      <c r="I693" s="147" t="str">
        <f t="shared" si="23"/>
        <v>08010510045000611</v>
      </c>
    </row>
    <row r="694" spans="1:9" ht="89.25">
      <c r="A694" s="329" t="s">
        <v>607</v>
      </c>
      <c r="B694" s="330" t="s">
        <v>274</v>
      </c>
      <c r="C694" s="330" t="s">
        <v>480</v>
      </c>
      <c r="D694" s="330" t="s">
        <v>838</v>
      </c>
      <c r="E694" s="330" t="s">
        <v>1468</v>
      </c>
      <c r="F694" s="368">
        <v>539062.07999999996</v>
      </c>
      <c r="G694" s="368">
        <v>537454.07999999996</v>
      </c>
      <c r="H694" s="368">
        <f t="shared" si="22"/>
        <v>99.701704115414685</v>
      </c>
      <c r="I694" s="147" t="str">
        <f t="shared" si="23"/>
        <v>08010510047000</v>
      </c>
    </row>
    <row r="695" spans="1:9" ht="38.25">
      <c r="A695" s="329" t="s">
        <v>1763</v>
      </c>
      <c r="B695" s="330" t="s">
        <v>274</v>
      </c>
      <c r="C695" s="330" t="s">
        <v>480</v>
      </c>
      <c r="D695" s="330" t="s">
        <v>838</v>
      </c>
      <c r="E695" s="330" t="s">
        <v>1764</v>
      </c>
      <c r="F695" s="368">
        <v>539062.07999999996</v>
      </c>
      <c r="G695" s="368">
        <v>537454.07999999996</v>
      </c>
      <c r="H695" s="368">
        <f t="shared" si="22"/>
        <v>99.701704115414685</v>
      </c>
      <c r="I695" s="147" t="str">
        <f t="shared" si="23"/>
        <v>08010510047000600</v>
      </c>
    </row>
    <row r="696" spans="1:9">
      <c r="A696" s="329" t="s">
        <v>1504</v>
      </c>
      <c r="B696" s="330" t="s">
        <v>274</v>
      </c>
      <c r="C696" s="330" t="s">
        <v>480</v>
      </c>
      <c r="D696" s="330" t="s">
        <v>838</v>
      </c>
      <c r="E696" s="330" t="s">
        <v>1505</v>
      </c>
      <c r="F696" s="368">
        <v>539062.07999999996</v>
      </c>
      <c r="G696" s="368">
        <v>537454.07999999996</v>
      </c>
      <c r="H696" s="368">
        <f t="shared" si="22"/>
        <v>99.701704115414685</v>
      </c>
      <c r="I696" s="147" t="str">
        <f t="shared" si="23"/>
        <v>08010510047000610</v>
      </c>
    </row>
    <row r="697" spans="1:9">
      <c r="A697" s="329" t="s">
        <v>454</v>
      </c>
      <c r="B697" s="330" t="s">
        <v>274</v>
      </c>
      <c r="C697" s="330" t="s">
        <v>480</v>
      </c>
      <c r="D697" s="330" t="s">
        <v>838</v>
      </c>
      <c r="E697" s="330" t="s">
        <v>455</v>
      </c>
      <c r="F697" s="368">
        <v>539062.07999999996</v>
      </c>
      <c r="G697" s="368">
        <v>537454.07999999996</v>
      </c>
      <c r="H697" s="368">
        <f t="shared" si="22"/>
        <v>99.701704115414685</v>
      </c>
      <c r="I697" s="147" t="str">
        <f t="shared" si="23"/>
        <v>08010510047000612</v>
      </c>
    </row>
    <row r="698" spans="1:9" ht="102">
      <c r="A698" s="329" t="s">
        <v>677</v>
      </c>
      <c r="B698" s="330" t="s">
        <v>274</v>
      </c>
      <c r="C698" s="330" t="s">
        <v>480</v>
      </c>
      <c r="D698" s="330" t="s">
        <v>839</v>
      </c>
      <c r="E698" s="330" t="s">
        <v>1468</v>
      </c>
      <c r="F698" s="368">
        <v>3744900</v>
      </c>
      <c r="G698" s="368">
        <v>3744900</v>
      </c>
      <c r="H698" s="368">
        <f t="shared" si="22"/>
        <v>100</v>
      </c>
      <c r="I698" s="147" t="str">
        <f t="shared" si="23"/>
        <v>0801051004Г000</v>
      </c>
    </row>
    <row r="699" spans="1:9" ht="38.25">
      <c r="A699" s="329" t="s">
        <v>1763</v>
      </c>
      <c r="B699" s="330" t="s">
        <v>274</v>
      </c>
      <c r="C699" s="330" t="s">
        <v>480</v>
      </c>
      <c r="D699" s="330" t="s">
        <v>839</v>
      </c>
      <c r="E699" s="330" t="s">
        <v>1764</v>
      </c>
      <c r="F699" s="368">
        <v>3744900</v>
      </c>
      <c r="G699" s="368">
        <v>3744900</v>
      </c>
      <c r="H699" s="368">
        <f t="shared" si="22"/>
        <v>100</v>
      </c>
      <c r="I699" s="147" t="str">
        <f t="shared" si="23"/>
        <v>0801051004Г000600</v>
      </c>
    </row>
    <row r="700" spans="1:9">
      <c r="A700" s="329" t="s">
        <v>1504</v>
      </c>
      <c r="B700" s="330" t="s">
        <v>274</v>
      </c>
      <c r="C700" s="330" t="s">
        <v>480</v>
      </c>
      <c r="D700" s="330" t="s">
        <v>839</v>
      </c>
      <c r="E700" s="330" t="s">
        <v>1505</v>
      </c>
      <c r="F700" s="368">
        <v>3744900</v>
      </c>
      <c r="G700" s="368">
        <v>3744900</v>
      </c>
      <c r="H700" s="368">
        <f t="shared" si="22"/>
        <v>100</v>
      </c>
      <c r="I700" s="147" t="str">
        <f t="shared" si="23"/>
        <v>0801051004Г000610</v>
      </c>
    </row>
    <row r="701" spans="1:9" ht="51">
      <c r="A701" s="329" t="s">
        <v>435</v>
      </c>
      <c r="B701" s="330" t="s">
        <v>274</v>
      </c>
      <c r="C701" s="330" t="s">
        <v>480</v>
      </c>
      <c r="D701" s="330" t="s">
        <v>839</v>
      </c>
      <c r="E701" s="330" t="s">
        <v>436</v>
      </c>
      <c r="F701" s="368">
        <v>3744900</v>
      </c>
      <c r="G701" s="368">
        <v>3744900</v>
      </c>
      <c r="H701" s="368">
        <f t="shared" si="22"/>
        <v>100</v>
      </c>
      <c r="I701" s="147" t="str">
        <f t="shared" si="23"/>
        <v>0801051004Г000611</v>
      </c>
    </row>
    <row r="702" spans="1:9" ht="89.25">
      <c r="A702" s="329" t="s">
        <v>1089</v>
      </c>
      <c r="B702" s="330" t="s">
        <v>274</v>
      </c>
      <c r="C702" s="330" t="s">
        <v>480</v>
      </c>
      <c r="D702" s="330" t="s">
        <v>1090</v>
      </c>
      <c r="E702" s="330" t="s">
        <v>1468</v>
      </c>
      <c r="F702" s="368">
        <v>1040000</v>
      </c>
      <c r="G702" s="368">
        <v>1040000</v>
      </c>
      <c r="H702" s="368">
        <f t="shared" si="22"/>
        <v>100</v>
      </c>
      <c r="I702" s="147" t="str">
        <f t="shared" si="23"/>
        <v>0801051004Э000</v>
      </c>
    </row>
    <row r="703" spans="1:9" ht="38.25">
      <c r="A703" s="329" t="s">
        <v>1763</v>
      </c>
      <c r="B703" s="330" t="s">
        <v>274</v>
      </c>
      <c r="C703" s="330" t="s">
        <v>480</v>
      </c>
      <c r="D703" s="330" t="s">
        <v>1090</v>
      </c>
      <c r="E703" s="330" t="s">
        <v>1764</v>
      </c>
      <c r="F703" s="368">
        <v>1040000</v>
      </c>
      <c r="G703" s="368">
        <v>1040000</v>
      </c>
      <c r="H703" s="368">
        <f t="shared" si="22"/>
        <v>100</v>
      </c>
      <c r="I703" s="147" t="str">
        <f t="shared" si="23"/>
        <v>0801051004Э000600</v>
      </c>
    </row>
    <row r="704" spans="1:9">
      <c r="A704" s="329" t="s">
        <v>1504</v>
      </c>
      <c r="B704" s="330" t="s">
        <v>274</v>
      </c>
      <c r="C704" s="330" t="s">
        <v>480</v>
      </c>
      <c r="D704" s="330" t="s">
        <v>1090</v>
      </c>
      <c r="E704" s="330" t="s">
        <v>1505</v>
      </c>
      <c r="F704" s="368">
        <v>1040000</v>
      </c>
      <c r="G704" s="368">
        <v>1040000</v>
      </c>
      <c r="H704" s="368">
        <f t="shared" si="22"/>
        <v>100</v>
      </c>
      <c r="I704" s="147" t="str">
        <f t="shared" si="23"/>
        <v>0801051004Э000610</v>
      </c>
    </row>
    <row r="705" spans="1:9" ht="51">
      <c r="A705" s="329" t="s">
        <v>435</v>
      </c>
      <c r="B705" s="330" t="s">
        <v>274</v>
      </c>
      <c r="C705" s="330" t="s">
        <v>480</v>
      </c>
      <c r="D705" s="330" t="s">
        <v>1090</v>
      </c>
      <c r="E705" s="330" t="s">
        <v>436</v>
      </c>
      <c r="F705" s="368">
        <v>1040000</v>
      </c>
      <c r="G705" s="368">
        <v>1040000</v>
      </c>
      <c r="H705" s="368">
        <f t="shared" si="22"/>
        <v>100</v>
      </c>
      <c r="I705" s="147" t="str">
        <f t="shared" si="23"/>
        <v>0801051004Э000611</v>
      </c>
    </row>
    <row r="706" spans="1:9" ht="63.75">
      <c r="A706" s="329" t="s">
        <v>1016</v>
      </c>
      <c r="B706" s="330" t="s">
        <v>274</v>
      </c>
      <c r="C706" s="330" t="s">
        <v>480</v>
      </c>
      <c r="D706" s="330" t="s">
        <v>1015</v>
      </c>
      <c r="E706" s="330" t="s">
        <v>1468</v>
      </c>
      <c r="F706" s="368">
        <v>296506.53000000003</v>
      </c>
      <c r="G706" s="368">
        <v>296506.53000000003</v>
      </c>
      <c r="H706" s="368">
        <f t="shared" si="22"/>
        <v>100</v>
      </c>
      <c r="I706" s="147" t="str">
        <f t="shared" si="23"/>
        <v>08010510074880</v>
      </c>
    </row>
    <row r="707" spans="1:9" ht="38.25">
      <c r="A707" s="329" t="s">
        <v>1763</v>
      </c>
      <c r="B707" s="330" t="s">
        <v>274</v>
      </c>
      <c r="C707" s="330" t="s">
        <v>480</v>
      </c>
      <c r="D707" s="330" t="s">
        <v>1015</v>
      </c>
      <c r="E707" s="330" t="s">
        <v>1764</v>
      </c>
      <c r="F707" s="368">
        <v>296506.53000000003</v>
      </c>
      <c r="G707" s="368">
        <v>296506.53000000003</v>
      </c>
      <c r="H707" s="368">
        <f t="shared" si="22"/>
        <v>100</v>
      </c>
      <c r="I707" s="147" t="str">
        <f t="shared" si="23"/>
        <v>08010510074880600</v>
      </c>
    </row>
    <row r="708" spans="1:9">
      <c r="A708" s="329" t="s">
        <v>1504</v>
      </c>
      <c r="B708" s="330" t="s">
        <v>274</v>
      </c>
      <c r="C708" s="330" t="s">
        <v>480</v>
      </c>
      <c r="D708" s="330" t="s">
        <v>1015</v>
      </c>
      <c r="E708" s="330" t="s">
        <v>1505</v>
      </c>
      <c r="F708" s="368">
        <v>296506.53000000003</v>
      </c>
      <c r="G708" s="368">
        <v>296506.53000000003</v>
      </c>
      <c r="H708" s="368">
        <f t="shared" si="22"/>
        <v>100</v>
      </c>
      <c r="I708" s="147" t="str">
        <f t="shared" si="23"/>
        <v>08010510074880610</v>
      </c>
    </row>
    <row r="709" spans="1:9">
      <c r="A709" s="329" t="s">
        <v>454</v>
      </c>
      <c r="B709" s="330" t="s">
        <v>274</v>
      </c>
      <c r="C709" s="330" t="s">
        <v>480</v>
      </c>
      <c r="D709" s="330" t="s">
        <v>1015</v>
      </c>
      <c r="E709" s="330" t="s">
        <v>455</v>
      </c>
      <c r="F709" s="368">
        <v>296506.53000000003</v>
      </c>
      <c r="G709" s="368">
        <v>296506.53000000003</v>
      </c>
      <c r="H709" s="368">
        <f t="shared" si="22"/>
        <v>100</v>
      </c>
      <c r="I709" s="147" t="str">
        <f t="shared" si="23"/>
        <v>08010510074880612</v>
      </c>
    </row>
    <row r="710" spans="1:9" ht="63.75">
      <c r="A710" s="329" t="s">
        <v>1832</v>
      </c>
      <c r="B710" s="330" t="s">
        <v>274</v>
      </c>
      <c r="C710" s="330" t="s">
        <v>480</v>
      </c>
      <c r="D710" s="330" t="s">
        <v>1833</v>
      </c>
      <c r="E710" s="330" t="s">
        <v>1468</v>
      </c>
      <c r="F710" s="368">
        <v>863244</v>
      </c>
      <c r="G710" s="368">
        <v>842444.05</v>
      </c>
      <c r="H710" s="368">
        <f t="shared" si="22"/>
        <v>97.59049005843076</v>
      </c>
      <c r="I710" s="147" t="str">
        <f t="shared" si="23"/>
        <v>08010510080020</v>
      </c>
    </row>
    <row r="711" spans="1:9" ht="38.25">
      <c r="A711" s="329" t="s">
        <v>1763</v>
      </c>
      <c r="B711" s="330" t="s">
        <v>274</v>
      </c>
      <c r="C711" s="330" t="s">
        <v>480</v>
      </c>
      <c r="D711" s="330" t="s">
        <v>1833</v>
      </c>
      <c r="E711" s="330" t="s">
        <v>1764</v>
      </c>
      <c r="F711" s="368">
        <v>863244</v>
      </c>
      <c r="G711" s="368">
        <v>842444.05</v>
      </c>
      <c r="H711" s="368">
        <f t="shared" si="22"/>
        <v>97.59049005843076</v>
      </c>
      <c r="I711" s="147" t="str">
        <f t="shared" si="23"/>
        <v>08010510080020600</v>
      </c>
    </row>
    <row r="712" spans="1:9">
      <c r="A712" s="329" t="s">
        <v>1504</v>
      </c>
      <c r="B712" s="330" t="s">
        <v>274</v>
      </c>
      <c r="C712" s="330" t="s">
        <v>480</v>
      </c>
      <c r="D712" s="330" t="s">
        <v>1833</v>
      </c>
      <c r="E712" s="330" t="s">
        <v>1505</v>
      </c>
      <c r="F712" s="368">
        <v>863244</v>
      </c>
      <c r="G712" s="368">
        <v>842444.05</v>
      </c>
      <c r="H712" s="368">
        <f t="shared" ref="H712:H775" si="24">G712/F712*100</f>
        <v>97.59049005843076</v>
      </c>
      <c r="I712" s="147" t="str">
        <f t="shared" si="23"/>
        <v>08010510080020610</v>
      </c>
    </row>
    <row r="713" spans="1:9">
      <c r="A713" s="329" t="s">
        <v>454</v>
      </c>
      <c r="B713" s="330" t="s">
        <v>274</v>
      </c>
      <c r="C713" s="330" t="s">
        <v>480</v>
      </c>
      <c r="D713" s="330" t="s">
        <v>1833</v>
      </c>
      <c r="E713" s="330" t="s">
        <v>455</v>
      </c>
      <c r="F713" s="368">
        <v>863244</v>
      </c>
      <c r="G713" s="368">
        <v>842444.05</v>
      </c>
      <c r="H713" s="368">
        <f t="shared" si="24"/>
        <v>97.59049005843076</v>
      </c>
      <c r="I713" s="147" t="str">
        <f t="shared" si="23"/>
        <v>08010510080020612</v>
      </c>
    </row>
    <row r="714" spans="1:9" ht="51">
      <c r="A714" s="329" t="s">
        <v>489</v>
      </c>
      <c r="B714" s="330" t="s">
        <v>274</v>
      </c>
      <c r="C714" s="330" t="s">
        <v>480</v>
      </c>
      <c r="D714" s="330" t="s">
        <v>845</v>
      </c>
      <c r="E714" s="330" t="s">
        <v>1468</v>
      </c>
      <c r="F714" s="368">
        <v>230000</v>
      </c>
      <c r="G714" s="368">
        <v>228786.16</v>
      </c>
      <c r="H714" s="368">
        <f t="shared" si="24"/>
        <v>99.472243478260864</v>
      </c>
      <c r="I714" s="147" t="str">
        <f t="shared" si="23"/>
        <v>08010510080520</v>
      </c>
    </row>
    <row r="715" spans="1:9" ht="38.25">
      <c r="A715" s="329" t="s">
        <v>1763</v>
      </c>
      <c r="B715" s="330" t="s">
        <v>274</v>
      </c>
      <c r="C715" s="330" t="s">
        <v>480</v>
      </c>
      <c r="D715" s="330" t="s">
        <v>845</v>
      </c>
      <c r="E715" s="330" t="s">
        <v>1764</v>
      </c>
      <c r="F715" s="368">
        <v>230000</v>
      </c>
      <c r="G715" s="368">
        <v>228786.16</v>
      </c>
      <c r="H715" s="368">
        <f t="shared" si="24"/>
        <v>99.472243478260864</v>
      </c>
      <c r="I715" s="147" t="str">
        <f t="shared" si="23"/>
        <v>08010510080520600</v>
      </c>
    </row>
    <row r="716" spans="1:9">
      <c r="A716" s="329" t="s">
        <v>1504</v>
      </c>
      <c r="B716" s="330" t="s">
        <v>274</v>
      </c>
      <c r="C716" s="330" t="s">
        <v>480</v>
      </c>
      <c r="D716" s="330" t="s">
        <v>845</v>
      </c>
      <c r="E716" s="330" t="s">
        <v>1505</v>
      </c>
      <c r="F716" s="368">
        <v>230000</v>
      </c>
      <c r="G716" s="368">
        <v>228786.16</v>
      </c>
      <c r="H716" s="368">
        <f t="shared" si="24"/>
        <v>99.472243478260864</v>
      </c>
      <c r="I716" s="147" t="str">
        <f t="shared" si="23"/>
        <v>08010510080520610</v>
      </c>
    </row>
    <row r="717" spans="1:9">
      <c r="A717" s="329" t="s">
        <v>454</v>
      </c>
      <c r="B717" s="330" t="s">
        <v>274</v>
      </c>
      <c r="C717" s="330" t="s">
        <v>480</v>
      </c>
      <c r="D717" s="330" t="s">
        <v>845</v>
      </c>
      <c r="E717" s="330" t="s">
        <v>455</v>
      </c>
      <c r="F717" s="368">
        <v>230000</v>
      </c>
      <c r="G717" s="368">
        <v>228786.16</v>
      </c>
      <c r="H717" s="368">
        <f t="shared" si="24"/>
        <v>99.472243478260864</v>
      </c>
      <c r="I717" s="147" t="str">
        <f t="shared" si="23"/>
        <v>08010510080520612</v>
      </c>
    </row>
    <row r="718" spans="1:9" ht="51">
      <c r="A718" s="329" t="s">
        <v>490</v>
      </c>
      <c r="B718" s="330" t="s">
        <v>274</v>
      </c>
      <c r="C718" s="330" t="s">
        <v>480</v>
      </c>
      <c r="D718" s="330" t="s">
        <v>846</v>
      </c>
      <c r="E718" s="330" t="s">
        <v>1468</v>
      </c>
      <c r="F718" s="368">
        <v>100000</v>
      </c>
      <c r="G718" s="368">
        <v>100000</v>
      </c>
      <c r="H718" s="368">
        <f t="shared" si="24"/>
        <v>100</v>
      </c>
      <c r="I718" s="147" t="str">
        <f t="shared" si="23"/>
        <v>08010510080530</v>
      </c>
    </row>
    <row r="719" spans="1:9" ht="38.25">
      <c r="A719" s="329" t="s">
        <v>1763</v>
      </c>
      <c r="B719" s="330" t="s">
        <v>274</v>
      </c>
      <c r="C719" s="330" t="s">
        <v>480</v>
      </c>
      <c r="D719" s="330" t="s">
        <v>846</v>
      </c>
      <c r="E719" s="330" t="s">
        <v>1764</v>
      </c>
      <c r="F719" s="368">
        <v>100000</v>
      </c>
      <c r="G719" s="368">
        <v>100000</v>
      </c>
      <c r="H719" s="368">
        <f t="shared" si="24"/>
        <v>100</v>
      </c>
      <c r="I719" s="147" t="str">
        <f t="shared" si="23"/>
        <v>08010510080530600</v>
      </c>
    </row>
    <row r="720" spans="1:9">
      <c r="A720" s="329" t="s">
        <v>1504</v>
      </c>
      <c r="B720" s="330" t="s">
        <v>274</v>
      </c>
      <c r="C720" s="330" t="s">
        <v>480</v>
      </c>
      <c r="D720" s="330" t="s">
        <v>846</v>
      </c>
      <c r="E720" s="330" t="s">
        <v>1505</v>
      </c>
      <c r="F720" s="368">
        <v>100000</v>
      </c>
      <c r="G720" s="368">
        <v>100000</v>
      </c>
      <c r="H720" s="368">
        <f t="shared" si="24"/>
        <v>100</v>
      </c>
      <c r="I720" s="147" t="str">
        <f t="shared" si="23"/>
        <v>08010510080530610</v>
      </c>
    </row>
    <row r="721" spans="1:9">
      <c r="A721" s="329" t="s">
        <v>454</v>
      </c>
      <c r="B721" s="330" t="s">
        <v>274</v>
      </c>
      <c r="C721" s="330" t="s">
        <v>480</v>
      </c>
      <c r="D721" s="330" t="s">
        <v>846</v>
      </c>
      <c r="E721" s="330" t="s">
        <v>455</v>
      </c>
      <c r="F721" s="368">
        <v>100000</v>
      </c>
      <c r="G721" s="368">
        <v>100000</v>
      </c>
      <c r="H721" s="368">
        <f t="shared" si="24"/>
        <v>100</v>
      </c>
      <c r="I721" s="147" t="str">
        <f t="shared" si="23"/>
        <v>08010510080530612</v>
      </c>
    </row>
    <row r="722" spans="1:9" ht="76.5">
      <c r="A722" s="329" t="s">
        <v>1880</v>
      </c>
      <c r="B722" s="330" t="s">
        <v>274</v>
      </c>
      <c r="C722" s="330" t="s">
        <v>480</v>
      </c>
      <c r="D722" s="330" t="s">
        <v>1881</v>
      </c>
      <c r="E722" s="330" t="s">
        <v>1468</v>
      </c>
      <c r="F722" s="368">
        <v>78500</v>
      </c>
      <c r="G722" s="368">
        <v>78500</v>
      </c>
      <c r="H722" s="368">
        <f t="shared" si="24"/>
        <v>100</v>
      </c>
      <c r="I722" s="147" t="str">
        <f t="shared" si="23"/>
        <v>08010510083020</v>
      </c>
    </row>
    <row r="723" spans="1:9" ht="38.25">
      <c r="A723" s="329" t="s">
        <v>1763</v>
      </c>
      <c r="B723" s="330" t="s">
        <v>274</v>
      </c>
      <c r="C723" s="330" t="s">
        <v>480</v>
      </c>
      <c r="D723" s="330" t="s">
        <v>1881</v>
      </c>
      <c r="E723" s="330" t="s">
        <v>1764</v>
      </c>
      <c r="F723" s="368">
        <v>78500</v>
      </c>
      <c r="G723" s="368">
        <v>78500</v>
      </c>
      <c r="H723" s="368">
        <f t="shared" si="24"/>
        <v>100</v>
      </c>
      <c r="I723" s="147" t="str">
        <f t="shared" si="23"/>
        <v>08010510083020600</v>
      </c>
    </row>
    <row r="724" spans="1:9">
      <c r="A724" s="329" t="s">
        <v>1504</v>
      </c>
      <c r="B724" s="330" t="s">
        <v>274</v>
      </c>
      <c r="C724" s="330" t="s">
        <v>480</v>
      </c>
      <c r="D724" s="330" t="s">
        <v>1881</v>
      </c>
      <c r="E724" s="330" t="s">
        <v>1505</v>
      </c>
      <c r="F724" s="368">
        <v>78500</v>
      </c>
      <c r="G724" s="368">
        <v>78500</v>
      </c>
      <c r="H724" s="368">
        <f t="shared" si="24"/>
        <v>100</v>
      </c>
      <c r="I724" s="147" t="str">
        <f t="shared" si="23"/>
        <v>08010510083020610</v>
      </c>
    </row>
    <row r="725" spans="1:9">
      <c r="A725" s="329" t="s">
        <v>454</v>
      </c>
      <c r="B725" s="330" t="s">
        <v>274</v>
      </c>
      <c r="C725" s="330" t="s">
        <v>480</v>
      </c>
      <c r="D725" s="330" t="s">
        <v>1881</v>
      </c>
      <c r="E725" s="330" t="s">
        <v>455</v>
      </c>
      <c r="F725" s="368">
        <v>78500</v>
      </c>
      <c r="G725" s="368">
        <v>78500</v>
      </c>
      <c r="H725" s="368">
        <f t="shared" si="24"/>
        <v>100</v>
      </c>
      <c r="I725" s="147" t="str">
        <f t="shared" si="23"/>
        <v>08010510083020612</v>
      </c>
    </row>
    <row r="726" spans="1:9" ht="51">
      <c r="A726" s="329" t="s">
        <v>1926</v>
      </c>
      <c r="B726" s="330" t="s">
        <v>274</v>
      </c>
      <c r="C726" s="330" t="s">
        <v>480</v>
      </c>
      <c r="D726" s="330" t="s">
        <v>1927</v>
      </c>
      <c r="E726" s="330" t="s">
        <v>1468</v>
      </c>
      <c r="F726" s="368">
        <v>81793.47</v>
      </c>
      <c r="G726" s="368">
        <v>81793.47</v>
      </c>
      <c r="H726" s="368">
        <f t="shared" si="24"/>
        <v>100</v>
      </c>
      <c r="I726" s="147" t="str">
        <f t="shared" si="23"/>
        <v>080105100L5190</v>
      </c>
    </row>
    <row r="727" spans="1:9" ht="38.25">
      <c r="A727" s="329" t="s">
        <v>1763</v>
      </c>
      <c r="B727" s="330" t="s">
        <v>274</v>
      </c>
      <c r="C727" s="330" t="s">
        <v>480</v>
      </c>
      <c r="D727" s="330" t="s">
        <v>1927</v>
      </c>
      <c r="E727" s="330" t="s">
        <v>1764</v>
      </c>
      <c r="F727" s="368">
        <v>81793.47</v>
      </c>
      <c r="G727" s="368">
        <v>81793.47</v>
      </c>
      <c r="H727" s="368">
        <f t="shared" si="24"/>
        <v>100</v>
      </c>
      <c r="I727" s="147" t="str">
        <f t="shared" si="23"/>
        <v>080105100L5190600</v>
      </c>
    </row>
    <row r="728" spans="1:9">
      <c r="A728" s="329" t="s">
        <v>1504</v>
      </c>
      <c r="B728" s="330" t="s">
        <v>274</v>
      </c>
      <c r="C728" s="330" t="s">
        <v>480</v>
      </c>
      <c r="D728" s="330" t="s">
        <v>1927</v>
      </c>
      <c r="E728" s="330" t="s">
        <v>1505</v>
      </c>
      <c r="F728" s="368">
        <v>81793.47</v>
      </c>
      <c r="G728" s="368">
        <v>81793.47</v>
      </c>
      <c r="H728" s="368">
        <f t="shared" si="24"/>
        <v>100</v>
      </c>
      <c r="I728" s="147" t="str">
        <f t="shared" si="23"/>
        <v>080105100L5190610</v>
      </c>
    </row>
    <row r="729" spans="1:9">
      <c r="A729" s="329" t="s">
        <v>454</v>
      </c>
      <c r="B729" s="330" t="s">
        <v>274</v>
      </c>
      <c r="C729" s="330" t="s">
        <v>480</v>
      </c>
      <c r="D729" s="330" t="s">
        <v>1927</v>
      </c>
      <c r="E729" s="330" t="s">
        <v>455</v>
      </c>
      <c r="F729" s="368">
        <v>81793.47</v>
      </c>
      <c r="G729" s="368">
        <v>81793.47</v>
      </c>
      <c r="H729" s="368">
        <f t="shared" si="24"/>
        <v>100</v>
      </c>
      <c r="I729" s="147" t="str">
        <f t="shared" si="23"/>
        <v>080105100L5190612</v>
      </c>
    </row>
    <row r="730" spans="1:9" ht="63.75">
      <c r="A730" s="329" t="s">
        <v>608</v>
      </c>
      <c r="B730" s="330" t="s">
        <v>274</v>
      </c>
      <c r="C730" s="330" t="s">
        <v>480</v>
      </c>
      <c r="D730" s="330" t="s">
        <v>840</v>
      </c>
      <c r="E730" s="330" t="s">
        <v>1468</v>
      </c>
      <c r="F730" s="368">
        <v>74200</v>
      </c>
      <c r="G730" s="368">
        <v>74200</v>
      </c>
      <c r="H730" s="368">
        <f t="shared" si="24"/>
        <v>100</v>
      </c>
      <c r="I730" s="147" t="str">
        <f t="shared" si="23"/>
        <v>080105100S4880</v>
      </c>
    </row>
    <row r="731" spans="1:9" ht="38.25">
      <c r="A731" s="329" t="s">
        <v>1763</v>
      </c>
      <c r="B731" s="330" t="s">
        <v>274</v>
      </c>
      <c r="C731" s="330" t="s">
        <v>480</v>
      </c>
      <c r="D731" s="330" t="s">
        <v>840</v>
      </c>
      <c r="E731" s="330" t="s">
        <v>1764</v>
      </c>
      <c r="F731" s="368">
        <v>74200</v>
      </c>
      <c r="G731" s="368">
        <v>74200</v>
      </c>
      <c r="H731" s="368">
        <f t="shared" si="24"/>
        <v>100</v>
      </c>
      <c r="I731" s="147" t="str">
        <f t="shared" si="23"/>
        <v>080105100S4880600</v>
      </c>
    </row>
    <row r="732" spans="1:9">
      <c r="A732" s="329" t="s">
        <v>1504</v>
      </c>
      <c r="B732" s="330" t="s">
        <v>274</v>
      </c>
      <c r="C732" s="330" t="s">
        <v>480</v>
      </c>
      <c r="D732" s="330" t="s">
        <v>840</v>
      </c>
      <c r="E732" s="330" t="s">
        <v>1505</v>
      </c>
      <c r="F732" s="368">
        <v>74200</v>
      </c>
      <c r="G732" s="368">
        <v>74200</v>
      </c>
      <c r="H732" s="368">
        <f t="shared" si="24"/>
        <v>100</v>
      </c>
      <c r="I732" s="147" t="str">
        <f t="shared" si="23"/>
        <v>080105100S4880610</v>
      </c>
    </row>
    <row r="733" spans="1:9">
      <c r="A733" s="329" t="s">
        <v>454</v>
      </c>
      <c r="B733" s="330" t="s">
        <v>274</v>
      </c>
      <c r="C733" s="330" t="s">
        <v>480</v>
      </c>
      <c r="D733" s="330" t="s">
        <v>840</v>
      </c>
      <c r="E733" s="330" t="s">
        <v>455</v>
      </c>
      <c r="F733" s="368">
        <v>74200</v>
      </c>
      <c r="G733" s="368">
        <v>74200</v>
      </c>
      <c r="H733" s="368">
        <f t="shared" si="24"/>
        <v>100</v>
      </c>
      <c r="I733" s="147" t="str">
        <f t="shared" si="23"/>
        <v>080105100S4880612</v>
      </c>
    </row>
    <row r="734" spans="1:9" ht="63.75">
      <c r="A734" s="329" t="s">
        <v>726</v>
      </c>
      <c r="B734" s="330" t="s">
        <v>274</v>
      </c>
      <c r="C734" s="330" t="s">
        <v>480</v>
      </c>
      <c r="D734" s="330" t="s">
        <v>847</v>
      </c>
      <c r="E734" s="330" t="s">
        <v>1468</v>
      </c>
      <c r="F734" s="368">
        <v>25360</v>
      </c>
      <c r="G734" s="368">
        <v>25360</v>
      </c>
      <c r="H734" s="368">
        <f t="shared" si="24"/>
        <v>100</v>
      </c>
      <c r="I734" s="147" t="str">
        <f t="shared" si="23"/>
        <v>080105100Ф0000</v>
      </c>
    </row>
    <row r="735" spans="1:9" ht="38.25">
      <c r="A735" s="329" t="s">
        <v>1763</v>
      </c>
      <c r="B735" s="330" t="s">
        <v>274</v>
      </c>
      <c r="C735" s="330" t="s">
        <v>480</v>
      </c>
      <c r="D735" s="330" t="s">
        <v>847</v>
      </c>
      <c r="E735" s="330" t="s">
        <v>1764</v>
      </c>
      <c r="F735" s="368">
        <v>25360</v>
      </c>
      <c r="G735" s="368">
        <v>25360</v>
      </c>
      <c r="H735" s="368">
        <f t="shared" si="24"/>
        <v>100</v>
      </c>
      <c r="I735" s="147" t="str">
        <f t="shared" si="23"/>
        <v>080105100Ф0000600</v>
      </c>
    </row>
    <row r="736" spans="1:9">
      <c r="A736" s="54" t="s">
        <v>1504</v>
      </c>
      <c r="B736" s="262" t="s">
        <v>274</v>
      </c>
      <c r="C736" s="262" t="s">
        <v>480</v>
      </c>
      <c r="D736" s="262" t="s">
        <v>847</v>
      </c>
      <c r="E736" s="263" t="s">
        <v>1505</v>
      </c>
      <c r="F736" s="369">
        <v>25360</v>
      </c>
      <c r="G736" s="369">
        <v>25360</v>
      </c>
      <c r="H736" s="368">
        <f t="shared" si="24"/>
        <v>100</v>
      </c>
      <c r="I736" s="147" t="str">
        <f t="shared" si="23"/>
        <v>080105100Ф0000610</v>
      </c>
    </row>
    <row r="737" spans="1:9">
      <c r="A737" s="54" t="s">
        <v>454</v>
      </c>
      <c r="B737" s="262" t="s">
        <v>274</v>
      </c>
      <c r="C737" s="262" t="s">
        <v>480</v>
      </c>
      <c r="D737" s="262" t="s">
        <v>847</v>
      </c>
      <c r="E737" s="263" t="s">
        <v>455</v>
      </c>
      <c r="F737" s="369">
        <v>25360</v>
      </c>
      <c r="G737" s="369">
        <v>25360</v>
      </c>
      <c r="H737" s="368">
        <f t="shared" si="24"/>
        <v>100</v>
      </c>
      <c r="I737" s="147" t="str">
        <f t="shared" si="23"/>
        <v>080105100Ф0000612</v>
      </c>
    </row>
    <row r="738" spans="1:9">
      <c r="A738" s="54" t="s">
        <v>703</v>
      </c>
      <c r="B738" s="262" t="s">
        <v>274</v>
      </c>
      <c r="C738" s="262" t="s">
        <v>480</v>
      </c>
      <c r="D738" s="262" t="s">
        <v>1122</v>
      </c>
      <c r="E738" s="263" t="s">
        <v>1468</v>
      </c>
      <c r="F738" s="369">
        <v>96433766</v>
      </c>
      <c r="G738" s="369">
        <v>96431511.909999996</v>
      </c>
      <c r="H738" s="368">
        <f t="shared" si="24"/>
        <v>99.997662551102678</v>
      </c>
      <c r="I738" s="147" t="str">
        <f t="shared" si="23"/>
        <v>08010520000000</v>
      </c>
    </row>
    <row r="739" spans="1:9" ht="89.25">
      <c r="A739" s="54" t="s">
        <v>1852</v>
      </c>
      <c r="B739" s="262" t="s">
        <v>274</v>
      </c>
      <c r="C739" s="262" t="s">
        <v>480</v>
      </c>
      <c r="D739" s="262" t="s">
        <v>1853</v>
      </c>
      <c r="E739" s="263" t="s">
        <v>1468</v>
      </c>
      <c r="F739" s="369">
        <v>18324140</v>
      </c>
      <c r="G739" s="369">
        <v>18324140</v>
      </c>
      <c r="H739" s="368">
        <f t="shared" si="24"/>
        <v>100</v>
      </c>
      <c r="I739" s="147" t="str">
        <f t="shared" si="23"/>
        <v>08010520010490</v>
      </c>
    </row>
    <row r="740" spans="1:9" ht="38.25">
      <c r="A740" s="54" t="s">
        <v>1763</v>
      </c>
      <c r="B740" s="262" t="s">
        <v>274</v>
      </c>
      <c r="C740" s="262" t="s">
        <v>480</v>
      </c>
      <c r="D740" s="262" t="s">
        <v>1853</v>
      </c>
      <c r="E740" s="263" t="s">
        <v>1764</v>
      </c>
      <c r="F740" s="369">
        <v>18324140</v>
      </c>
      <c r="G740" s="369">
        <v>18324140</v>
      </c>
      <c r="H740" s="368">
        <f t="shared" si="24"/>
        <v>100</v>
      </c>
      <c r="I740" s="147" t="str">
        <f t="shared" si="23"/>
        <v>08010520010490600</v>
      </c>
    </row>
    <row r="741" spans="1:9">
      <c r="A741" s="54" t="s">
        <v>1504</v>
      </c>
      <c r="B741" s="262" t="s">
        <v>274</v>
      </c>
      <c r="C741" s="262" t="s">
        <v>480</v>
      </c>
      <c r="D741" s="262" t="s">
        <v>1853</v>
      </c>
      <c r="E741" s="263" t="s">
        <v>1505</v>
      </c>
      <c r="F741" s="369">
        <v>18324140</v>
      </c>
      <c r="G741" s="369">
        <v>18324140</v>
      </c>
      <c r="H741" s="368">
        <f t="shared" si="24"/>
        <v>100</v>
      </c>
      <c r="I741" s="147" t="str">
        <f t="shared" si="23"/>
        <v>08010520010490610</v>
      </c>
    </row>
    <row r="742" spans="1:9" ht="51">
      <c r="A742" s="54" t="s">
        <v>435</v>
      </c>
      <c r="B742" s="262" t="s">
        <v>274</v>
      </c>
      <c r="C742" s="262" t="s">
        <v>480</v>
      </c>
      <c r="D742" s="262" t="s">
        <v>1853</v>
      </c>
      <c r="E742" s="263" t="s">
        <v>436</v>
      </c>
      <c r="F742" s="369">
        <v>18324140</v>
      </c>
      <c r="G742" s="369">
        <v>18324140</v>
      </c>
      <c r="H742" s="368">
        <f t="shared" si="24"/>
        <v>100</v>
      </c>
      <c r="I742" s="147" t="str">
        <f t="shared" si="23"/>
        <v>08010520010490611</v>
      </c>
    </row>
    <row r="743" spans="1:9" ht="102">
      <c r="A743" s="54" t="s">
        <v>610</v>
      </c>
      <c r="B743" s="262" t="s">
        <v>274</v>
      </c>
      <c r="C743" s="262" t="s">
        <v>480</v>
      </c>
      <c r="D743" s="262" t="s">
        <v>848</v>
      </c>
      <c r="E743" s="263" t="s">
        <v>1468</v>
      </c>
      <c r="F743" s="369">
        <v>47364675.140000001</v>
      </c>
      <c r="G743" s="369">
        <v>47364675.140000001</v>
      </c>
      <c r="H743" s="368">
        <f t="shared" si="24"/>
        <v>100</v>
      </c>
      <c r="I743" s="147" t="str">
        <f t="shared" si="23"/>
        <v>08010520040000</v>
      </c>
    </row>
    <row r="744" spans="1:9" ht="38.25">
      <c r="A744" s="54" t="s">
        <v>1763</v>
      </c>
      <c r="B744" s="262" t="s">
        <v>274</v>
      </c>
      <c r="C744" s="262" t="s">
        <v>480</v>
      </c>
      <c r="D744" s="262" t="s">
        <v>848</v>
      </c>
      <c r="E744" s="263" t="s">
        <v>1764</v>
      </c>
      <c r="F744" s="369">
        <v>47364675.140000001</v>
      </c>
      <c r="G744" s="369">
        <v>47364675.140000001</v>
      </c>
      <c r="H744" s="368">
        <f t="shared" si="24"/>
        <v>100</v>
      </c>
      <c r="I744" s="147" t="str">
        <f t="shared" si="23"/>
        <v>08010520040000600</v>
      </c>
    </row>
    <row r="745" spans="1:9">
      <c r="A745" s="54" t="s">
        <v>1504</v>
      </c>
      <c r="B745" s="262" t="s">
        <v>274</v>
      </c>
      <c r="C745" s="262" t="s">
        <v>480</v>
      </c>
      <c r="D745" s="262" t="s">
        <v>848</v>
      </c>
      <c r="E745" s="263" t="s">
        <v>1505</v>
      </c>
      <c r="F745" s="369">
        <v>47364675.140000001</v>
      </c>
      <c r="G745" s="369">
        <v>47364675.140000001</v>
      </c>
      <c r="H745" s="368">
        <f t="shared" si="24"/>
        <v>100</v>
      </c>
      <c r="I745" s="147" t="str">
        <f t="shared" ref="I745:I808" si="25">CONCATENATE(C745,D745,E745)</f>
        <v>08010520040000610</v>
      </c>
    </row>
    <row r="746" spans="1:9" ht="51">
      <c r="A746" s="54" t="s">
        <v>435</v>
      </c>
      <c r="B746" s="262" t="s">
        <v>274</v>
      </c>
      <c r="C746" s="262" t="s">
        <v>480</v>
      </c>
      <c r="D746" s="262" t="s">
        <v>848</v>
      </c>
      <c r="E746" s="263" t="s">
        <v>436</v>
      </c>
      <c r="F746" s="369">
        <v>47364675.140000001</v>
      </c>
      <c r="G746" s="369">
        <v>47364675.140000001</v>
      </c>
      <c r="H746" s="368">
        <f t="shared" si="24"/>
        <v>100</v>
      </c>
      <c r="I746" s="147" t="str">
        <f t="shared" si="25"/>
        <v>08010520040000611</v>
      </c>
    </row>
    <row r="747" spans="1:9" ht="140.25">
      <c r="A747" s="54" t="s">
        <v>611</v>
      </c>
      <c r="B747" s="262" t="s">
        <v>274</v>
      </c>
      <c r="C747" s="262" t="s">
        <v>480</v>
      </c>
      <c r="D747" s="262" t="s">
        <v>849</v>
      </c>
      <c r="E747" s="263" t="s">
        <v>1468</v>
      </c>
      <c r="F747" s="369">
        <v>2787200</v>
      </c>
      <c r="G747" s="369">
        <v>2787200</v>
      </c>
      <c r="H747" s="368">
        <f t="shared" si="24"/>
        <v>100</v>
      </c>
      <c r="I747" s="147" t="str">
        <f t="shared" si="25"/>
        <v>08010520041000</v>
      </c>
    </row>
    <row r="748" spans="1:9" ht="38.25">
      <c r="A748" s="54" t="s">
        <v>1763</v>
      </c>
      <c r="B748" s="262" t="s">
        <v>274</v>
      </c>
      <c r="C748" s="262" t="s">
        <v>480</v>
      </c>
      <c r="D748" s="262" t="s">
        <v>849</v>
      </c>
      <c r="E748" s="263" t="s">
        <v>1764</v>
      </c>
      <c r="F748" s="369">
        <v>2787200</v>
      </c>
      <c r="G748" s="369">
        <v>2787200</v>
      </c>
      <c r="H748" s="368">
        <f t="shared" si="24"/>
        <v>100</v>
      </c>
      <c r="I748" s="147" t="str">
        <f t="shared" si="25"/>
        <v>08010520041000600</v>
      </c>
    </row>
    <row r="749" spans="1:9">
      <c r="A749" s="54" t="s">
        <v>1504</v>
      </c>
      <c r="B749" s="262" t="s">
        <v>274</v>
      </c>
      <c r="C749" s="262" t="s">
        <v>480</v>
      </c>
      <c r="D749" s="262" t="s">
        <v>849</v>
      </c>
      <c r="E749" s="263" t="s">
        <v>1505</v>
      </c>
      <c r="F749" s="369">
        <v>2787200</v>
      </c>
      <c r="G749" s="369">
        <v>2787200</v>
      </c>
      <c r="H749" s="368">
        <f t="shared" si="24"/>
        <v>100</v>
      </c>
      <c r="I749" s="147" t="str">
        <f t="shared" si="25"/>
        <v>08010520041000610</v>
      </c>
    </row>
    <row r="750" spans="1:9" ht="51">
      <c r="A750" s="54" t="s">
        <v>435</v>
      </c>
      <c r="B750" s="262" t="s">
        <v>274</v>
      </c>
      <c r="C750" s="262" t="s">
        <v>480</v>
      </c>
      <c r="D750" s="262" t="s">
        <v>849</v>
      </c>
      <c r="E750" s="263" t="s">
        <v>436</v>
      </c>
      <c r="F750" s="369">
        <v>2787200</v>
      </c>
      <c r="G750" s="369">
        <v>2787200</v>
      </c>
      <c r="H750" s="368">
        <f t="shared" si="24"/>
        <v>100</v>
      </c>
      <c r="I750" s="147" t="str">
        <f t="shared" si="25"/>
        <v>08010520041000611</v>
      </c>
    </row>
    <row r="751" spans="1:9" ht="102">
      <c r="A751" s="54" t="s">
        <v>612</v>
      </c>
      <c r="B751" s="262" t="s">
        <v>274</v>
      </c>
      <c r="C751" s="262" t="s">
        <v>480</v>
      </c>
      <c r="D751" s="262" t="s">
        <v>850</v>
      </c>
      <c r="E751" s="263" t="s">
        <v>1468</v>
      </c>
      <c r="F751" s="369">
        <v>460000</v>
      </c>
      <c r="G751" s="369">
        <v>460000</v>
      </c>
      <c r="H751" s="368">
        <f t="shared" si="24"/>
        <v>100</v>
      </c>
      <c r="I751" s="147" t="str">
        <f t="shared" si="25"/>
        <v>08010520045000</v>
      </c>
    </row>
    <row r="752" spans="1:9" ht="38.25">
      <c r="A752" s="54" t="s">
        <v>1763</v>
      </c>
      <c r="B752" s="262" t="s">
        <v>274</v>
      </c>
      <c r="C752" s="262" t="s">
        <v>480</v>
      </c>
      <c r="D752" s="262" t="s">
        <v>850</v>
      </c>
      <c r="E752" s="263" t="s">
        <v>1764</v>
      </c>
      <c r="F752" s="369">
        <v>460000</v>
      </c>
      <c r="G752" s="369">
        <v>460000</v>
      </c>
      <c r="H752" s="368">
        <f t="shared" si="24"/>
        <v>100</v>
      </c>
      <c r="I752" s="147" t="str">
        <f t="shared" si="25"/>
        <v>08010520045000600</v>
      </c>
    </row>
    <row r="753" spans="1:9">
      <c r="A753" s="54" t="s">
        <v>1504</v>
      </c>
      <c r="B753" s="262" t="s">
        <v>274</v>
      </c>
      <c r="C753" s="262" t="s">
        <v>480</v>
      </c>
      <c r="D753" s="262" t="s">
        <v>850</v>
      </c>
      <c r="E753" s="263" t="s">
        <v>1505</v>
      </c>
      <c r="F753" s="369">
        <v>460000</v>
      </c>
      <c r="G753" s="369">
        <v>460000</v>
      </c>
      <c r="H753" s="368">
        <f t="shared" si="24"/>
        <v>100</v>
      </c>
      <c r="I753" s="147" t="str">
        <f t="shared" si="25"/>
        <v>08010520045000610</v>
      </c>
    </row>
    <row r="754" spans="1:9" ht="51">
      <c r="A754" s="54" t="s">
        <v>435</v>
      </c>
      <c r="B754" s="262" t="s">
        <v>274</v>
      </c>
      <c r="C754" s="262" t="s">
        <v>480</v>
      </c>
      <c r="D754" s="262" t="s">
        <v>850</v>
      </c>
      <c r="E754" s="263" t="s">
        <v>436</v>
      </c>
      <c r="F754" s="369">
        <v>460000</v>
      </c>
      <c r="G754" s="369">
        <v>460000</v>
      </c>
      <c r="H754" s="368">
        <f t="shared" si="24"/>
        <v>100</v>
      </c>
      <c r="I754" s="147" t="str">
        <f t="shared" si="25"/>
        <v>08010520045000611</v>
      </c>
    </row>
    <row r="755" spans="1:9" ht="89.25">
      <c r="A755" s="54" t="s">
        <v>613</v>
      </c>
      <c r="B755" s="262" t="s">
        <v>274</v>
      </c>
      <c r="C755" s="262" t="s">
        <v>480</v>
      </c>
      <c r="D755" s="262" t="s">
        <v>851</v>
      </c>
      <c r="E755" s="263" t="s">
        <v>1468</v>
      </c>
      <c r="F755" s="369">
        <v>649771</v>
      </c>
      <c r="G755" s="369">
        <v>647516.91</v>
      </c>
      <c r="H755" s="368">
        <f t="shared" si="24"/>
        <v>99.65309470567324</v>
      </c>
      <c r="I755" s="147" t="str">
        <f t="shared" si="25"/>
        <v>08010520047000</v>
      </c>
    </row>
    <row r="756" spans="1:9" ht="38.25">
      <c r="A756" s="54" t="s">
        <v>1763</v>
      </c>
      <c r="B756" s="262" t="s">
        <v>274</v>
      </c>
      <c r="C756" s="262" t="s">
        <v>480</v>
      </c>
      <c r="D756" s="262" t="s">
        <v>851</v>
      </c>
      <c r="E756" s="263" t="s">
        <v>1764</v>
      </c>
      <c r="F756" s="369">
        <v>649771</v>
      </c>
      <c r="G756" s="369">
        <v>647516.91</v>
      </c>
      <c r="H756" s="368">
        <f t="shared" si="24"/>
        <v>99.65309470567324</v>
      </c>
      <c r="I756" s="147" t="str">
        <f t="shared" si="25"/>
        <v>08010520047000600</v>
      </c>
    </row>
    <row r="757" spans="1:9">
      <c r="A757" s="54" t="s">
        <v>1504</v>
      </c>
      <c r="B757" s="262" t="s">
        <v>274</v>
      </c>
      <c r="C757" s="262" t="s">
        <v>480</v>
      </c>
      <c r="D757" s="262" t="s">
        <v>851</v>
      </c>
      <c r="E757" s="263" t="s">
        <v>1505</v>
      </c>
      <c r="F757" s="369">
        <v>649771</v>
      </c>
      <c r="G757" s="369">
        <v>647516.91</v>
      </c>
      <c r="H757" s="368">
        <f t="shared" si="24"/>
        <v>99.65309470567324</v>
      </c>
      <c r="I757" s="147" t="str">
        <f t="shared" si="25"/>
        <v>08010520047000610</v>
      </c>
    </row>
    <row r="758" spans="1:9">
      <c r="A758" s="54" t="s">
        <v>454</v>
      </c>
      <c r="B758" s="262" t="s">
        <v>274</v>
      </c>
      <c r="C758" s="262" t="s">
        <v>480</v>
      </c>
      <c r="D758" s="262" t="s">
        <v>851</v>
      </c>
      <c r="E758" s="263" t="s">
        <v>455</v>
      </c>
      <c r="F758" s="369">
        <v>649771</v>
      </c>
      <c r="G758" s="369">
        <v>647516.91</v>
      </c>
      <c r="H758" s="368">
        <f t="shared" si="24"/>
        <v>99.65309470567324</v>
      </c>
      <c r="I758" s="147" t="str">
        <f t="shared" si="25"/>
        <v>08010520047000612</v>
      </c>
    </row>
    <row r="759" spans="1:9" ht="102">
      <c r="A759" s="54" t="s">
        <v>679</v>
      </c>
      <c r="B759" s="262" t="s">
        <v>274</v>
      </c>
      <c r="C759" s="262" t="s">
        <v>480</v>
      </c>
      <c r="D759" s="262" t="s">
        <v>852</v>
      </c>
      <c r="E759" s="263" t="s">
        <v>1468</v>
      </c>
      <c r="F759" s="369">
        <v>20374648.859999999</v>
      </c>
      <c r="G759" s="369">
        <v>20374648.859999999</v>
      </c>
      <c r="H759" s="368">
        <f t="shared" si="24"/>
        <v>100</v>
      </c>
      <c r="I759" s="147" t="str">
        <f t="shared" si="25"/>
        <v>0801052004Г000</v>
      </c>
    </row>
    <row r="760" spans="1:9" ht="38.25">
      <c r="A760" s="54" t="s">
        <v>1763</v>
      </c>
      <c r="B760" s="262" t="s">
        <v>274</v>
      </c>
      <c r="C760" s="262" t="s">
        <v>480</v>
      </c>
      <c r="D760" s="262" t="s">
        <v>852</v>
      </c>
      <c r="E760" s="263" t="s">
        <v>1764</v>
      </c>
      <c r="F760" s="369">
        <v>20374648.859999999</v>
      </c>
      <c r="G760" s="369">
        <v>20374648.859999999</v>
      </c>
      <c r="H760" s="368">
        <f t="shared" si="24"/>
        <v>100</v>
      </c>
      <c r="I760" s="147" t="str">
        <f t="shared" si="25"/>
        <v>0801052004Г000600</v>
      </c>
    </row>
    <row r="761" spans="1:9">
      <c r="A761" s="54" t="s">
        <v>1504</v>
      </c>
      <c r="B761" s="262" t="s">
        <v>274</v>
      </c>
      <c r="C761" s="262" t="s">
        <v>480</v>
      </c>
      <c r="D761" s="262" t="s">
        <v>852</v>
      </c>
      <c r="E761" s="263" t="s">
        <v>1505</v>
      </c>
      <c r="F761" s="369">
        <v>20374648.859999999</v>
      </c>
      <c r="G761" s="369">
        <v>20374648.859999999</v>
      </c>
      <c r="H761" s="368">
        <f t="shared" si="24"/>
        <v>100</v>
      </c>
      <c r="I761" s="147" t="str">
        <f t="shared" si="25"/>
        <v>0801052004Г000610</v>
      </c>
    </row>
    <row r="762" spans="1:9" ht="51">
      <c r="A762" s="54" t="s">
        <v>435</v>
      </c>
      <c r="B762" s="262" t="s">
        <v>274</v>
      </c>
      <c r="C762" s="262" t="s">
        <v>480</v>
      </c>
      <c r="D762" s="262" t="s">
        <v>852</v>
      </c>
      <c r="E762" s="263" t="s">
        <v>436</v>
      </c>
      <c r="F762" s="369">
        <v>20374648.859999999</v>
      </c>
      <c r="G762" s="369">
        <v>20374648.859999999</v>
      </c>
      <c r="H762" s="368">
        <f t="shared" si="24"/>
        <v>100</v>
      </c>
      <c r="I762" s="147" t="str">
        <f t="shared" si="25"/>
        <v>0801052004Г000611</v>
      </c>
    </row>
    <row r="763" spans="1:9" ht="89.25">
      <c r="A763" s="54" t="s">
        <v>1091</v>
      </c>
      <c r="B763" s="262" t="s">
        <v>274</v>
      </c>
      <c r="C763" s="262" t="s">
        <v>480</v>
      </c>
      <c r="D763" s="262" t="s">
        <v>1092</v>
      </c>
      <c r="E763" s="263" t="s">
        <v>1468</v>
      </c>
      <c r="F763" s="369">
        <v>3200000</v>
      </c>
      <c r="G763" s="369">
        <v>3200000</v>
      </c>
      <c r="H763" s="368">
        <f t="shared" si="24"/>
        <v>100</v>
      </c>
      <c r="I763" s="147" t="str">
        <f t="shared" si="25"/>
        <v>0801052004Э000</v>
      </c>
    </row>
    <row r="764" spans="1:9" ht="38.25">
      <c r="A764" s="54" t="s">
        <v>1763</v>
      </c>
      <c r="B764" s="262" t="s">
        <v>274</v>
      </c>
      <c r="C764" s="262" t="s">
        <v>480</v>
      </c>
      <c r="D764" s="262" t="s">
        <v>1092</v>
      </c>
      <c r="E764" s="263" t="s">
        <v>1764</v>
      </c>
      <c r="F764" s="369">
        <v>3200000</v>
      </c>
      <c r="G764" s="369">
        <v>3200000</v>
      </c>
      <c r="H764" s="368">
        <f t="shared" si="24"/>
        <v>100</v>
      </c>
      <c r="I764" s="147" t="str">
        <f t="shared" si="25"/>
        <v>0801052004Э000600</v>
      </c>
    </row>
    <row r="765" spans="1:9">
      <c r="A765" s="54" t="s">
        <v>1504</v>
      </c>
      <c r="B765" s="262" t="s">
        <v>274</v>
      </c>
      <c r="C765" s="262" t="s">
        <v>480</v>
      </c>
      <c r="D765" s="262" t="s">
        <v>1092</v>
      </c>
      <c r="E765" s="263" t="s">
        <v>1505</v>
      </c>
      <c r="F765" s="369">
        <v>3200000</v>
      </c>
      <c r="G765" s="369">
        <v>3200000</v>
      </c>
      <c r="H765" s="368">
        <f t="shared" si="24"/>
        <v>100</v>
      </c>
      <c r="I765" s="147" t="str">
        <f t="shared" si="25"/>
        <v>0801052004Э000610</v>
      </c>
    </row>
    <row r="766" spans="1:9" ht="51">
      <c r="A766" s="54" t="s">
        <v>435</v>
      </c>
      <c r="B766" s="262" t="s">
        <v>274</v>
      </c>
      <c r="C766" s="262" t="s">
        <v>480</v>
      </c>
      <c r="D766" s="262" t="s">
        <v>1092</v>
      </c>
      <c r="E766" s="263" t="s">
        <v>436</v>
      </c>
      <c r="F766" s="369">
        <v>3200000</v>
      </c>
      <c r="G766" s="369">
        <v>3200000</v>
      </c>
      <c r="H766" s="368">
        <f t="shared" si="24"/>
        <v>100</v>
      </c>
      <c r="I766" s="147" t="str">
        <f t="shared" si="25"/>
        <v>0801052004Э000611</v>
      </c>
    </row>
    <row r="767" spans="1:9" ht="51">
      <c r="A767" s="54" t="s">
        <v>602</v>
      </c>
      <c r="B767" s="262" t="s">
        <v>274</v>
      </c>
      <c r="C767" s="262" t="s">
        <v>480</v>
      </c>
      <c r="D767" s="262" t="s">
        <v>830</v>
      </c>
      <c r="E767" s="263" t="s">
        <v>1468</v>
      </c>
      <c r="F767" s="369">
        <v>3273331</v>
      </c>
      <c r="G767" s="369">
        <v>3273331</v>
      </c>
      <c r="H767" s="368">
        <f t="shared" si="24"/>
        <v>100</v>
      </c>
      <c r="I767" s="147" t="str">
        <f t="shared" si="25"/>
        <v>08010520080520</v>
      </c>
    </row>
    <row r="768" spans="1:9" ht="38.25">
      <c r="A768" s="54" t="s">
        <v>1763</v>
      </c>
      <c r="B768" s="262" t="s">
        <v>274</v>
      </c>
      <c r="C768" s="262" t="s">
        <v>480</v>
      </c>
      <c r="D768" s="262" t="s">
        <v>830</v>
      </c>
      <c r="E768" s="263" t="s">
        <v>1764</v>
      </c>
      <c r="F768" s="369">
        <v>3273331</v>
      </c>
      <c r="G768" s="369">
        <v>3273331</v>
      </c>
      <c r="H768" s="368">
        <f t="shared" si="24"/>
        <v>100</v>
      </c>
      <c r="I768" s="147" t="str">
        <f t="shared" si="25"/>
        <v>08010520080520600</v>
      </c>
    </row>
    <row r="769" spans="1:9">
      <c r="A769" s="54" t="s">
        <v>1504</v>
      </c>
      <c r="B769" s="262" t="s">
        <v>274</v>
      </c>
      <c r="C769" s="262" t="s">
        <v>480</v>
      </c>
      <c r="D769" s="262" t="s">
        <v>830</v>
      </c>
      <c r="E769" s="263" t="s">
        <v>1505</v>
      </c>
      <c r="F769" s="369">
        <v>3273331</v>
      </c>
      <c r="G769" s="369">
        <v>3273331</v>
      </c>
      <c r="H769" s="368">
        <f t="shared" si="24"/>
        <v>100</v>
      </c>
      <c r="I769" s="147" t="str">
        <f t="shared" si="25"/>
        <v>08010520080520610</v>
      </c>
    </row>
    <row r="770" spans="1:9">
      <c r="A770" s="54" t="s">
        <v>454</v>
      </c>
      <c r="B770" s="262" t="s">
        <v>274</v>
      </c>
      <c r="C770" s="262" t="s">
        <v>480</v>
      </c>
      <c r="D770" s="262" t="s">
        <v>830</v>
      </c>
      <c r="E770" s="263" t="s">
        <v>455</v>
      </c>
      <c r="F770" s="369">
        <v>3273331</v>
      </c>
      <c r="G770" s="369">
        <v>3273331</v>
      </c>
      <c r="H770" s="368">
        <f t="shared" si="24"/>
        <v>100</v>
      </c>
      <c r="I770" s="147" t="str">
        <f t="shared" si="25"/>
        <v>08010520080520612</v>
      </c>
    </row>
    <row r="771" spans="1:9" ht="25.5">
      <c r="A771" s="54" t="s">
        <v>704</v>
      </c>
      <c r="B771" s="262" t="s">
        <v>274</v>
      </c>
      <c r="C771" s="262" t="s">
        <v>480</v>
      </c>
      <c r="D771" s="262" t="s">
        <v>1123</v>
      </c>
      <c r="E771" s="263" t="s">
        <v>1468</v>
      </c>
      <c r="F771" s="369">
        <v>5136851</v>
      </c>
      <c r="G771" s="369">
        <v>5136801</v>
      </c>
      <c r="H771" s="368">
        <f t="shared" si="24"/>
        <v>99.999026641029687</v>
      </c>
      <c r="I771" s="147" t="str">
        <f t="shared" si="25"/>
        <v>08010530000000</v>
      </c>
    </row>
    <row r="772" spans="1:9" ht="89.25">
      <c r="A772" s="54" t="s">
        <v>1918</v>
      </c>
      <c r="B772" s="262" t="s">
        <v>274</v>
      </c>
      <c r="C772" s="262" t="s">
        <v>480</v>
      </c>
      <c r="D772" s="262" t="s">
        <v>1919</v>
      </c>
      <c r="E772" s="263" t="s">
        <v>1468</v>
      </c>
      <c r="F772" s="369">
        <v>158000</v>
      </c>
      <c r="G772" s="369">
        <v>158000</v>
      </c>
      <c r="H772" s="368">
        <f t="shared" si="24"/>
        <v>100</v>
      </c>
      <c r="I772" s="147" t="str">
        <f t="shared" si="25"/>
        <v>08010530074810</v>
      </c>
    </row>
    <row r="773" spans="1:9" ht="38.25">
      <c r="A773" s="54" t="s">
        <v>1763</v>
      </c>
      <c r="B773" s="262" t="s">
        <v>274</v>
      </c>
      <c r="C773" s="262" t="s">
        <v>480</v>
      </c>
      <c r="D773" s="262" t="s">
        <v>1919</v>
      </c>
      <c r="E773" s="263" t="s">
        <v>1764</v>
      </c>
      <c r="F773" s="369">
        <v>158000</v>
      </c>
      <c r="G773" s="369">
        <v>158000</v>
      </c>
      <c r="H773" s="368">
        <f t="shared" si="24"/>
        <v>100</v>
      </c>
      <c r="I773" s="147" t="str">
        <f t="shared" si="25"/>
        <v>08010530074810600</v>
      </c>
    </row>
    <row r="774" spans="1:9">
      <c r="A774" s="54" t="s">
        <v>1504</v>
      </c>
      <c r="B774" s="262" t="s">
        <v>274</v>
      </c>
      <c r="C774" s="262" t="s">
        <v>480</v>
      </c>
      <c r="D774" s="262" t="s">
        <v>1919</v>
      </c>
      <c r="E774" s="263" t="s">
        <v>1505</v>
      </c>
      <c r="F774" s="369">
        <v>158000</v>
      </c>
      <c r="G774" s="369">
        <v>158000</v>
      </c>
      <c r="H774" s="368">
        <f t="shared" si="24"/>
        <v>100</v>
      </c>
      <c r="I774" s="147" t="str">
        <f t="shared" si="25"/>
        <v>08010530074810610</v>
      </c>
    </row>
    <row r="775" spans="1:9">
      <c r="A775" s="54" t="s">
        <v>454</v>
      </c>
      <c r="B775" s="262" t="s">
        <v>274</v>
      </c>
      <c r="C775" s="262" t="s">
        <v>480</v>
      </c>
      <c r="D775" s="262" t="s">
        <v>1919</v>
      </c>
      <c r="E775" s="263" t="s">
        <v>455</v>
      </c>
      <c r="F775" s="369">
        <v>158000</v>
      </c>
      <c r="G775" s="369">
        <v>158000</v>
      </c>
      <c r="H775" s="368">
        <f t="shared" si="24"/>
        <v>100</v>
      </c>
      <c r="I775" s="147" t="str">
        <f t="shared" si="25"/>
        <v>08010530074810612</v>
      </c>
    </row>
    <row r="776" spans="1:9" ht="76.5">
      <c r="A776" s="54" t="s">
        <v>1026</v>
      </c>
      <c r="B776" s="262" t="s">
        <v>274</v>
      </c>
      <c r="C776" s="262" t="s">
        <v>480</v>
      </c>
      <c r="D776" s="262" t="s">
        <v>1025</v>
      </c>
      <c r="E776" s="263" t="s">
        <v>1468</v>
      </c>
      <c r="F776" s="369">
        <v>1195000</v>
      </c>
      <c r="G776" s="369">
        <v>1195000</v>
      </c>
      <c r="H776" s="368">
        <f t="shared" ref="H776:H839" si="26">G776/F776*100</f>
        <v>100</v>
      </c>
      <c r="I776" s="147" t="str">
        <f t="shared" si="25"/>
        <v>08010530080020</v>
      </c>
    </row>
    <row r="777" spans="1:9" ht="38.25">
      <c r="A777" s="54" t="s">
        <v>1763</v>
      </c>
      <c r="B777" s="262" t="s">
        <v>274</v>
      </c>
      <c r="C777" s="262" t="s">
        <v>480</v>
      </c>
      <c r="D777" s="262" t="s">
        <v>1025</v>
      </c>
      <c r="E777" s="263" t="s">
        <v>1764</v>
      </c>
      <c r="F777" s="369">
        <v>1195000</v>
      </c>
      <c r="G777" s="369">
        <v>1195000</v>
      </c>
      <c r="H777" s="368">
        <f t="shared" si="26"/>
        <v>100</v>
      </c>
      <c r="I777" s="147" t="str">
        <f t="shared" si="25"/>
        <v>08010530080020600</v>
      </c>
    </row>
    <row r="778" spans="1:9">
      <c r="A778" s="54" t="s">
        <v>1504</v>
      </c>
      <c r="B778" s="262" t="s">
        <v>274</v>
      </c>
      <c r="C778" s="262" t="s">
        <v>480</v>
      </c>
      <c r="D778" s="262" t="s">
        <v>1025</v>
      </c>
      <c r="E778" s="263" t="s">
        <v>1505</v>
      </c>
      <c r="F778" s="369">
        <v>1195000</v>
      </c>
      <c r="G778" s="369">
        <v>1195000</v>
      </c>
      <c r="H778" s="368">
        <f t="shared" si="26"/>
        <v>100</v>
      </c>
      <c r="I778" s="147" t="str">
        <f t="shared" si="25"/>
        <v>08010530080020610</v>
      </c>
    </row>
    <row r="779" spans="1:9">
      <c r="A779" s="54" t="s">
        <v>454</v>
      </c>
      <c r="B779" s="262" t="s">
        <v>274</v>
      </c>
      <c r="C779" s="262" t="s">
        <v>480</v>
      </c>
      <c r="D779" s="262" t="s">
        <v>1025</v>
      </c>
      <c r="E779" s="263" t="s">
        <v>455</v>
      </c>
      <c r="F779" s="369">
        <v>1195000</v>
      </c>
      <c r="G779" s="369">
        <v>1195000</v>
      </c>
      <c r="H779" s="368">
        <f t="shared" si="26"/>
        <v>100</v>
      </c>
      <c r="I779" s="147" t="str">
        <f t="shared" si="25"/>
        <v>08010530080020612</v>
      </c>
    </row>
    <row r="780" spans="1:9" ht="89.25">
      <c r="A780" s="54" t="s">
        <v>1928</v>
      </c>
      <c r="B780" s="262" t="s">
        <v>274</v>
      </c>
      <c r="C780" s="262" t="s">
        <v>480</v>
      </c>
      <c r="D780" s="262" t="s">
        <v>1929</v>
      </c>
      <c r="E780" s="263" t="s">
        <v>1468</v>
      </c>
      <c r="F780" s="369">
        <v>90000</v>
      </c>
      <c r="G780" s="369">
        <v>89950</v>
      </c>
      <c r="H780" s="368">
        <f t="shared" si="26"/>
        <v>99.944444444444443</v>
      </c>
      <c r="I780" s="147" t="str">
        <f t="shared" si="25"/>
        <v>08010530080050</v>
      </c>
    </row>
    <row r="781" spans="1:9" ht="38.25">
      <c r="A781" s="54" t="s">
        <v>1763</v>
      </c>
      <c r="B781" s="262" t="s">
        <v>274</v>
      </c>
      <c r="C781" s="262" t="s">
        <v>480</v>
      </c>
      <c r="D781" s="262" t="s">
        <v>1929</v>
      </c>
      <c r="E781" s="263" t="s">
        <v>1764</v>
      </c>
      <c r="F781" s="369">
        <v>90000</v>
      </c>
      <c r="G781" s="369">
        <v>89950</v>
      </c>
      <c r="H781" s="368">
        <f t="shared" si="26"/>
        <v>99.944444444444443</v>
      </c>
      <c r="I781" s="147" t="str">
        <f t="shared" si="25"/>
        <v>08010530080050600</v>
      </c>
    </row>
    <row r="782" spans="1:9">
      <c r="A782" s="54" t="s">
        <v>1504</v>
      </c>
      <c r="B782" s="262" t="s">
        <v>274</v>
      </c>
      <c r="C782" s="262" t="s">
        <v>480</v>
      </c>
      <c r="D782" s="262" t="s">
        <v>1929</v>
      </c>
      <c r="E782" s="263" t="s">
        <v>1505</v>
      </c>
      <c r="F782" s="369">
        <v>90000</v>
      </c>
      <c r="G782" s="369">
        <v>89950</v>
      </c>
      <c r="H782" s="368">
        <f t="shared" si="26"/>
        <v>99.944444444444443</v>
      </c>
      <c r="I782" s="147" t="str">
        <f t="shared" si="25"/>
        <v>08010530080050610</v>
      </c>
    </row>
    <row r="783" spans="1:9">
      <c r="A783" s="54" t="s">
        <v>454</v>
      </c>
      <c r="B783" s="262" t="s">
        <v>274</v>
      </c>
      <c r="C783" s="262" t="s">
        <v>480</v>
      </c>
      <c r="D783" s="262" t="s">
        <v>1929</v>
      </c>
      <c r="E783" s="263" t="s">
        <v>455</v>
      </c>
      <c r="F783" s="369">
        <v>90000</v>
      </c>
      <c r="G783" s="369">
        <v>89950</v>
      </c>
      <c r="H783" s="368">
        <f t="shared" si="26"/>
        <v>99.944444444444443</v>
      </c>
      <c r="I783" s="147" t="str">
        <f t="shared" si="25"/>
        <v>08010530080050612</v>
      </c>
    </row>
    <row r="784" spans="1:9" ht="102">
      <c r="A784" s="54" t="s">
        <v>1930</v>
      </c>
      <c r="B784" s="262" t="s">
        <v>274</v>
      </c>
      <c r="C784" s="262" t="s">
        <v>480</v>
      </c>
      <c r="D784" s="262" t="s">
        <v>1931</v>
      </c>
      <c r="E784" s="263" t="s">
        <v>1468</v>
      </c>
      <c r="F784" s="369">
        <v>2239446</v>
      </c>
      <c r="G784" s="369">
        <v>2239446</v>
      </c>
      <c r="H784" s="368">
        <f t="shared" si="26"/>
        <v>100</v>
      </c>
      <c r="I784" s="147" t="str">
        <f t="shared" si="25"/>
        <v>080105300L4670</v>
      </c>
    </row>
    <row r="785" spans="1:9" ht="38.25">
      <c r="A785" s="54" t="s">
        <v>1763</v>
      </c>
      <c r="B785" s="262" t="s">
        <v>274</v>
      </c>
      <c r="C785" s="262" t="s">
        <v>480</v>
      </c>
      <c r="D785" s="262" t="s">
        <v>1931</v>
      </c>
      <c r="E785" s="263" t="s">
        <v>1764</v>
      </c>
      <c r="F785" s="369">
        <v>2239446</v>
      </c>
      <c r="G785" s="369">
        <v>2239446</v>
      </c>
      <c r="H785" s="368">
        <f t="shared" si="26"/>
        <v>100</v>
      </c>
      <c r="I785" s="147" t="str">
        <f t="shared" si="25"/>
        <v>080105300L4670600</v>
      </c>
    </row>
    <row r="786" spans="1:9">
      <c r="A786" s="54" t="s">
        <v>1504</v>
      </c>
      <c r="B786" s="262" t="s">
        <v>274</v>
      </c>
      <c r="C786" s="262" t="s">
        <v>480</v>
      </c>
      <c r="D786" s="262" t="s">
        <v>1931</v>
      </c>
      <c r="E786" s="263" t="s">
        <v>1505</v>
      </c>
      <c r="F786" s="369">
        <v>2239446</v>
      </c>
      <c r="G786" s="369">
        <v>2239446</v>
      </c>
      <c r="H786" s="368">
        <f t="shared" si="26"/>
        <v>100</v>
      </c>
      <c r="I786" s="147" t="str">
        <f t="shared" si="25"/>
        <v>080105300L4670610</v>
      </c>
    </row>
    <row r="787" spans="1:9">
      <c r="A787" s="54" t="s">
        <v>454</v>
      </c>
      <c r="B787" s="262" t="s">
        <v>274</v>
      </c>
      <c r="C787" s="262" t="s">
        <v>480</v>
      </c>
      <c r="D787" s="262" t="s">
        <v>1931</v>
      </c>
      <c r="E787" s="263" t="s">
        <v>455</v>
      </c>
      <c r="F787" s="369">
        <v>2239446</v>
      </c>
      <c r="G787" s="369">
        <v>2239446</v>
      </c>
      <c r="H787" s="368">
        <f t="shared" si="26"/>
        <v>100</v>
      </c>
      <c r="I787" s="147" t="str">
        <f t="shared" si="25"/>
        <v>080105300L4670612</v>
      </c>
    </row>
    <row r="788" spans="1:9" ht="76.5">
      <c r="A788" s="54" t="s">
        <v>1932</v>
      </c>
      <c r="B788" s="262" t="s">
        <v>274</v>
      </c>
      <c r="C788" s="262" t="s">
        <v>480</v>
      </c>
      <c r="D788" s="262" t="s">
        <v>1933</v>
      </c>
      <c r="E788" s="263" t="s">
        <v>1468</v>
      </c>
      <c r="F788" s="369">
        <v>100000</v>
      </c>
      <c r="G788" s="369">
        <v>100000</v>
      </c>
      <c r="H788" s="368">
        <f t="shared" si="26"/>
        <v>100</v>
      </c>
      <c r="I788" s="147" t="str">
        <f t="shared" si="25"/>
        <v>080105300L5190</v>
      </c>
    </row>
    <row r="789" spans="1:9" ht="38.25">
      <c r="A789" s="54" t="s">
        <v>1763</v>
      </c>
      <c r="B789" s="262" t="s">
        <v>274</v>
      </c>
      <c r="C789" s="262" t="s">
        <v>480</v>
      </c>
      <c r="D789" s="262" t="s">
        <v>1933</v>
      </c>
      <c r="E789" s="263" t="s">
        <v>1764</v>
      </c>
      <c r="F789" s="369">
        <v>100000</v>
      </c>
      <c r="G789" s="369">
        <v>100000</v>
      </c>
      <c r="H789" s="368">
        <f t="shared" si="26"/>
        <v>100</v>
      </c>
      <c r="I789" s="147" t="str">
        <f t="shared" si="25"/>
        <v>080105300L5190600</v>
      </c>
    </row>
    <row r="790" spans="1:9">
      <c r="A790" s="54" t="s">
        <v>1504</v>
      </c>
      <c r="B790" s="262" t="s">
        <v>274</v>
      </c>
      <c r="C790" s="262" t="s">
        <v>480</v>
      </c>
      <c r="D790" s="262" t="s">
        <v>1933</v>
      </c>
      <c r="E790" s="263" t="s">
        <v>1505</v>
      </c>
      <c r="F790" s="369">
        <v>100000</v>
      </c>
      <c r="G790" s="369">
        <v>100000</v>
      </c>
      <c r="H790" s="368">
        <f t="shared" si="26"/>
        <v>100</v>
      </c>
      <c r="I790" s="147" t="str">
        <f t="shared" si="25"/>
        <v>080105300L5190610</v>
      </c>
    </row>
    <row r="791" spans="1:9">
      <c r="A791" s="54" t="s">
        <v>454</v>
      </c>
      <c r="B791" s="262" t="s">
        <v>274</v>
      </c>
      <c r="C791" s="262" t="s">
        <v>480</v>
      </c>
      <c r="D791" s="262" t="s">
        <v>1933</v>
      </c>
      <c r="E791" s="263" t="s">
        <v>455</v>
      </c>
      <c r="F791" s="369">
        <v>100000</v>
      </c>
      <c r="G791" s="369">
        <v>100000</v>
      </c>
      <c r="H791" s="368">
        <f t="shared" si="26"/>
        <v>100</v>
      </c>
      <c r="I791" s="147" t="str">
        <f t="shared" si="25"/>
        <v>080105300L5190612</v>
      </c>
    </row>
    <row r="792" spans="1:9" ht="114.75">
      <c r="A792" s="54" t="s">
        <v>1922</v>
      </c>
      <c r="B792" s="262" t="s">
        <v>274</v>
      </c>
      <c r="C792" s="262" t="s">
        <v>480</v>
      </c>
      <c r="D792" s="262" t="s">
        <v>1923</v>
      </c>
      <c r="E792" s="263" t="s">
        <v>1468</v>
      </c>
      <c r="F792" s="369">
        <v>2200</v>
      </c>
      <c r="G792" s="369">
        <v>2200</v>
      </c>
      <c r="H792" s="368">
        <f t="shared" si="26"/>
        <v>100</v>
      </c>
      <c r="I792" s="147" t="str">
        <f t="shared" si="25"/>
        <v>080105300S4810</v>
      </c>
    </row>
    <row r="793" spans="1:9" ht="38.25">
      <c r="A793" s="54" t="s">
        <v>1763</v>
      </c>
      <c r="B793" s="262" t="s">
        <v>274</v>
      </c>
      <c r="C793" s="262" t="s">
        <v>480</v>
      </c>
      <c r="D793" s="262" t="s">
        <v>1923</v>
      </c>
      <c r="E793" s="263" t="s">
        <v>1764</v>
      </c>
      <c r="F793" s="369">
        <v>2200</v>
      </c>
      <c r="G793" s="369">
        <v>2200</v>
      </c>
      <c r="H793" s="368">
        <f t="shared" si="26"/>
        <v>100</v>
      </c>
      <c r="I793" s="147" t="str">
        <f t="shared" si="25"/>
        <v>080105300S4810600</v>
      </c>
    </row>
    <row r="794" spans="1:9">
      <c r="A794" s="54" t="s">
        <v>1504</v>
      </c>
      <c r="B794" s="262" t="s">
        <v>274</v>
      </c>
      <c r="C794" s="262" t="s">
        <v>480</v>
      </c>
      <c r="D794" s="262" t="s">
        <v>1923</v>
      </c>
      <c r="E794" s="263" t="s">
        <v>1505</v>
      </c>
      <c r="F794" s="369">
        <v>2200</v>
      </c>
      <c r="G794" s="369">
        <v>2200</v>
      </c>
      <c r="H794" s="368">
        <f t="shared" si="26"/>
        <v>100</v>
      </c>
      <c r="I794" s="147" t="str">
        <f t="shared" si="25"/>
        <v>080105300S4810610</v>
      </c>
    </row>
    <row r="795" spans="1:9">
      <c r="A795" s="54" t="s">
        <v>454</v>
      </c>
      <c r="B795" s="262" t="s">
        <v>274</v>
      </c>
      <c r="C795" s="262" t="s">
        <v>480</v>
      </c>
      <c r="D795" s="262" t="s">
        <v>1923</v>
      </c>
      <c r="E795" s="263" t="s">
        <v>455</v>
      </c>
      <c r="F795" s="369">
        <v>2200</v>
      </c>
      <c r="G795" s="369">
        <v>2200</v>
      </c>
      <c r="H795" s="368">
        <f t="shared" si="26"/>
        <v>100</v>
      </c>
      <c r="I795" s="147" t="str">
        <f t="shared" si="25"/>
        <v>080105300S4810612</v>
      </c>
    </row>
    <row r="796" spans="1:9" ht="76.5">
      <c r="A796" s="54" t="s">
        <v>2002</v>
      </c>
      <c r="B796" s="262" t="s">
        <v>274</v>
      </c>
      <c r="C796" s="262" t="s">
        <v>480</v>
      </c>
      <c r="D796" s="262" t="s">
        <v>2007</v>
      </c>
      <c r="E796" s="263" t="s">
        <v>1468</v>
      </c>
      <c r="F796" s="369">
        <v>700000</v>
      </c>
      <c r="G796" s="369">
        <v>700000</v>
      </c>
      <c r="H796" s="368">
        <f t="shared" si="26"/>
        <v>100</v>
      </c>
      <c r="I796" s="147" t="str">
        <f t="shared" si="25"/>
        <v>080105300S7450</v>
      </c>
    </row>
    <row r="797" spans="1:9" ht="38.25">
      <c r="A797" s="54" t="s">
        <v>1763</v>
      </c>
      <c r="B797" s="262" t="s">
        <v>274</v>
      </c>
      <c r="C797" s="262" t="s">
        <v>480</v>
      </c>
      <c r="D797" s="262" t="s">
        <v>2007</v>
      </c>
      <c r="E797" s="263" t="s">
        <v>1764</v>
      </c>
      <c r="F797" s="369">
        <v>700000</v>
      </c>
      <c r="G797" s="369">
        <v>700000</v>
      </c>
      <c r="H797" s="368">
        <f t="shared" si="26"/>
        <v>100</v>
      </c>
      <c r="I797" s="147" t="str">
        <f t="shared" si="25"/>
        <v>080105300S7450600</v>
      </c>
    </row>
    <row r="798" spans="1:9">
      <c r="A798" s="54" t="s">
        <v>1504</v>
      </c>
      <c r="B798" s="262" t="s">
        <v>274</v>
      </c>
      <c r="C798" s="262" t="s">
        <v>480</v>
      </c>
      <c r="D798" s="262" t="s">
        <v>2007</v>
      </c>
      <c r="E798" s="263" t="s">
        <v>1505</v>
      </c>
      <c r="F798" s="369">
        <v>700000</v>
      </c>
      <c r="G798" s="369">
        <v>700000</v>
      </c>
      <c r="H798" s="368">
        <f t="shared" si="26"/>
        <v>100</v>
      </c>
      <c r="I798" s="147" t="str">
        <f t="shared" si="25"/>
        <v>080105300S7450610</v>
      </c>
    </row>
    <row r="799" spans="1:9">
      <c r="A799" s="54" t="s">
        <v>454</v>
      </c>
      <c r="B799" s="262" t="s">
        <v>274</v>
      </c>
      <c r="C799" s="262" t="s">
        <v>480</v>
      </c>
      <c r="D799" s="262" t="s">
        <v>2007</v>
      </c>
      <c r="E799" s="263" t="s">
        <v>455</v>
      </c>
      <c r="F799" s="369">
        <v>700000</v>
      </c>
      <c r="G799" s="369">
        <v>700000</v>
      </c>
      <c r="H799" s="368">
        <f t="shared" si="26"/>
        <v>100</v>
      </c>
      <c r="I799" s="147" t="str">
        <f t="shared" si="25"/>
        <v>080105300S7450612</v>
      </c>
    </row>
    <row r="800" spans="1:9" ht="76.5">
      <c r="A800" s="54" t="s">
        <v>606</v>
      </c>
      <c r="B800" s="262" t="s">
        <v>274</v>
      </c>
      <c r="C800" s="262" t="s">
        <v>480</v>
      </c>
      <c r="D800" s="262" t="s">
        <v>859</v>
      </c>
      <c r="E800" s="263" t="s">
        <v>1468</v>
      </c>
      <c r="F800" s="369">
        <v>652205</v>
      </c>
      <c r="G800" s="369">
        <v>652205</v>
      </c>
      <c r="H800" s="368">
        <f t="shared" si="26"/>
        <v>100</v>
      </c>
      <c r="I800" s="147" t="str">
        <f t="shared" si="25"/>
        <v>080105300Ф0000</v>
      </c>
    </row>
    <row r="801" spans="1:9" ht="38.25">
      <c r="A801" s="54" t="s">
        <v>1763</v>
      </c>
      <c r="B801" s="262" t="s">
        <v>274</v>
      </c>
      <c r="C801" s="262" t="s">
        <v>480</v>
      </c>
      <c r="D801" s="262" t="s">
        <v>859</v>
      </c>
      <c r="E801" s="263" t="s">
        <v>1764</v>
      </c>
      <c r="F801" s="369">
        <v>652205</v>
      </c>
      <c r="G801" s="369">
        <v>652205</v>
      </c>
      <c r="H801" s="368">
        <f t="shared" si="26"/>
        <v>100</v>
      </c>
      <c r="I801" s="147" t="str">
        <f t="shared" si="25"/>
        <v>080105300Ф0000600</v>
      </c>
    </row>
    <row r="802" spans="1:9">
      <c r="A802" s="54" t="s">
        <v>1504</v>
      </c>
      <c r="B802" s="262" t="s">
        <v>274</v>
      </c>
      <c r="C802" s="262" t="s">
        <v>480</v>
      </c>
      <c r="D802" s="262" t="s">
        <v>859</v>
      </c>
      <c r="E802" s="263" t="s">
        <v>1505</v>
      </c>
      <c r="F802" s="369">
        <v>652205</v>
      </c>
      <c r="G802" s="369">
        <v>652205</v>
      </c>
      <c r="H802" s="368">
        <f t="shared" si="26"/>
        <v>100</v>
      </c>
      <c r="I802" s="147" t="str">
        <f t="shared" si="25"/>
        <v>080105300Ф0000610</v>
      </c>
    </row>
    <row r="803" spans="1:9">
      <c r="A803" s="54" t="s">
        <v>454</v>
      </c>
      <c r="B803" s="262" t="s">
        <v>274</v>
      </c>
      <c r="C803" s="262" t="s">
        <v>480</v>
      </c>
      <c r="D803" s="262" t="s">
        <v>859</v>
      </c>
      <c r="E803" s="263" t="s">
        <v>455</v>
      </c>
      <c r="F803" s="369">
        <v>652205</v>
      </c>
      <c r="G803" s="369">
        <v>652205</v>
      </c>
      <c r="H803" s="368">
        <f t="shared" si="26"/>
        <v>100</v>
      </c>
      <c r="I803" s="147" t="str">
        <f t="shared" si="25"/>
        <v>080105300Ф0000612</v>
      </c>
    </row>
    <row r="804" spans="1:9" ht="25.5">
      <c r="A804" s="54" t="s">
        <v>0</v>
      </c>
      <c r="B804" s="262" t="s">
        <v>274</v>
      </c>
      <c r="C804" s="262" t="s">
        <v>491</v>
      </c>
      <c r="D804" s="262" t="s">
        <v>1468</v>
      </c>
      <c r="E804" s="263" t="s">
        <v>1468</v>
      </c>
      <c r="F804" s="369">
        <v>86039099.349999994</v>
      </c>
      <c r="G804" s="369">
        <v>85884060.959999993</v>
      </c>
      <c r="H804" s="368">
        <f t="shared" si="26"/>
        <v>99.819804726954061</v>
      </c>
      <c r="I804" s="147" t="str">
        <f t="shared" si="25"/>
        <v>0804</v>
      </c>
    </row>
    <row r="805" spans="1:9" ht="25.5">
      <c r="A805" s="54" t="s">
        <v>554</v>
      </c>
      <c r="B805" s="262" t="s">
        <v>274</v>
      </c>
      <c r="C805" s="262" t="s">
        <v>491</v>
      </c>
      <c r="D805" s="262" t="s">
        <v>1120</v>
      </c>
      <c r="E805" s="263" t="s">
        <v>1468</v>
      </c>
      <c r="F805" s="369">
        <v>86039099.349999994</v>
      </c>
      <c r="G805" s="369">
        <v>85884060.959999993</v>
      </c>
      <c r="H805" s="368">
        <f t="shared" si="26"/>
        <v>99.819804726954061</v>
      </c>
      <c r="I805" s="147" t="str">
        <f t="shared" si="25"/>
        <v>08040500000000</v>
      </c>
    </row>
    <row r="806" spans="1:9" ht="25.5">
      <c r="A806" s="54" t="s">
        <v>704</v>
      </c>
      <c r="B806" s="262" t="s">
        <v>274</v>
      </c>
      <c r="C806" s="262" t="s">
        <v>491</v>
      </c>
      <c r="D806" s="262" t="s">
        <v>1123</v>
      </c>
      <c r="E806" s="263" t="s">
        <v>1468</v>
      </c>
      <c r="F806" s="369">
        <v>86039099.349999994</v>
      </c>
      <c r="G806" s="369">
        <v>85884060.959999993</v>
      </c>
      <c r="H806" s="368">
        <f t="shared" si="26"/>
        <v>99.819804726954061</v>
      </c>
      <c r="I806" s="147" t="str">
        <f t="shared" si="25"/>
        <v>08040530000000</v>
      </c>
    </row>
    <row r="807" spans="1:9" ht="114.75">
      <c r="A807" s="54" t="s">
        <v>603</v>
      </c>
      <c r="B807" s="262" t="s">
        <v>274</v>
      </c>
      <c r="C807" s="262" t="s">
        <v>491</v>
      </c>
      <c r="D807" s="262" t="s">
        <v>831</v>
      </c>
      <c r="E807" s="263" t="s">
        <v>1468</v>
      </c>
      <c r="F807" s="369">
        <v>38330590.159999996</v>
      </c>
      <c r="G807" s="369">
        <v>38314362.060000002</v>
      </c>
      <c r="H807" s="368">
        <f t="shared" si="26"/>
        <v>99.957662796392498</v>
      </c>
      <c r="I807" s="147" t="str">
        <f t="shared" si="25"/>
        <v>08040530040000</v>
      </c>
    </row>
    <row r="808" spans="1:9" ht="63.75">
      <c r="A808" s="54" t="s">
        <v>1754</v>
      </c>
      <c r="B808" s="262" t="s">
        <v>274</v>
      </c>
      <c r="C808" s="262" t="s">
        <v>491</v>
      </c>
      <c r="D808" s="262" t="s">
        <v>831</v>
      </c>
      <c r="E808" s="263" t="s">
        <v>322</v>
      </c>
      <c r="F808" s="369">
        <v>35441228.700000003</v>
      </c>
      <c r="G808" s="369">
        <f>G809</f>
        <v>35441192.289999999</v>
      </c>
      <c r="H808" s="368">
        <f t="shared" si="26"/>
        <v>99.999897266541424</v>
      </c>
      <c r="I808" s="147" t="str">
        <f t="shared" si="25"/>
        <v>08040530040000100</v>
      </c>
    </row>
    <row r="809" spans="1:9" ht="25.5">
      <c r="A809" s="54" t="s">
        <v>1487</v>
      </c>
      <c r="B809" s="262" t="s">
        <v>274</v>
      </c>
      <c r="C809" s="262" t="s">
        <v>491</v>
      </c>
      <c r="D809" s="262" t="s">
        <v>831</v>
      </c>
      <c r="E809" s="263" t="s">
        <v>165</v>
      </c>
      <c r="F809" s="369">
        <v>35441228.700000003</v>
      </c>
      <c r="G809" s="369">
        <f>G810+G811+G812</f>
        <v>35441192.289999999</v>
      </c>
      <c r="H809" s="368">
        <f t="shared" si="26"/>
        <v>99.999897266541424</v>
      </c>
      <c r="I809" s="147" t="str">
        <f t="shared" ref="I809:I872" si="27">CONCATENATE(C809,D809,E809)</f>
        <v>08040530040000110</v>
      </c>
    </row>
    <row r="810" spans="1:9">
      <c r="A810" s="54" t="s">
        <v>1360</v>
      </c>
      <c r="B810" s="262" t="s">
        <v>274</v>
      </c>
      <c r="C810" s="262" t="s">
        <v>491</v>
      </c>
      <c r="D810" s="262" t="s">
        <v>831</v>
      </c>
      <c r="E810" s="263" t="s">
        <v>430</v>
      </c>
      <c r="F810" s="369">
        <v>27126381</v>
      </c>
      <c r="G810" s="369">
        <v>27126380.48</v>
      </c>
      <c r="H810" s="368">
        <f t="shared" si="26"/>
        <v>99.999998083046904</v>
      </c>
      <c r="I810" s="147" t="str">
        <f t="shared" si="27"/>
        <v>08040530040000111</v>
      </c>
    </row>
    <row r="811" spans="1:9" ht="25.5">
      <c r="A811" s="54" t="s">
        <v>1369</v>
      </c>
      <c r="B811" s="262" t="s">
        <v>274</v>
      </c>
      <c r="C811" s="262" t="s">
        <v>491</v>
      </c>
      <c r="D811" s="262" t="s">
        <v>831</v>
      </c>
      <c r="E811" s="263" t="s">
        <v>479</v>
      </c>
      <c r="F811" s="369">
        <v>128986.7</v>
      </c>
      <c r="G811" s="369">
        <v>128950.81</v>
      </c>
      <c r="H811" s="368">
        <f t="shared" si="26"/>
        <v>99.972175425838486</v>
      </c>
      <c r="I811" s="147" t="str">
        <f t="shared" si="27"/>
        <v>08040530040000112</v>
      </c>
    </row>
    <row r="812" spans="1:9" ht="51">
      <c r="A812" s="54" t="s">
        <v>1361</v>
      </c>
      <c r="B812" s="262" t="s">
        <v>274</v>
      </c>
      <c r="C812" s="262" t="s">
        <v>491</v>
      </c>
      <c r="D812" s="262" t="s">
        <v>831</v>
      </c>
      <c r="E812" s="263" t="s">
        <v>1197</v>
      </c>
      <c r="F812" s="369">
        <v>8185861</v>
      </c>
      <c r="G812" s="369">
        <v>8185861</v>
      </c>
      <c r="H812" s="368">
        <f t="shared" si="26"/>
        <v>100</v>
      </c>
      <c r="I812" s="147" t="str">
        <f t="shared" si="27"/>
        <v>08040530040000119</v>
      </c>
    </row>
    <row r="813" spans="1:9" ht="25.5">
      <c r="A813" s="54" t="s">
        <v>1755</v>
      </c>
      <c r="B813" s="262" t="s">
        <v>274</v>
      </c>
      <c r="C813" s="262" t="s">
        <v>491</v>
      </c>
      <c r="D813" s="262" t="s">
        <v>831</v>
      </c>
      <c r="E813" s="263" t="s">
        <v>1756</v>
      </c>
      <c r="F813" s="369">
        <v>2883418.91</v>
      </c>
      <c r="G813" s="369">
        <v>2867227.22</v>
      </c>
      <c r="H813" s="368">
        <f t="shared" si="26"/>
        <v>99.438455163630735</v>
      </c>
      <c r="I813" s="147" t="str">
        <f t="shared" si="27"/>
        <v>08040530040000200</v>
      </c>
    </row>
    <row r="814" spans="1:9" ht="38.25">
      <c r="A814" s="54" t="s">
        <v>1502</v>
      </c>
      <c r="B814" s="262" t="s">
        <v>274</v>
      </c>
      <c r="C814" s="262" t="s">
        <v>491</v>
      </c>
      <c r="D814" s="262" t="s">
        <v>831</v>
      </c>
      <c r="E814" s="263" t="s">
        <v>1503</v>
      </c>
      <c r="F814" s="369">
        <v>2883418.91</v>
      </c>
      <c r="G814" s="369">
        <v>2867227.22</v>
      </c>
      <c r="H814" s="368">
        <f t="shared" si="26"/>
        <v>99.438455163630735</v>
      </c>
      <c r="I814" s="147" t="str">
        <f t="shared" si="27"/>
        <v>08040530040000240</v>
      </c>
    </row>
    <row r="815" spans="1:9">
      <c r="A815" s="54" t="s">
        <v>1577</v>
      </c>
      <c r="B815" s="262" t="s">
        <v>274</v>
      </c>
      <c r="C815" s="262" t="s">
        <v>491</v>
      </c>
      <c r="D815" s="262" t="s">
        <v>831</v>
      </c>
      <c r="E815" s="263" t="s">
        <v>416</v>
      </c>
      <c r="F815" s="369">
        <v>2883418.91</v>
      </c>
      <c r="G815" s="369">
        <v>2867227.22</v>
      </c>
      <c r="H815" s="368">
        <f t="shared" si="26"/>
        <v>99.438455163630735</v>
      </c>
      <c r="I815" s="147" t="str">
        <f t="shared" si="27"/>
        <v>08040530040000244</v>
      </c>
    </row>
    <row r="816" spans="1:9">
      <c r="A816" s="54" t="s">
        <v>1757</v>
      </c>
      <c r="B816" s="262" t="s">
        <v>274</v>
      </c>
      <c r="C816" s="262" t="s">
        <v>491</v>
      </c>
      <c r="D816" s="262" t="s">
        <v>831</v>
      </c>
      <c r="E816" s="263" t="s">
        <v>1758</v>
      </c>
      <c r="F816" s="369">
        <v>5942.55</v>
      </c>
      <c r="G816" s="369">
        <v>5942.55</v>
      </c>
      <c r="H816" s="368">
        <f t="shared" si="26"/>
        <v>100</v>
      </c>
      <c r="I816" s="147" t="str">
        <f t="shared" si="27"/>
        <v>08040530040000800</v>
      </c>
    </row>
    <row r="817" spans="1:9">
      <c r="A817" s="54" t="s">
        <v>1507</v>
      </c>
      <c r="B817" s="262" t="s">
        <v>274</v>
      </c>
      <c r="C817" s="262" t="s">
        <v>491</v>
      </c>
      <c r="D817" s="262" t="s">
        <v>831</v>
      </c>
      <c r="E817" s="263" t="s">
        <v>1508</v>
      </c>
      <c r="F817" s="369">
        <v>5942.55</v>
      </c>
      <c r="G817" s="369">
        <v>5942.55</v>
      </c>
      <c r="H817" s="368">
        <f t="shared" si="26"/>
        <v>100</v>
      </c>
      <c r="I817" s="147" t="str">
        <f t="shared" si="27"/>
        <v>08040530040000850</v>
      </c>
    </row>
    <row r="818" spans="1:9">
      <c r="A818" s="54" t="s">
        <v>1198</v>
      </c>
      <c r="B818" s="262" t="s">
        <v>274</v>
      </c>
      <c r="C818" s="262" t="s">
        <v>491</v>
      </c>
      <c r="D818" s="262" t="s">
        <v>831</v>
      </c>
      <c r="E818" s="263" t="s">
        <v>1199</v>
      </c>
      <c r="F818" s="369">
        <v>5942.55</v>
      </c>
      <c r="G818" s="369">
        <v>5942.55</v>
      </c>
      <c r="H818" s="368">
        <f t="shared" si="26"/>
        <v>100</v>
      </c>
      <c r="I818" s="147" t="str">
        <f t="shared" si="27"/>
        <v>08040530040000853</v>
      </c>
    </row>
    <row r="819" spans="1:9" ht="153">
      <c r="A819" s="54" t="s">
        <v>604</v>
      </c>
      <c r="B819" s="262" t="s">
        <v>274</v>
      </c>
      <c r="C819" s="262" t="s">
        <v>491</v>
      </c>
      <c r="D819" s="262" t="s">
        <v>832</v>
      </c>
      <c r="E819" s="263" t="s">
        <v>1468</v>
      </c>
      <c r="F819" s="369">
        <v>46043823.590000004</v>
      </c>
      <c r="G819" s="369">
        <v>45913623.590000004</v>
      </c>
      <c r="H819" s="368">
        <f t="shared" si="26"/>
        <v>99.717225916858311</v>
      </c>
      <c r="I819" s="147" t="str">
        <f t="shared" si="27"/>
        <v>08040530041000</v>
      </c>
    </row>
    <row r="820" spans="1:9" ht="63.75">
      <c r="A820" s="54" t="s">
        <v>1754</v>
      </c>
      <c r="B820" s="262" t="s">
        <v>274</v>
      </c>
      <c r="C820" s="262" t="s">
        <v>491</v>
      </c>
      <c r="D820" s="262" t="s">
        <v>832</v>
      </c>
      <c r="E820" s="263" t="s">
        <v>322</v>
      </c>
      <c r="F820" s="369">
        <v>46043823.590000004</v>
      </c>
      <c r="G820" s="369">
        <v>45913623.590000004</v>
      </c>
      <c r="H820" s="368">
        <f t="shared" si="26"/>
        <v>99.717225916858311</v>
      </c>
      <c r="I820" s="147" t="str">
        <f t="shared" si="27"/>
        <v>08040530041000100</v>
      </c>
    </row>
    <row r="821" spans="1:9" ht="25.5">
      <c r="A821" s="54" t="s">
        <v>1487</v>
      </c>
      <c r="B821" s="262" t="s">
        <v>274</v>
      </c>
      <c r="C821" s="262" t="s">
        <v>491</v>
      </c>
      <c r="D821" s="262" t="s">
        <v>832</v>
      </c>
      <c r="E821" s="263" t="s">
        <v>165</v>
      </c>
      <c r="F821" s="369">
        <v>46043823.590000004</v>
      </c>
      <c r="G821" s="369">
        <v>45913623.590000004</v>
      </c>
      <c r="H821" s="368">
        <f t="shared" si="26"/>
        <v>99.717225916858311</v>
      </c>
      <c r="I821" s="147" t="str">
        <f t="shared" si="27"/>
        <v>08040530041000110</v>
      </c>
    </row>
    <row r="822" spans="1:9">
      <c r="A822" s="54" t="s">
        <v>1360</v>
      </c>
      <c r="B822" s="262" t="s">
        <v>274</v>
      </c>
      <c r="C822" s="262" t="s">
        <v>491</v>
      </c>
      <c r="D822" s="262" t="s">
        <v>832</v>
      </c>
      <c r="E822" s="263" t="s">
        <v>430</v>
      </c>
      <c r="F822" s="369">
        <v>35323412</v>
      </c>
      <c r="G822" s="369">
        <v>35223412</v>
      </c>
      <c r="H822" s="368">
        <f t="shared" si="26"/>
        <v>99.716901640192631</v>
      </c>
      <c r="I822" s="147" t="str">
        <f t="shared" si="27"/>
        <v>08040530041000111</v>
      </c>
    </row>
    <row r="823" spans="1:9" ht="51">
      <c r="A823" s="54" t="s">
        <v>1361</v>
      </c>
      <c r="B823" s="262" t="s">
        <v>274</v>
      </c>
      <c r="C823" s="262" t="s">
        <v>491</v>
      </c>
      <c r="D823" s="262" t="s">
        <v>832</v>
      </c>
      <c r="E823" s="263" t="s">
        <v>1197</v>
      </c>
      <c r="F823" s="369">
        <v>10720411.59</v>
      </c>
      <c r="G823" s="369">
        <v>10690211.59</v>
      </c>
      <c r="H823" s="368">
        <f t="shared" si="26"/>
        <v>99.718294398060507</v>
      </c>
      <c r="I823" s="147" t="str">
        <f t="shared" si="27"/>
        <v>08040530041000119</v>
      </c>
    </row>
    <row r="824" spans="1:9" ht="102">
      <c r="A824" s="54" t="s">
        <v>605</v>
      </c>
      <c r="B824" s="262" t="s">
        <v>274</v>
      </c>
      <c r="C824" s="262" t="s">
        <v>491</v>
      </c>
      <c r="D824" s="262" t="s">
        <v>834</v>
      </c>
      <c r="E824" s="263" t="s">
        <v>1468</v>
      </c>
      <c r="F824" s="369">
        <v>978185.6</v>
      </c>
      <c r="G824" s="369">
        <v>975745.6</v>
      </c>
      <c r="H824" s="368">
        <f t="shared" si="26"/>
        <v>99.750558585201006</v>
      </c>
      <c r="I824" s="147" t="str">
        <f t="shared" si="27"/>
        <v>08040530047000</v>
      </c>
    </row>
    <row r="825" spans="1:9" ht="63.75">
      <c r="A825" s="54" t="s">
        <v>1754</v>
      </c>
      <c r="B825" s="262" t="s">
        <v>274</v>
      </c>
      <c r="C825" s="262" t="s">
        <v>491</v>
      </c>
      <c r="D825" s="262" t="s">
        <v>834</v>
      </c>
      <c r="E825" s="263" t="s">
        <v>322</v>
      </c>
      <c r="F825" s="369">
        <v>978185.6</v>
      </c>
      <c r="G825" s="369">
        <v>975745.6</v>
      </c>
      <c r="H825" s="368">
        <f t="shared" si="26"/>
        <v>99.750558585201006</v>
      </c>
      <c r="I825" s="147" t="str">
        <f t="shared" si="27"/>
        <v>08040530047000100</v>
      </c>
    </row>
    <row r="826" spans="1:9" ht="25.5">
      <c r="A826" s="54" t="s">
        <v>1487</v>
      </c>
      <c r="B826" s="262" t="s">
        <v>274</v>
      </c>
      <c r="C826" s="262" t="s">
        <v>491</v>
      </c>
      <c r="D826" s="262" t="s">
        <v>834</v>
      </c>
      <c r="E826" s="263" t="s">
        <v>165</v>
      </c>
      <c r="F826" s="369">
        <v>978185.6</v>
      </c>
      <c r="G826" s="369">
        <v>975745.6</v>
      </c>
      <c r="H826" s="368">
        <f t="shared" si="26"/>
        <v>99.750558585201006</v>
      </c>
      <c r="I826" s="147" t="str">
        <f t="shared" si="27"/>
        <v>08040530047000110</v>
      </c>
    </row>
    <row r="827" spans="1:9" ht="25.5">
      <c r="A827" s="54" t="s">
        <v>1369</v>
      </c>
      <c r="B827" s="262" t="s">
        <v>274</v>
      </c>
      <c r="C827" s="262" t="s">
        <v>491</v>
      </c>
      <c r="D827" s="262" t="s">
        <v>834</v>
      </c>
      <c r="E827" s="263" t="s">
        <v>479</v>
      </c>
      <c r="F827" s="369">
        <v>978185.6</v>
      </c>
      <c r="G827" s="369">
        <v>975745.6</v>
      </c>
      <c r="H827" s="368">
        <f t="shared" si="26"/>
        <v>99.750558585201006</v>
      </c>
      <c r="I827" s="147" t="str">
        <f t="shared" si="27"/>
        <v>08040530047000112</v>
      </c>
    </row>
    <row r="828" spans="1:9" ht="114.75">
      <c r="A828" s="54" t="s">
        <v>676</v>
      </c>
      <c r="B828" s="262" t="s">
        <v>274</v>
      </c>
      <c r="C828" s="262" t="s">
        <v>491</v>
      </c>
      <c r="D828" s="262" t="s">
        <v>835</v>
      </c>
      <c r="E828" s="263" t="s">
        <v>1468</v>
      </c>
      <c r="F828" s="369">
        <v>356000</v>
      </c>
      <c r="G828" s="369">
        <v>349829.71</v>
      </c>
      <c r="H828" s="368">
        <f t="shared" si="26"/>
        <v>98.266772471910116</v>
      </c>
      <c r="I828" s="147" t="str">
        <f t="shared" si="27"/>
        <v>0804053004Г000</v>
      </c>
    </row>
    <row r="829" spans="1:9" ht="25.5">
      <c r="A829" s="54" t="s">
        <v>1755</v>
      </c>
      <c r="B829" s="262" t="s">
        <v>274</v>
      </c>
      <c r="C829" s="262" t="s">
        <v>491</v>
      </c>
      <c r="D829" s="262" t="s">
        <v>835</v>
      </c>
      <c r="E829" s="263" t="s">
        <v>1756</v>
      </c>
      <c r="F829" s="369">
        <v>356000</v>
      </c>
      <c r="G829" s="369">
        <v>349829.71</v>
      </c>
      <c r="H829" s="368">
        <f t="shared" si="26"/>
        <v>98.266772471910116</v>
      </c>
      <c r="I829" s="147" t="str">
        <f t="shared" si="27"/>
        <v>0804053004Г000200</v>
      </c>
    </row>
    <row r="830" spans="1:9" ht="38.25">
      <c r="A830" s="54" t="s">
        <v>1502</v>
      </c>
      <c r="B830" s="262" t="s">
        <v>274</v>
      </c>
      <c r="C830" s="262" t="s">
        <v>491</v>
      </c>
      <c r="D830" s="262" t="s">
        <v>835</v>
      </c>
      <c r="E830" s="263" t="s">
        <v>1503</v>
      </c>
      <c r="F830" s="369">
        <v>356000</v>
      </c>
      <c r="G830" s="369">
        <v>349829.71</v>
      </c>
      <c r="H830" s="368">
        <f t="shared" si="26"/>
        <v>98.266772471910116</v>
      </c>
      <c r="I830" s="147" t="str">
        <f t="shared" si="27"/>
        <v>0804053004Г000240</v>
      </c>
    </row>
    <row r="831" spans="1:9">
      <c r="A831" s="54" t="s">
        <v>1577</v>
      </c>
      <c r="B831" s="262" t="s">
        <v>274</v>
      </c>
      <c r="C831" s="262" t="s">
        <v>491</v>
      </c>
      <c r="D831" s="262" t="s">
        <v>835</v>
      </c>
      <c r="E831" s="263" t="s">
        <v>416</v>
      </c>
      <c r="F831" s="369">
        <v>356000</v>
      </c>
      <c r="G831" s="369">
        <v>349829.71</v>
      </c>
      <c r="H831" s="368">
        <f t="shared" si="26"/>
        <v>98.266772471910116</v>
      </c>
      <c r="I831" s="147" t="str">
        <f t="shared" si="27"/>
        <v>0804053004Г000244</v>
      </c>
    </row>
    <row r="832" spans="1:9" ht="76.5">
      <c r="A832" s="54" t="s">
        <v>1093</v>
      </c>
      <c r="B832" s="262" t="s">
        <v>274</v>
      </c>
      <c r="C832" s="262" t="s">
        <v>491</v>
      </c>
      <c r="D832" s="262" t="s">
        <v>1094</v>
      </c>
      <c r="E832" s="263" t="s">
        <v>1468</v>
      </c>
      <c r="F832" s="369">
        <v>120000</v>
      </c>
      <c r="G832" s="369">
        <v>120000</v>
      </c>
      <c r="H832" s="368">
        <f t="shared" si="26"/>
        <v>100</v>
      </c>
      <c r="I832" s="147" t="str">
        <f t="shared" si="27"/>
        <v>0804053004Ф000</v>
      </c>
    </row>
    <row r="833" spans="1:9" ht="25.5">
      <c r="A833" s="54" t="s">
        <v>1755</v>
      </c>
      <c r="B833" s="262" t="s">
        <v>274</v>
      </c>
      <c r="C833" s="262" t="s">
        <v>491</v>
      </c>
      <c r="D833" s="262" t="s">
        <v>1094</v>
      </c>
      <c r="E833" s="263" t="s">
        <v>1756</v>
      </c>
      <c r="F833" s="369">
        <v>120000</v>
      </c>
      <c r="G833" s="369">
        <v>120000</v>
      </c>
      <c r="H833" s="368">
        <f t="shared" si="26"/>
        <v>100</v>
      </c>
      <c r="I833" s="147" t="str">
        <f t="shared" si="27"/>
        <v>0804053004Ф000200</v>
      </c>
    </row>
    <row r="834" spans="1:9" ht="38.25">
      <c r="A834" s="54" t="s">
        <v>1502</v>
      </c>
      <c r="B834" s="262" t="s">
        <v>274</v>
      </c>
      <c r="C834" s="262" t="s">
        <v>491</v>
      </c>
      <c r="D834" s="262" t="s">
        <v>1094</v>
      </c>
      <c r="E834" s="263" t="s">
        <v>1503</v>
      </c>
      <c r="F834" s="369">
        <v>120000</v>
      </c>
      <c r="G834" s="369">
        <v>120000</v>
      </c>
      <c r="H834" s="368">
        <f t="shared" si="26"/>
        <v>100</v>
      </c>
      <c r="I834" s="147" t="str">
        <f t="shared" si="27"/>
        <v>0804053004Ф000240</v>
      </c>
    </row>
    <row r="835" spans="1:9">
      <c r="A835" s="54" t="s">
        <v>1577</v>
      </c>
      <c r="B835" s="262" t="s">
        <v>274</v>
      </c>
      <c r="C835" s="262" t="s">
        <v>491</v>
      </c>
      <c r="D835" s="262" t="s">
        <v>1094</v>
      </c>
      <c r="E835" s="263" t="s">
        <v>416</v>
      </c>
      <c r="F835" s="369">
        <v>120000</v>
      </c>
      <c r="G835" s="369">
        <v>120000</v>
      </c>
      <c r="H835" s="368">
        <f t="shared" si="26"/>
        <v>100</v>
      </c>
      <c r="I835" s="147" t="str">
        <f t="shared" si="27"/>
        <v>0804053004Ф000244</v>
      </c>
    </row>
    <row r="836" spans="1:9" ht="102">
      <c r="A836" s="54" t="s">
        <v>1087</v>
      </c>
      <c r="B836" s="262" t="s">
        <v>274</v>
      </c>
      <c r="C836" s="262" t="s">
        <v>491</v>
      </c>
      <c r="D836" s="262" t="s">
        <v>1088</v>
      </c>
      <c r="E836" s="263" t="s">
        <v>1468</v>
      </c>
      <c r="F836" s="369">
        <v>210500</v>
      </c>
      <c r="G836" s="369">
        <v>210500</v>
      </c>
      <c r="H836" s="368">
        <f t="shared" si="26"/>
        <v>100</v>
      </c>
      <c r="I836" s="147" t="str">
        <f t="shared" si="27"/>
        <v>0804053004Э000</v>
      </c>
    </row>
    <row r="837" spans="1:9" ht="25.5">
      <c r="A837" s="54" t="s">
        <v>1755</v>
      </c>
      <c r="B837" s="262" t="s">
        <v>274</v>
      </c>
      <c r="C837" s="262" t="s">
        <v>491</v>
      </c>
      <c r="D837" s="262" t="s">
        <v>1088</v>
      </c>
      <c r="E837" s="263" t="s">
        <v>1756</v>
      </c>
      <c r="F837" s="369">
        <v>210500</v>
      </c>
      <c r="G837" s="369">
        <v>210500</v>
      </c>
      <c r="H837" s="368">
        <f t="shared" si="26"/>
        <v>100</v>
      </c>
      <c r="I837" s="147" t="str">
        <f t="shared" si="27"/>
        <v>0804053004Э000200</v>
      </c>
    </row>
    <row r="838" spans="1:9" ht="38.25">
      <c r="A838" s="54" t="s">
        <v>1502</v>
      </c>
      <c r="B838" s="262" t="s">
        <v>274</v>
      </c>
      <c r="C838" s="262" t="s">
        <v>491</v>
      </c>
      <c r="D838" s="262" t="s">
        <v>1088</v>
      </c>
      <c r="E838" s="263" t="s">
        <v>1503</v>
      </c>
      <c r="F838" s="369">
        <v>210500</v>
      </c>
      <c r="G838" s="369">
        <v>210500</v>
      </c>
      <c r="H838" s="368">
        <f t="shared" si="26"/>
        <v>100</v>
      </c>
      <c r="I838" s="147" t="str">
        <f t="shared" si="27"/>
        <v>0804053004Э000240</v>
      </c>
    </row>
    <row r="839" spans="1:9">
      <c r="A839" s="54" t="s">
        <v>1577</v>
      </c>
      <c r="B839" s="262" t="s">
        <v>274</v>
      </c>
      <c r="C839" s="262" t="s">
        <v>491</v>
      </c>
      <c r="D839" s="262" t="s">
        <v>1088</v>
      </c>
      <c r="E839" s="263" t="s">
        <v>416</v>
      </c>
      <c r="F839" s="369">
        <v>210500</v>
      </c>
      <c r="G839" s="369">
        <v>210500</v>
      </c>
      <c r="H839" s="368">
        <f t="shared" si="26"/>
        <v>100</v>
      </c>
      <c r="I839" s="147" t="str">
        <f t="shared" si="27"/>
        <v>0804053004Э000244</v>
      </c>
    </row>
    <row r="840" spans="1:9">
      <c r="A840" s="54" t="s">
        <v>292</v>
      </c>
      <c r="B840" s="262" t="s">
        <v>274</v>
      </c>
      <c r="C840" s="262" t="s">
        <v>1366</v>
      </c>
      <c r="D840" s="262" t="s">
        <v>1468</v>
      </c>
      <c r="E840" s="263" t="s">
        <v>1468</v>
      </c>
      <c r="F840" s="369">
        <v>10584586.1</v>
      </c>
      <c r="G840" s="369">
        <f>G841+G868</f>
        <v>10567896.52</v>
      </c>
      <c r="H840" s="368">
        <f t="shared" ref="H840:H903" si="28">G840/F840*100</f>
        <v>99.842321845726218</v>
      </c>
      <c r="I840" s="147" t="str">
        <f t="shared" si="27"/>
        <v>1100</v>
      </c>
    </row>
    <row r="841" spans="1:9">
      <c r="A841" s="54" t="s">
        <v>1588</v>
      </c>
      <c r="B841" s="262" t="s">
        <v>274</v>
      </c>
      <c r="C841" s="262" t="s">
        <v>1589</v>
      </c>
      <c r="D841" s="262" t="s">
        <v>1468</v>
      </c>
      <c r="E841" s="263" t="s">
        <v>1468</v>
      </c>
      <c r="F841" s="369">
        <v>8942975.5</v>
      </c>
      <c r="G841" s="369">
        <v>8942975.5</v>
      </c>
      <c r="H841" s="368">
        <f t="shared" si="28"/>
        <v>100</v>
      </c>
      <c r="I841" s="147" t="str">
        <f t="shared" si="27"/>
        <v>1101</v>
      </c>
    </row>
    <row r="842" spans="1:9" ht="25.5">
      <c r="A842" s="54" t="s">
        <v>1913</v>
      </c>
      <c r="B842" s="262" t="s">
        <v>274</v>
      </c>
      <c r="C842" s="262" t="s">
        <v>1589</v>
      </c>
      <c r="D842" s="262" t="s">
        <v>1128</v>
      </c>
      <c r="E842" s="263" t="s">
        <v>1468</v>
      </c>
      <c r="F842" s="369">
        <v>8942975.5</v>
      </c>
      <c r="G842" s="369">
        <v>8942975.5</v>
      </c>
      <c r="H842" s="368">
        <f t="shared" si="28"/>
        <v>100</v>
      </c>
      <c r="I842" s="147" t="str">
        <f t="shared" si="27"/>
        <v>11010700000000</v>
      </c>
    </row>
    <row r="843" spans="1:9" ht="25.5">
      <c r="A843" s="54" t="s">
        <v>568</v>
      </c>
      <c r="B843" s="262" t="s">
        <v>274</v>
      </c>
      <c r="C843" s="262" t="s">
        <v>1589</v>
      </c>
      <c r="D843" s="262" t="s">
        <v>1129</v>
      </c>
      <c r="E843" s="263" t="s">
        <v>1468</v>
      </c>
      <c r="F843" s="369">
        <v>8942975.5</v>
      </c>
      <c r="G843" s="369">
        <v>8942975.5</v>
      </c>
      <c r="H843" s="368">
        <f t="shared" si="28"/>
        <v>100</v>
      </c>
      <c r="I843" s="147" t="str">
        <f t="shared" si="27"/>
        <v>11010710000000</v>
      </c>
    </row>
    <row r="844" spans="1:9" ht="114.75">
      <c r="A844" s="54" t="s">
        <v>1471</v>
      </c>
      <c r="B844" s="262" t="s">
        <v>274</v>
      </c>
      <c r="C844" s="262" t="s">
        <v>1589</v>
      </c>
      <c r="D844" s="262" t="s">
        <v>1472</v>
      </c>
      <c r="E844" s="263" t="s">
        <v>1468</v>
      </c>
      <c r="F844" s="369">
        <v>5512042.25</v>
      </c>
      <c r="G844" s="369">
        <v>5512042.25</v>
      </c>
      <c r="H844" s="368">
        <f t="shared" si="28"/>
        <v>100</v>
      </c>
      <c r="I844" s="147" t="str">
        <f t="shared" si="27"/>
        <v>11010710040000</v>
      </c>
    </row>
    <row r="845" spans="1:9" ht="38.25">
      <c r="A845" s="54" t="s">
        <v>1763</v>
      </c>
      <c r="B845" s="262" t="s">
        <v>274</v>
      </c>
      <c r="C845" s="262" t="s">
        <v>1589</v>
      </c>
      <c r="D845" s="262" t="s">
        <v>1472</v>
      </c>
      <c r="E845" s="263" t="s">
        <v>1764</v>
      </c>
      <c r="F845" s="369">
        <v>5512042.25</v>
      </c>
      <c r="G845" s="369">
        <v>5512042.25</v>
      </c>
      <c r="H845" s="368">
        <f t="shared" si="28"/>
        <v>100</v>
      </c>
      <c r="I845" s="147" t="str">
        <f t="shared" si="27"/>
        <v>11010710040000600</v>
      </c>
    </row>
    <row r="846" spans="1:9">
      <c r="A846" s="54" t="s">
        <v>1504</v>
      </c>
      <c r="B846" s="262" t="s">
        <v>274</v>
      </c>
      <c r="C846" s="262" t="s">
        <v>1589</v>
      </c>
      <c r="D846" s="262" t="s">
        <v>1472</v>
      </c>
      <c r="E846" s="263" t="s">
        <v>1505</v>
      </c>
      <c r="F846" s="369">
        <v>5512042.25</v>
      </c>
      <c r="G846" s="369">
        <v>5512042.25</v>
      </c>
      <c r="H846" s="368">
        <f t="shared" si="28"/>
        <v>100</v>
      </c>
      <c r="I846" s="147" t="str">
        <f t="shared" si="27"/>
        <v>11010710040000610</v>
      </c>
    </row>
    <row r="847" spans="1:9" ht="51">
      <c r="A847" s="54" t="s">
        <v>435</v>
      </c>
      <c r="B847" s="262" t="s">
        <v>274</v>
      </c>
      <c r="C847" s="262" t="s">
        <v>1589</v>
      </c>
      <c r="D847" s="262" t="s">
        <v>1472</v>
      </c>
      <c r="E847" s="263" t="s">
        <v>436</v>
      </c>
      <c r="F847" s="369">
        <v>5512042.25</v>
      </c>
      <c r="G847" s="369">
        <v>5512042.25</v>
      </c>
      <c r="H847" s="368">
        <f t="shared" si="28"/>
        <v>100</v>
      </c>
      <c r="I847" s="147" t="str">
        <f t="shared" si="27"/>
        <v>11010710040000611</v>
      </c>
    </row>
    <row r="848" spans="1:9" ht="153">
      <c r="A848" s="54" t="s">
        <v>1473</v>
      </c>
      <c r="B848" s="262" t="s">
        <v>274</v>
      </c>
      <c r="C848" s="262" t="s">
        <v>1589</v>
      </c>
      <c r="D848" s="262" t="s">
        <v>1474</v>
      </c>
      <c r="E848" s="263" t="s">
        <v>1468</v>
      </c>
      <c r="F848" s="369">
        <v>1659152.15</v>
      </c>
      <c r="G848" s="369">
        <v>1659152.15</v>
      </c>
      <c r="H848" s="368">
        <f t="shared" si="28"/>
        <v>100</v>
      </c>
      <c r="I848" s="147" t="str">
        <f t="shared" si="27"/>
        <v>11010710041000</v>
      </c>
    </row>
    <row r="849" spans="1:9" ht="38.25">
      <c r="A849" s="54" t="s">
        <v>1763</v>
      </c>
      <c r="B849" s="262" t="s">
        <v>274</v>
      </c>
      <c r="C849" s="262" t="s">
        <v>1589</v>
      </c>
      <c r="D849" s="262" t="s">
        <v>1474</v>
      </c>
      <c r="E849" s="263" t="s">
        <v>1764</v>
      </c>
      <c r="F849" s="369">
        <v>1659152.15</v>
      </c>
      <c r="G849" s="369">
        <v>1659152.15</v>
      </c>
      <c r="H849" s="368">
        <f t="shared" si="28"/>
        <v>100</v>
      </c>
      <c r="I849" s="147" t="str">
        <f t="shared" si="27"/>
        <v>11010710041000600</v>
      </c>
    </row>
    <row r="850" spans="1:9">
      <c r="A850" s="54" t="s">
        <v>1504</v>
      </c>
      <c r="B850" s="262" t="s">
        <v>274</v>
      </c>
      <c r="C850" s="262" t="s">
        <v>1589</v>
      </c>
      <c r="D850" s="262" t="s">
        <v>1474</v>
      </c>
      <c r="E850" s="263" t="s">
        <v>1505</v>
      </c>
      <c r="F850" s="369">
        <v>1659152.15</v>
      </c>
      <c r="G850" s="369">
        <v>1659152.15</v>
      </c>
      <c r="H850" s="368">
        <f t="shared" si="28"/>
        <v>100</v>
      </c>
      <c r="I850" s="147" t="str">
        <f t="shared" si="27"/>
        <v>11010710041000610</v>
      </c>
    </row>
    <row r="851" spans="1:9" ht="51">
      <c r="A851" s="54" t="s">
        <v>435</v>
      </c>
      <c r="B851" s="262" t="s">
        <v>274</v>
      </c>
      <c r="C851" s="262" t="s">
        <v>1589</v>
      </c>
      <c r="D851" s="262" t="s">
        <v>1474</v>
      </c>
      <c r="E851" s="263" t="s">
        <v>436</v>
      </c>
      <c r="F851" s="369">
        <v>1659152.15</v>
      </c>
      <c r="G851" s="369">
        <v>1659152.15</v>
      </c>
      <c r="H851" s="368">
        <f t="shared" si="28"/>
        <v>100</v>
      </c>
      <c r="I851" s="147" t="str">
        <f t="shared" si="27"/>
        <v>11010710041000611</v>
      </c>
    </row>
    <row r="852" spans="1:9" ht="102">
      <c r="A852" s="54" t="s">
        <v>1475</v>
      </c>
      <c r="B852" s="262" t="s">
        <v>274</v>
      </c>
      <c r="C852" s="262" t="s">
        <v>1589</v>
      </c>
      <c r="D852" s="262" t="s">
        <v>1476</v>
      </c>
      <c r="E852" s="263" t="s">
        <v>1468</v>
      </c>
      <c r="F852" s="369">
        <v>24381.1</v>
      </c>
      <c r="G852" s="369">
        <v>24381.1</v>
      </c>
      <c r="H852" s="368">
        <f t="shared" si="28"/>
        <v>100</v>
      </c>
      <c r="I852" s="147" t="str">
        <f t="shared" si="27"/>
        <v>11010710047000</v>
      </c>
    </row>
    <row r="853" spans="1:9" ht="38.25">
      <c r="A853" s="54" t="s">
        <v>1763</v>
      </c>
      <c r="B853" s="262" t="s">
        <v>274</v>
      </c>
      <c r="C853" s="262" t="s">
        <v>1589</v>
      </c>
      <c r="D853" s="262" t="s">
        <v>1476</v>
      </c>
      <c r="E853" s="263" t="s">
        <v>1764</v>
      </c>
      <c r="F853" s="369">
        <v>24381.1</v>
      </c>
      <c r="G853" s="369">
        <v>24381.1</v>
      </c>
      <c r="H853" s="368">
        <f t="shared" si="28"/>
        <v>100</v>
      </c>
      <c r="I853" s="147" t="str">
        <f t="shared" si="27"/>
        <v>11010710047000600</v>
      </c>
    </row>
    <row r="854" spans="1:9">
      <c r="A854" s="54" t="s">
        <v>1504</v>
      </c>
      <c r="B854" s="262" t="s">
        <v>274</v>
      </c>
      <c r="C854" s="262" t="s">
        <v>1589</v>
      </c>
      <c r="D854" s="262" t="s">
        <v>1476</v>
      </c>
      <c r="E854" s="263" t="s">
        <v>1505</v>
      </c>
      <c r="F854" s="369">
        <v>24381.1</v>
      </c>
      <c r="G854" s="369">
        <v>24381.1</v>
      </c>
      <c r="H854" s="368">
        <f t="shared" si="28"/>
        <v>100</v>
      </c>
      <c r="I854" s="147" t="str">
        <f t="shared" si="27"/>
        <v>11010710047000610</v>
      </c>
    </row>
    <row r="855" spans="1:9">
      <c r="A855" s="54" t="s">
        <v>454</v>
      </c>
      <c r="B855" s="262" t="s">
        <v>274</v>
      </c>
      <c r="C855" s="262" t="s">
        <v>1589</v>
      </c>
      <c r="D855" s="262" t="s">
        <v>1476</v>
      </c>
      <c r="E855" s="263" t="s">
        <v>455</v>
      </c>
      <c r="F855" s="369">
        <v>24381.1</v>
      </c>
      <c r="G855" s="369">
        <v>24381.1</v>
      </c>
      <c r="H855" s="368">
        <f t="shared" si="28"/>
        <v>100</v>
      </c>
      <c r="I855" s="147" t="str">
        <f t="shared" si="27"/>
        <v>11010710047000612</v>
      </c>
    </row>
    <row r="856" spans="1:9" ht="114.75">
      <c r="A856" s="54" t="s">
        <v>1477</v>
      </c>
      <c r="B856" s="262" t="s">
        <v>274</v>
      </c>
      <c r="C856" s="262" t="s">
        <v>1589</v>
      </c>
      <c r="D856" s="262" t="s">
        <v>1478</v>
      </c>
      <c r="E856" s="263" t="s">
        <v>1468</v>
      </c>
      <c r="F856" s="369">
        <v>556400</v>
      </c>
      <c r="G856" s="369">
        <v>556400</v>
      </c>
      <c r="H856" s="368">
        <f t="shared" si="28"/>
        <v>100</v>
      </c>
      <c r="I856" s="147" t="str">
        <f t="shared" si="27"/>
        <v>1101071004Г000</v>
      </c>
    </row>
    <row r="857" spans="1:9" ht="38.25">
      <c r="A857" s="54" t="s">
        <v>1763</v>
      </c>
      <c r="B857" s="262" t="s">
        <v>274</v>
      </c>
      <c r="C857" s="262" t="s">
        <v>1589</v>
      </c>
      <c r="D857" s="262" t="s">
        <v>1478</v>
      </c>
      <c r="E857" s="263" t="s">
        <v>1764</v>
      </c>
      <c r="F857" s="369">
        <v>556400</v>
      </c>
      <c r="G857" s="369">
        <v>556400</v>
      </c>
      <c r="H857" s="368">
        <f t="shared" si="28"/>
        <v>100</v>
      </c>
      <c r="I857" s="147" t="str">
        <f t="shared" si="27"/>
        <v>1101071004Г000600</v>
      </c>
    </row>
    <row r="858" spans="1:9">
      <c r="A858" s="54" t="s">
        <v>1504</v>
      </c>
      <c r="B858" s="262" t="s">
        <v>274</v>
      </c>
      <c r="C858" s="262" t="s">
        <v>1589</v>
      </c>
      <c r="D858" s="262" t="s">
        <v>1478</v>
      </c>
      <c r="E858" s="263" t="s">
        <v>1505</v>
      </c>
      <c r="F858" s="369">
        <v>556400</v>
      </c>
      <c r="G858" s="369">
        <v>556400</v>
      </c>
      <c r="H858" s="368">
        <f t="shared" si="28"/>
        <v>100</v>
      </c>
      <c r="I858" s="147" t="str">
        <f t="shared" si="27"/>
        <v>1101071004Г000610</v>
      </c>
    </row>
    <row r="859" spans="1:9" ht="51">
      <c r="A859" s="54" t="s">
        <v>435</v>
      </c>
      <c r="B859" s="262" t="s">
        <v>274</v>
      </c>
      <c r="C859" s="262" t="s">
        <v>1589</v>
      </c>
      <c r="D859" s="262" t="s">
        <v>1478</v>
      </c>
      <c r="E859" s="263" t="s">
        <v>436</v>
      </c>
      <c r="F859" s="369">
        <v>556400</v>
      </c>
      <c r="G859" s="369">
        <v>556400</v>
      </c>
      <c r="H859" s="368">
        <f t="shared" si="28"/>
        <v>100</v>
      </c>
      <c r="I859" s="147" t="str">
        <f t="shared" si="27"/>
        <v>1101071004Г000611</v>
      </c>
    </row>
    <row r="860" spans="1:9" ht="102">
      <c r="A860" s="54" t="s">
        <v>1479</v>
      </c>
      <c r="B860" s="262" t="s">
        <v>274</v>
      </c>
      <c r="C860" s="262" t="s">
        <v>1589</v>
      </c>
      <c r="D860" s="262" t="s">
        <v>1480</v>
      </c>
      <c r="E860" s="263" t="s">
        <v>1468</v>
      </c>
      <c r="F860" s="369">
        <v>503000</v>
      </c>
      <c r="G860" s="369">
        <v>503000</v>
      </c>
      <c r="H860" s="368">
        <f t="shared" si="28"/>
        <v>100</v>
      </c>
      <c r="I860" s="147" t="str">
        <f t="shared" si="27"/>
        <v>1101071004Э000</v>
      </c>
    </row>
    <row r="861" spans="1:9" ht="38.25">
      <c r="A861" s="54" t="s">
        <v>1763</v>
      </c>
      <c r="B861" s="262" t="s">
        <v>274</v>
      </c>
      <c r="C861" s="262" t="s">
        <v>1589</v>
      </c>
      <c r="D861" s="262" t="s">
        <v>1480</v>
      </c>
      <c r="E861" s="263" t="s">
        <v>1764</v>
      </c>
      <c r="F861" s="369">
        <v>503000</v>
      </c>
      <c r="G861" s="369">
        <v>503000</v>
      </c>
      <c r="H861" s="368">
        <f t="shared" si="28"/>
        <v>100</v>
      </c>
      <c r="I861" s="147" t="str">
        <f t="shared" si="27"/>
        <v>1101071004Э000600</v>
      </c>
    </row>
    <row r="862" spans="1:9">
      <c r="A862" s="54" t="s">
        <v>1504</v>
      </c>
      <c r="B862" s="262" t="s">
        <v>274</v>
      </c>
      <c r="C862" s="262" t="s">
        <v>1589</v>
      </c>
      <c r="D862" s="262" t="s">
        <v>1480</v>
      </c>
      <c r="E862" s="263" t="s">
        <v>1505</v>
      </c>
      <c r="F862" s="369">
        <v>503000</v>
      </c>
      <c r="G862" s="369">
        <v>503000</v>
      </c>
      <c r="H862" s="368">
        <f t="shared" si="28"/>
        <v>100</v>
      </c>
      <c r="I862" s="147" t="str">
        <f t="shared" si="27"/>
        <v>1101071004Э000610</v>
      </c>
    </row>
    <row r="863" spans="1:9" ht="51">
      <c r="A863" s="54" t="s">
        <v>435</v>
      </c>
      <c r="B863" s="262" t="s">
        <v>274</v>
      </c>
      <c r="C863" s="262" t="s">
        <v>1589</v>
      </c>
      <c r="D863" s="262" t="s">
        <v>1480</v>
      </c>
      <c r="E863" s="263" t="s">
        <v>436</v>
      </c>
      <c r="F863" s="369">
        <v>503000</v>
      </c>
      <c r="G863" s="369">
        <v>503000</v>
      </c>
      <c r="H863" s="368">
        <f t="shared" si="28"/>
        <v>100</v>
      </c>
      <c r="I863" s="147" t="str">
        <f t="shared" si="27"/>
        <v>1101071004Э000611</v>
      </c>
    </row>
    <row r="864" spans="1:9" ht="76.5">
      <c r="A864" s="54" t="s">
        <v>1481</v>
      </c>
      <c r="B864" s="262" t="s">
        <v>274</v>
      </c>
      <c r="C864" s="262" t="s">
        <v>1589</v>
      </c>
      <c r="D864" s="262" t="s">
        <v>1482</v>
      </c>
      <c r="E864" s="263" t="s">
        <v>1468</v>
      </c>
      <c r="F864" s="369">
        <v>688000</v>
      </c>
      <c r="G864" s="369">
        <v>688000</v>
      </c>
      <c r="H864" s="368">
        <f t="shared" si="28"/>
        <v>100</v>
      </c>
      <c r="I864" s="147" t="str">
        <f t="shared" si="27"/>
        <v>110107100Ч0020</v>
      </c>
    </row>
    <row r="865" spans="1:9" ht="38.25">
      <c r="A865" s="54" t="s">
        <v>1763</v>
      </c>
      <c r="B865" s="262" t="s">
        <v>274</v>
      </c>
      <c r="C865" s="262" t="s">
        <v>1589</v>
      </c>
      <c r="D865" s="262" t="s">
        <v>1482</v>
      </c>
      <c r="E865" s="263" t="s">
        <v>1764</v>
      </c>
      <c r="F865" s="369">
        <v>688000</v>
      </c>
      <c r="G865" s="369">
        <v>688000</v>
      </c>
      <c r="H865" s="368">
        <f t="shared" si="28"/>
        <v>100</v>
      </c>
      <c r="I865" s="147" t="str">
        <f t="shared" si="27"/>
        <v>110107100Ч0020600</v>
      </c>
    </row>
    <row r="866" spans="1:9">
      <c r="A866" s="54" t="s">
        <v>1504</v>
      </c>
      <c r="B866" s="262" t="s">
        <v>274</v>
      </c>
      <c r="C866" s="262" t="s">
        <v>1589</v>
      </c>
      <c r="D866" s="262" t="s">
        <v>1482</v>
      </c>
      <c r="E866" s="263" t="s">
        <v>1505</v>
      </c>
      <c r="F866" s="369">
        <v>688000</v>
      </c>
      <c r="G866" s="369">
        <v>688000</v>
      </c>
      <c r="H866" s="368">
        <f t="shared" si="28"/>
        <v>100</v>
      </c>
      <c r="I866" s="147" t="str">
        <f t="shared" si="27"/>
        <v>110107100Ч0020610</v>
      </c>
    </row>
    <row r="867" spans="1:9" ht="51">
      <c r="A867" s="54" t="s">
        <v>435</v>
      </c>
      <c r="B867" s="262" t="s">
        <v>274</v>
      </c>
      <c r="C867" s="262" t="s">
        <v>1589</v>
      </c>
      <c r="D867" s="262" t="s">
        <v>1482</v>
      </c>
      <c r="E867" s="263" t="s">
        <v>436</v>
      </c>
      <c r="F867" s="369">
        <v>688000</v>
      </c>
      <c r="G867" s="369">
        <v>688000</v>
      </c>
      <c r="H867" s="368">
        <f t="shared" si="28"/>
        <v>100</v>
      </c>
      <c r="I867" s="147" t="str">
        <f t="shared" si="27"/>
        <v>110107100Ч0020611</v>
      </c>
    </row>
    <row r="868" spans="1:9">
      <c r="A868" s="54" t="s">
        <v>254</v>
      </c>
      <c r="B868" s="262" t="s">
        <v>274</v>
      </c>
      <c r="C868" s="262" t="s">
        <v>469</v>
      </c>
      <c r="D868" s="262" t="s">
        <v>1468</v>
      </c>
      <c r="E868" s="263" t="s">
        <v>1468</v>
      </c>
      <c r="F868" s="369">
        <v>1641610.6</v>
      </c>
      <c r="G868" s="369">
        <v>1624921.02</v>
      </c>
      <c r="H868" s="368">
        <f t="shared" si="28"/>
        <v>98.983341116340256</v>
      </c>
      <c r="I868" s="147" t="str">
        <f t="shared" si="27"/>
        <v>1102</v>
      </c>
    </row>
    <row r="869" spans="1:9" ht="25.5">
      <c r="A869" s="54" t="s">
        <v>1913</v>
      </c>
      <c r="B869" s="262" t="s">
        <v>274</v>
      </c>
      <c r="C869" s="262" t="s">
        <v>469</v>
      </c>
      <c r="D869" s="262" t="s">
        <v>1128</v>
      </c>
      <c r="E869" s="263" t="s">
        <v>1468</v>
      </c>
      <c r="F869" s="369">
        <v>1641610.6</v>
      </c>
      <c r="G869" s="369">
        <v>1624921.02</v>
      </c>
      <c r="H869" s="368">
        <f t="shared" si="28"/>
        <v>98.983341116340256</v>
      </c>
      <c r="I869" s="147" t="str">
        <f t="shared" si="27"/>
        <v>11020700000000</v>
      </c>
    </row>
    <row r="870" spans="1:9" ht="25.5">
      <c r="A870" s="54" t="s">
        <v>568</v>
      </c>
      <c r="B870" s="262" t="s">
        <v>274</v>
      </c>
      <c r="C870" s="262" t="s">
        <v>469</v>
      </c>
      <c r="D870" s="262" t="s">
        <v>1129</v>
      </c>
      <c r="E870" s="263" t="s">
        <v>1468</v>
      </c>
      <c r="F870" s="369">
        <v>1441610.6</v>
      </c>
      <c r="G870" s="369">
        <v>1624921.02</v>
      </c>
      <c r="H870" s="368">
        <f t="shared" si="28"/>
        <v>112.71566815615812</v>
      </c>
      <c r="I870" s="147" t="str">
        <f t="shared" si="27"/>
        <v>11020710000000</v>
      </c>
    </row>
    <row r="871" spans="1:9" ht="114.75">
      <c r="A871" s="54" t="s">
        <v>1471</v>
      </c>
      <c r="B871" s="262" t="s">
        <v>274</v>
      </c>
      <c r="C871" s="262" t="s">
        <v>469</v>
      </c>
      <c r="D871" s="262" t="s">
        <v>1472</v>
      </c>
      <c r="E871" s="263" t="s">
        <v>1468</v>
      </c>
      <c r="F871" s="369">
        <v>707984.6</v>
      </c>
      <c r="G871" s="369">
        <v>707984.6</v>
      </c>
      <c r="H871" s="368">
        <f t="shared" si="28"/>
        <v>100</v>
      </c>
      <c r="I871" s="147" t="str">
        <f t="shared" si="27"/>
        <v>11020710040000</v>
      </c>
    </row>
    <row r="872" spans="1:9" ht="38.25">
      <c r="A872" s="54" t="s">
        <v>1763</v>
      </c>
      <c r="B872" s="262" t="s">
        <v>274</v>
      </c>
      <c r="C872" s="262" t="s">
        <v>469</v>
      </c>
      <c r="D872" s="262" t="s">
        <v>1472</v>
      </c>
      <c r="E872" s="263" t="s">
        <v>1764</v>
      </c>
      <c r="F872" s="369">
        <v>707984.6</v>
      </c>
      <c r="G872" s="369">
        <v>707984.6</v>
      </c>
      <c r="H872" s="368">
        <f t="shared" si="28"/>
        <v>100</v>
      </c>
      <c r="I872" s="147" t="str">
        <f t="shared" si="27"/>
        <v>11020710040000600</v>
      </c>
    </row>
    <row r="873" spans="1:9">
      <c r="A873" s="54" t="s">
        <v>1504</v>
      </c>
      <c r="B873" s="262" t="s">
        <v>274</v>
      </c>
      <c r="C873" s="262" t="s">
        <v>469</v>
      </c>
      <c r="D873" s="262" t="s">
        <v>1472</v>
      </c>
      <c r="E873" s="263" t="s">
        <v>1505</v>
      </c>
      <c r="F873" s="369">
        <v>707984.6</v>
      </c>
      <c r="G873" s="369">
        <v>707984.6</v>
      </c>
      <c r="H873" s="368">
        <f t="shared" si="28"/>
        <v>100</v>
      </c>
      <c r="I873" s="147" t="str">
        <f t="shared" ref="I873:I936" si="29">CONCATENATE(C873,D873,E873)</f>
        <v>11020710040000610</v>
      </c>
    </row>
    <row r="874" spans="1:9" ht="51">
      <c r="A874" s="54" t="s">
        <v>435</v>
      </c>
      <c r="B874" s="262" t="s">
        <v>274</v>
      </c>
      <c r="C874" s="262" t="s">
        <v>469</v>
      </c>
      <c r="D874" s="262" t="s">
        <v>1472</v>
      </c>
      <c r="E874" s="263" t="s">
        <v>436</v>
      </c>
      <c r="F874" s="369">
        <v>707984.6</v>
      </c>
      <c r="G874" s="369">
        <v>707984.6</v>
      </c>
      <c r="H874" s="368">
        <f t="shared" si="28"/>
        <v>100</v>
      </c>
      <c r="I874" s="147" t="str">
        <f t="shared" si="29"/>
        <v>11020710040000611</v>
      </c>
    </row>
    <row r="875" spans="1:9" ht="76.5">
      <c r="A875" s="54" t="s">
        <v>471</v>
      </c>
      <c r="B875" s="262" t="s">
        <v>274</v>
      </c>
      <c r="C875" s="262" t="s">
        <v>469</v>
      </c>
      <c r="D875" s="262" t="s">
        <v>817</v>
      </c>
      <c r="E875" s="263" t="s">
        <v>1468</v>
      </c>
      <c r="F875" s="369">
        <v>516026</v>
      </c>
      <c r="G875" s="369">
        <v>513047.72</v>
      </c>
      <c r="H875" s="368">
        <f t="shared" si="28"/>
        <v>99.42284303504087</v>
      </c>
      <c r="I875" s="147" t="str">
        <f t="shared" si="29"/>
        <v>11020710080020</v>
      </c>
    </row>
    <row r="876" spans="1:9" ht="38.25">
      <c r="A876" s="54" t="s">
        <v>1763</v>
      </c>
      <c r="B876" s="262" t="s">
        <v>274</v>
      </c>
      <c r="C876" s="262" t="s">
        <v>469</v>
      </c>
      <c r="D876" s="262" t="s">
        <v>817</v>
      </c>
      <c r="E876" s="263" t="s">
        <v>1764</v>
      </c>
      <c r="F876" s="369">
        <v>516026</v>
      </c>
      <c r="G876" s="369">
        <v>513047.72</v>
      </c>
      <c r="H876" s="368">
        <f t="shared" si="28"/>
        <v>99.42284303504087</v>
      </c>
      <c r="I876" s="147" t="str">
        <f t="shared" si="29"/>
        <v>11020710080020600</v>
      </c>
    </row>
    <row r="877" spans="1:9">
      <c r="A877" s="54" t="s">
        <v>1504</v>
      </c>
      <c r="B877" s="262" t="s">
        <v>274</v>
      </c>
      <c r="C877" s="262" t="s">
        <v>469</v>
      </c>
      <c r="D877" s="262" t="s">
        <v>817</v>
      </c>
      <c r="E877" s="263" t="s">
        <v>1505</v>
      </c>
      <c r="F877" s="369">
        <v>516026</v>
      </c>
      <c r="G877" s="369">
        <v>513047.72</v>
      </c>
      <c r="H877" s="368">
        <f t="shared" si="28"/>
        <v>99.42284303504087</v>
      </c>
      <c r="I877" s="147" t="str">
        <f t="shared" si="29"/>
        <v>11020710080020610</v>
      </c>
    </row>
    <row r="878" spans="1:9">
      <c r="A878" s="54" t="s">
        <v>454</v>
      </c>
      <c r="B878" s="262" t="s">
        <v>274</v>
      </c>
      <c r="C878" s="262" t="s">
        <v>469</v>
      </c>
      <c r="D878" s="262" t="s">
        <v>817</v>
      </c>
      <c r="E878" s="263" t="s">
        <v>455</v>
      </c>
      <c r="F878" s="369">
        <v>516026</v>
      </c>
      <c r="G878" s="369">
        <v>513047.72</v>
      </c>
      <c r="H878" s="368">
        <f t="shared" si="28"/>
        <v>99.42284303504087</v>
      </c>
      <c r="I878" s="147" t="str">
        <f t="shared" si="29"/>
        <v>11020710080020612</v>
      </c>
    </row>
    <row r="879" spans="1:9" ht="63.75">
      <c r="A879" s="54" t="s">
        <v>1557</v>
      </c>
      <c r="B879" s="262" t="s">
        <v>274</v>
      </c>
      <c r="C879" s="262" t="s">
        <v>469</v>
      </c>
      <c r="D879" s="262" t="s">
        <v>1558</v>
      </c>
      <c r="E879" s="263" t="s">
        <v>1468</v>
      </c>
      <c r="F879" s="369">
        <v>217600</v>
      </c>
      <c r="G879" s="369">
        <v>217600</v>
      </c>
      <c r="H879" s="368">
        <f t="shared" si="28"/>
        <v>100</v>
      </c>
      <c r="I879" s="147" t="str">
        <f t="shared" si="29"/>
        <v>1102071008Ф020</v>
      </c>
    </row>
    <row r="880" spans="1:9" ht="38.25">
      <c r="A880" s="54" t="s">
        <v>1763</v>
      </c>
      <c r="B880" s="262" t="s">
        <v>274</v>
      </c>
      <c r="C880" s="262" t="s">
        <v>469</v>
      </c>
      <c r="D880" s="262" t="s">
        <v>1558</v>
      </c>
      <c r="E880" s="263" t="s">
        <v>1764</v>
      </c>
      <c r="F880" s="369">
        <v>217600</v>
      </c>
      <c r="G880" s="369">
        <v>217600</v>
      </c>
      <c r="H880" s="368">
        <f t="shared" si="28"/>
        <v>100</v>
      </c>
      <c r="I880" s="147" t="str">
        <f t="shared" si="29"/>
        <v>1102071008Ф020600</v>
      </c>
    </row>
    <row r="881" spans="1:9">
      <c r="A881" s="54" t="s">
        <v>1504</v>
      </c>
      <c r="B881" s="262" t="s">
        <v>274</v>
      </c>
      <c r="C881" s="262" t="s">
        <v>469</v>
      </c>
      <c r="D881" s="262" t="s">
        <v>1558</v>
      </c>
      <c r="E881" s="263" t="s">
        <v>1505</v>
      </c>
      <c r="F881" s="369">
        <v>217600</v>
      </c>
      <c r="G881" s="369">
        <v>217600</v>
      </c>
      <c r="H881" s="368">
        <f t="shared" si="28"/>
        <v>100</v>
      </c>
      <c r="I881" s="147" t="str">
        <f t="shared" si="29"/>
        <v>1102071008Ф020610</v>
      </c>
    </row>
    <row r="882" spans="1:9">
      <c r="A882" s="54" t="s">
        <v>454</v>
      </c>
      <c r="B882" s="262" t="s">
        <v>274</v>
      </c>
      <c r="C882" s="262" t="s">
        <v>469</v>
      </c>
      <c r="D882" s="262" t="s">
        <v>1558</v>
      </c>
      <c r="E882" s="263" t="s">
        <v>455</v>
      </c>
      <c r="F882" s="369">
        <v>217600</v>
      </c>
      <c r="G882" s="369">
        <v>217600</v>
      </c>
      <c r="H882" s="368">
        <f t="shared" si="28"/>
        <v>100</v>
      </c>
      <c r="I882" s="147" t="str">
        <f t="shared" si="29"/>
        <v>1102071008Ф020612</v>
      </c>
    </row>
    <row r="883" spans="1:9" ht="25.5">
      <c r="A883" s="54" t="s">
        <v>570</v>
      </c>
      <c r="B883" s="262" t="s">
        <v>274</v>
      </c>
      <c r="C883" s="262" t="s">
        <v>469</v>
      </c>
      <c r="D883" s="262" t="s">
        <v>1130</v>
      </c>
      <c r="E883" s="263" t="s">
        <v>1468</v>
      </c>
      <c r="F883" s="369">
        <v>200000</v>
      </c>
      <c r="G883" s="369">
        <v>186288.7</v>
      </c>
      <c r="H883" s="368">
        <f t="shared" si="28"/>
        <v>93.144350000000003</v>
      </c>
      <c r="I883" s="147" t="str">
        <f t="shared" si="29"/>
        <v>11020720000000</v>
      </c>
    </row>
    <row r="884" spans="1:9" ht="76.5">
      <c r="A884" s="54" t="s">
        <v>598</v>
      </c>
      <c r="B884" s="262" t="s">
        <v>274</v>
      </c>
      <c r="C884" s="262" t="s">
        <v>469</v>
      </c>
      <c r="D884" s="262" t="s">
        <v>818</v>
      </c>
      <c r="E884" s="263" t="s">
        <v>1468</v>
      </c>
      <c r="F884" s="369">
        <v>16900</v>
      </c>
      <c r="G884" s="369">
        <v>10000</v>
      </c>
      <c r="H884" s="368">
        <f t="shared" si="28"/>
        <v>59.171597633136095</v>
      </c>
      <c r="I884" s="147" t="str">
        <f t="shared" si="29"/>
        <v>11020720080010</v>
      </c>
    </row>
    <row r="885" spans="1:9" ht="38.25">
      <c r="A885" s="54" t="s">
        <v>1763</v>
      </c>
      <c r="B885" s="262" t="s">
        <v>274</v>
      </c>
      <c r="C885" s="262" t="s">
        <v>469</v>
      </c>
      <c r="D885" s="262" t="s">
        <v>818</v>
      </c>
      <c r="E885" s="263" t="s">
        <v>1764</v>
      </c>
      <c r="F885" s="369">
        <v>16900</v>
      </c>
      <c r="G885" s="369">
        <v>10000</v>
      </c>
      <c r="H885" s="368">
        <f t="shared" si="28"/>
        <v>59.171597633136095</v>
      </c>
      <c r="I885" s="147" t="str">
        <f t="shared" si="29"/>
        <v>11020720080010600</v>
      </c>
    </row>
    <row r="886" spans="1:9">
      <c r="A886" s="54" t="s">
        <v>1504</v>
      </c>
      <c r="B886" s="262" t="s">
        <v>274</v>
      </c>
      <c r="C886" s="262" t="s">
        <v>469</v>
      </c>
      <c r="D886" s="262" t="s">
        <v>818</v>
      </c>
      <c r="E886" s="263" t="s">
        <v>1505</v>
      </c>
      <c r="F886" s="369">
        <v>16900</v>
      </c>
      <c r="G886" s="369">
        <v>10000</v>
      </c>
      <c r="H886" s="368">
        <f t="shared" si="28"/>
        <v>59.171597633136095</v>
      </c>
      <c r="I886" s="147" t="str">
        <f t="shared" si="29"/>
        <v>11020720080010610</v>
      </c>
    </row>
    <row r="887" spans="1:9">
      <c r="A887" s="54" t="s">
        <v>454</v>
      </c>
      <c r="B887" s="262" t="s">
        <v>274</v>
      </c>
      <c r="C887" s="262" t="s">
        <v>469</v>
      </c>
      <c r="D887" s="262" t="s">
        <v>818</v>
      </c>
      <c r="E887" s="263" t="s">
        <v>455</v>
      </c>
      <c r="F887" s="369">
        <v>16900</v>
      </c>
      <c r="G887" s="369">
        <v>10000</v>
      </c>
      <c r="H887" s="368">
        <f t="shared" si="28"/>
        <v>59.171597633136095</v>
      </c>
      <c r="I887" s="147" t="str">
        <f t="shared" si="29"/>
        <v>11020720080010612</v>
      </c>
    </row>
    <row r="888" spans="1:9" ht="76.5">
      <c r="A888" s="54" t="s">
        <v>472</v>
      </c>
      <c r="B888" s="262" t="s">
        <v>274</v>
      </c>
      <c r="C888" s="262" t="s">
        <v>469</v>
      </c>
      <c r="D888" s="262" t="s">
        <v>819</v>
      </c>
      <c r="E888" s="263" t="s">
        <v>1468</v>
      </c>
      <c r="F888" s="369">
        <v>176400</v>
      </c>
      <c r="G888" s="369">
        <v>176288.7</v>
      </c>
      <c r="H888" s="368">
        <f t="shared" si="28"/>
        <v>99.936904761904771</v>
      </c>
      <c r="I888" s="147" t="str">
        <f t="shared" si="29"/>
        <v>11020720080020</v>
      </c>
    </row>
    <row r="889" spans="1:9" ht="38.25">
      <c r="A889" s="54" t="s">
        <v>1763</v>
      </c>
      <c r="B889" s="262" t="s">
        <v>274</v>
      </c>
      <c r="C889" s="262" t="s">
        <v>469</v>
      </c>
      <c r="D889" s="262" t="s">
        <v>819</v>
      </c>
      <c r="E889" s="263" t="s">
        <v>1764</v>
      </c>
      <c r="F889" s="369">
        <v>176400</v>
      </c>
      <c r="G889" s="369">
        <v>176288.7</v>
      </c>
      <c r="H889" s="368">
        <f t="shared" si="28"/>
        <v>99.936904761904771</v>
      </c>
      <c r="I889" s="147" t="str">
        <f t="shared" si="29"/>
        <v>11020720080020600</v>
      </c>
    </row>
    <row r="890" spans="1:9">
      <c r="A890" s="54" t="s">
        <v>1504</v>
      </c>
      <c r="B890" s="262" t="s">
        <v>274</v>
      </c>
      <c r="C890" s="262" t="s">
        <v>469</v>
      </c>
      <c r="D890" s="262" t="s">
        <v>819</v>
      </c>
      <c r="E890" s="263" t="s">
        <v>1505</v>
      </c>
      <c r="F890" s="369">
        <v>176400</v>
      </c>
      <c r="G890" s="369">
        <v>176288.7</v>
      </c>
      <c r="H890" s="368">
        <f t="shared" si="28"/>
        <v>99.936904761904771</v>
      </c>
      <c r="I890" s="147" t="str">
        <f t="shared" si="29"/>
        <v>11020720080020610</v>
      </c>
    </row>
    <row r="891" spans="1:9">
      <c r="A891" s="54" t="s">
        <v>454</v>
      </c>
      <c r="B891" s="262" t="s">
        <v>274</v>
      </c>
      <c r="C891" s="262" t="s">
        <v>469</v>
      </c>
      <c r="D891" s="262" t="s">
        <v>819</v>
      </c>
      <c r="E891" s="263" t="s">
        <v>455</v>
      </c>
      <c r="F891" s="369">
        <v>176400</v>
      </c>
      <c r="G891" s="369">
        <v>176288.7</v>
      </c>
      <c r="H891" s="368">
        <f t="shared" si="28"/>
        <v>99.936904761904771</v>
      </c>
      <c r="I891" s="147" t="str">
        <f t="shared" si="29"/>
        <v>11020720080020612</v>
      </c>
    </row>
    <row r="892" spans="1:9" ht="102">
      <c r="A892" s="54" t="s">
        <v>473</v>
      </c>
      <c r="B892" s="262" t="s">
        <v>274</v>
      </c>
      <c r="C892" s="262" t="s">
        <v>469</v>
      </c>
      <c r="D892" s="262" t="s">
        <v>820</v>
      </c>
      <c r="E892" s="263" t="s">
        <v>1468</v>
      </c>
      <c r="F892" s="369">
        <v>6700</v>
      </c>
      <c r="G892" s="369">
        <v>0</v>
      </c>
      <c r="H892" s="368">
        <f t="shared" si="28"/>
        <v>0</v>
      </c>
      <c r="I892" s="147" t="str">
        <f t="shared" si="29"/>
        <v>11020720080030</v>
      </c>
    </row>
    <row r="893" spans="1:9" ht="38.25">
      <c r="A893" s="54" t="s">
        <v>1763</v>
      </c>
      <c r="B893" s="262" t="s">
        <v>274</v>
      </c>
      <c r="C893" s="262" t="s">
        <v>469</v>
      </c>
      <c r="D893" s="262" t="s">
        <v>820</v>
      </c>
      <c r="E893" s="263" t="s">
        <v>1764</v>
      </c>
      <c r="F893" s="369">
        <v>6700</v>
      </c>
      <c r="G893" s="369">
        <v>0</v>
      </c>
      <c r="H893" s="368">
        <f t="shared" si="28"/>
        <v>0</v>
      </c>
      <c r="I893" s="147" t="str">
        <f t="shared" si="29"/>
        <v>11020720080030600</v>
      </c>
    </row>
    <row r="894" spans="1:9">
      <c r="A894" s="54" t="s">
        <v>1504</v>
      </c>
      <c r="B894" s="262" t="s">
        <v>274</v>
      </c>
      <c r="C894" s="262" t="s">
        <v>469</v>
      </c>
      <c r="D894" s="262" t="s">
        <v>820</v>
      </c>
      <c r="E894" s="263" t="s">
        <v>1505</v>
      </c>
      <c r="F894" s="369">
        <v>6700</v>
      </c>
      <c r="G894" s="369">
        <v>0</v>
      </c>
      <c r="H894" s="368">
        <f t="shared" si="28"/>
        <v>0</v>
      </c>
      <c r="I894" s="147" t="str">
        <f t="shared" si="29"/>
        <v>11020720080030610</v>
      </c>
    </row>
    <row r="895" spans="1:9">
      <c r="A895" s="54" t="s">
        <v>454</v>
      </c>
      <c r="B895" s="262" t="s">
        <v>274</v>
      </c>
      <c r="C895" s="262" t="s">
        <v>469</v>
      </c>
      <c r="D895" s="262" t="s">
        <v>820</v>
      </c>
      <c r="E895" s="263" t="s">
        <v>455</v>
      </c>
      <c r="F895" s="369">
        <v>6700</v>
      </c>
      <c r="G895" s="369">
        <v>0</v>
      </c>
      <c r="H895" s="368">
        <f t="shared" si="28"/>
        <v>0</v>
      </c>
      <c r="I895" s="147" t="str">
        <f t="shared" si="29"/>
        <v>11020720080030612</v>
      </c>
    </row>
    <row r="896" spans="1:9" ht="25.5">
      <c r="A896" s="54" t="s">
        <v>227</v>
      </c>
      <c r="B896" s="262" t="s">
        <v>89</v>
      </c>
      <c r="C896" s="262" t="s">
        <v>1468</v>
      </c>
      <c r="D896" s="262" t="s">
        <v>1468</v>
      </c>
      <c r="E896" s="263" t="s">
        <v>1468</v>
      </c>
      <c r="F896" s="369">
        <v>8057054.5</v>
      </c>
      <c r="G896" s="369">
        <f>G897+G909+G929+G963</f>
        <v>7194197.2000000002</v>
      </c>
      <c r="H896" s="368">
        <f t="shared" si="28"/>
        <v>89.290660749533231</v>
      </c>
      <c r="I896" s="147" t="str">
        <f t="shared" si="29"/>
        <v/>
      </c>
    </row>
    <row r="897" spans="1:9">
      <c r="A897" s="54" t="s">
        <v>278</v>
      </c>
      <c r="B897" s="262" t="s">
        <v>89</v>
      </c>
      <c r="C897" s="262" t="s">
        <v>1357</v>
      </c>
      <c r="D897" s="262" t="s">
        <v>1468</v>
      </c>
      <c r="E897" s="263" t="s">
        <v>1468</v>
      </c>
      <c r="F897" s="369">
        <v>1147219.52</v>
      </c>
      <c r="G897" s="369">
        <v>933817.05</v>
      </c>
      <c r="H897" s="368">
        <f t="shared" si="28"/>
        <v>81.398288097468921</v>
      </c>
      <c r="I897" s="147" t="str">
        <f t="shared" si="29"/>
        <v>0100</v>
      </c>
    </row>
    <row r="898" spans="1:9">
      <c r="A898" s="54" t="s">
        <v>261</v>
      </c>
      <c r="B898" s="262" t="s">
        <v>89</v>
      </c>
      <c r="C898" s="262" t="s">
        <v>424</v>
      </c>
      <c r="D898" s="262" t="s">
        <v>1468</v>
      </c>
      <c r="E898" s="263" t="s">
        <v>1468</v>
      </c>
      <c r="F898" s="369">
        <v>1147219.52</v>
      </c>
      <c r="G898" s="369">
        <v>933817.05</v>
      </c>
      <c r="H898" s="368">
        <f t="shared" si="28"/>
        <v>81.398288097468921</v>
      </c>
      <c r="I898" s="147" t="str">
        <f t="shared" si="29"/>
        <v>0113</v>
      </c>
    </row>
    <row r="899" spans="1:9" ht="25.5">
      <c r="A899" s="54" t="s">
        <v>710</v>
      </c>
      <c r="B899" s="262" t="s">
        <v>89</v>
      </c>
      <c r="C899" s="262" t="s">
        <v>424</v>
      </c>
      <c r="D899" s="262" t="s">
        <v>1151</v>
      </c>
      <c r="E899" s="263" t="s">
        <v>1468</v>
      </c>
      <c r="F899" s="369">
        <v>1147219.52</v>
      </c>
      <c r="G899" s="369">
        <v>933817.05</v>
      </c>
      <c r="H899" s="368">
        <f t="shared" si="28"/>
        <v>81.398288097468921</v>
      </c>
      <c r="I899" s="147" t="str">
        <f t="shared" si="29"/>
        <v>01139000000000</v>
      </c>
    </row>
    <row r="900" spans="1:9" ht="25.5">
      <c r="A900" s="54" t="s">
        <v>520</v>
      </c>
      <c r="B900" s="262" t="s">
        <v>89</v>
      </c>
      <c r="C900" s="262" t="s">
        <v>424</v>
      </c>
      <c r="D900" s="262" t="s">
        <v>1155</v>
      </c>
      <c r="E900" s="263" t="s">
        <v>1468</v>
      </c>
      <c r="F900" s="369">
        <v>1147219.52</v>
      </c>
      <c r="G900" s="369">
        <v>933817.05</v>
      </c>
      <c r="H900" s="368">
        <f t="shared" si="28"/>
        <v>81.398288097468921</v>
      </c>
      <c r="I900" s="147" t="str">
        <f t="shared" si="29"/>
        <v>01139090000000</v>
      </c>
    </row>
    <row r="901" spans="1:9" ht="25.5">
      <c r="A901" s="54" t="s">
        <v>520</v>
      </c>
      <c r="B901" s="262" t="s">
        <v>89</v>
      </c>
      <c r="C901" s="262" t="s">
        <v>424</v>
      </c>
      <c r="D901" s="262" t="s">
        <v>923</v>
      </c>
      <c r="E901" s="263" t="s">
        <v>1468</v>
      </c>
      <c r="F901" s="369">
        <v>2250</v>
      </c>
      <c r="G901" s="369">
        <v>2250</v>
      </c>
      <c r="H901" s="368">
        <f t="shared" si="28"/>
        <v>100</v>
      </c>
      <c r="I901" s="147" t="str">
        <f t="shared" si="29"/>
        <v>01139090080000</v>
      </c>
    </row>
    <row r="902" spans="1:9">
      <c r="A902" s="54" t="s">
        <v>1757</v>
      </c>
      <c r="B902" s="262" t="s">
        <v>89</v>
      </c>
      <c r="C902" s="262" t="s">
        <v>424</v>
      </c>
      <c r="D902" s="262" t="s">
        <v>923</v>
      </c>
      <c r="E902" s="263" t="s">
        <v>1758</v>
      </c>
      <c r="F902" s="369">
        <v>2250</v>
      </c>
      <c r="G902" s="369">
        <v>2250</v>
      </c>
      <c r="H902" s="368">
        <f t="shared" si="28"/>
        <v>100</v>
      </c>
      <c r="I902" s="147" t="str">
        <f t="shared" si="29"/>
        <v>01139090080000800</v>
      </c>
    </row>
    <row r="903" spans="1:9">
      <c r="A903" s="54" t="s">
        <v>1507</v>
      </c>
      <c r="B903" s="262" t="s">
        <v>89</v>
      </c>
      <c r="C903" s="262" t="s">
        <v>424</v>
      </c>
      <c r="D903" s="262" t="s">
        <v>923</v>
      </c>
      <c r="E903" s="263" t="s">
        <v>1508</v>
      </c>
      <c r="F903" s="369">
        <v>2250</v>
      </c>
      <c r="G903" s="369">
        <v>2250</v>
      </c>
      <c r="H903" s="368">
        <f t="shared" si="28"/>
        <v>100</v>
      </c>
      <c r="I903" s="147" t="str">
        <f t="shared" si="29"/>
        <v>01139090080000850</v>
      </c>
    </row>
    <row r="904" spans="1:9">
      <c r="A904" s="54" t="s">
        <v>1198</v>
      </c>
      <c r="B904" s="262" t="s">
        <v>89</v>
      </c>
      <c r="C904" s="262" t="s">
        <v>424</v>
      </c>
      <c r="D904" s="262" t="s">
        <v>923</v>
      </c>
      <c r="E904" s="263" t="s">
        <v>1199</v>
      </c>
      <c r="F904" s="369">
        <v>2250</v>
      </c>
      <c r="G904" s="369">
        <v>2250</v>
      </c>
      <c r="H904" s="368">
        <f t="shared" ref="H904:H967" si="30">G904/F904*100</f>
        <v>100</v>
      </c>
      <c r="I904" s="147" t="str">
        <f t="shared" si="29"/>
        <v>01139090080000853</v>
      </c>
    </row>
    <row r="905" spans="1:9" ht="51">
      <c r="A905" s="54" t="s">
        <v>621</v>
      </c>
      <c r="B905" s="262" t="s">
        <v>89</v>
      </c>
      <c r="C905" s="262" t="s">
        <v>424</v>
      </c>
      <c r="D905" s="262" t="s">
        <v>862</v>
      </c>
      <c r="E905" s="263" t="s">
        <v>1468</v>
      </c>
      <c r="F905" s="369">
        <v>1144969.52</v>
      </c>
      <c r="G905" s="369">
        <v>931567.05</v>
      </c>
      <c r="H905" s="368">
        <f t="shared" si="30"/>
        <v>81.361733542042231</v>
      </c>
      <c r="I905" s="147" t="str">
        <f t="shared" si="29"/>
        <v>011390900Д0000</v>
      </c>
    </row>
    <row r="906" spans="1:9" ht="25.5">
      <c r="A906" s="54" t="s">
        <v>1755</v>
      </c>
      <c r="B906" s="262" t="s">
        <v>89</v>
      </c>
      <c r="C906" s="262" t="s">
        <v>424</v>
      </c>
      <c r="D906" s="262" t="s">
        <v>862</v>
      </c>
      <c r="E906" s="263" t="s">
        <v>1756</v>
      </c>
      <c r="F906" s="369">
        <v>1144969.52</v>
      </c>
      <c r="G906" s="369">
        <v>931567.05</v>
      </c>
      <c r="H906" s="368">
        <f t="shared" si="30"/>
        <v>81.361733542042231</v>
      </c>
      <c r="I906" s="147" t="str">
        <f t="shared" si="29"/>
        <v>011390900Д0000200</v>
      </c>
    </row>
    <row r="907" spans="1:9" ht="38.25">
      <c r="A907" s="54" t="s">
        <v>1502</v>
      </c>
      <c r="B907" s="262" t="s">
        <v>89</v>
      </c>
      <c r="C907" s="262" t="s">
        <v>424</v>
      </c>
      <c r="D907" s="262" t="s">
        <v>862</v>
      </c>
      <c r="E907" s="263" t="s">
        <v>1503</v>
      </c>
      <c r="F907" s="369">
        <v>1144969.52</v>
      </c>
      <c r="G907" s="369">
        <v>931567.05</v>
      </c>
      <c r="H907" s="368">
        <f t="shared" si="30"/>
        <v>81.361733542042231</v>
      </c>
      <c r="I907" s="147" t="str">
        <f t="shared" si="29"/>
        <v>011390900Д0000240</v>
      </c>
    </row>
    <row r="908" spans="1:9">
      <c r="A908" s="54" t="s">
        <v>1577</v>
      </c>
      <c r="B908" s="262" t="s">
        <v>89</v>
      </c>
      <c r="C908" s="262" t="s">
        <v>424</v>
      </c>
      <c r="D908" s="262" t="s">
        <v>862</v>
      </c>
      <c r="E908" s="263" t="s">
        <v>416</v>
      </c>
      <c r="F908" s="369">
        <v>1144969.52</v>
      </c>
      <c r="G908" s="369">
        <v>931567.05</v>
      </c>
      <c r="H908" s="368">
        <f t="shared" si="30"/>
        <v>81.361733542042231</v>
      </c>
      <c r="I908" s="147" t="str">
        <f t="shared" si="29"/>
        <v>011390900Д0000244</v>
      </c>
    </row>
    <row r="909" spans="1:9">
      <c r="A909" s="54" t="s">
        <v>218</v>
      </c>
      <c r="B909" s="262" t="s">
        <v>89</v>
      </c>
      <c r="C909" s="262" t="s">
        <v>1362</v>
      </c>
      <c r="D909" s="262" t="s">
        <v>1468</v>
      </c>
      <c r="E909" s="263" t="s">
        <v>1468</v>
      </c>
      <c r="F909" s="369">
        <v>1590032.18</v>
      </c>
      <c r="G909" s="369">
        <v>1359850.1</v>
      </c>
      <c r="H909" s="368">
        <f t="shared" si="30"/>
        <v>85.523432613797794</v>
      </c>
      <c r="I909" s="147" t="str">
        <f t="shared" si="29"/>
        <v>0400</v>
      </c>
    </row>
    <row r="910" spans="1:9">
      <c r="A910" s="54" t="s">
        <v>179</v>
      </c>
      <c r="B910" s="262" t="s">
        <v>89</v>
      </c>
      <c r="C910" s="262" t="s">
        <v>448</v>
      </c>
      <c r="D910" s="262" t="s">
        <v>1468</v>
      </c>
      <c r="E910" s="263" t="s">
        <v>1468</v>
      </c>
      <c r="F910" s="369">
        <v>1590032.18</v>
      </c>
      <c r="G910" s="369">
        <v>1359850.1</v>
      </c>
      <c r="H910" s="368">
        <f t="shared" si="30"/>
        <v>85.523432613797794</v>
      </c>
      <c r="I910" s="147" t="str">
        <f t="shared" si="29"/>
        <v>0412</v>
      </c>
    </row>
    <row r="911" spans="1:9" ht="38.25">
      <c r="A911" s="54" t="s">
        <v>705</v>
      </c>
      <c r="B911" s="262" t="s">
        <v>89</v>
      </c>
      <c r="C911" s="262" t="s">
        <v>448</v>
      </c>
      <c r="D911" s="262" t="s">
        <v>1137</v>
      </c>
      <c r="E911" s="263" t="s">
        <v>1468</v>
      </c>
      <c r="F911" s="369">
        <v>830561.7</v>
      </c>
      <c r="G911" s="369">
        <v>830561.7</v>
      </c>
      <c r="H911" s="368">
        <f t="shared" si="30"/>
        <v>100</v>
      </c>
      <c r="I911" s="147" t="str">
        <f t="shared" si="29"/>
        <v>04121000000000</v>
      </c>
    </row>
    <row r="912" spans="1:9" ht="25.5">
      <c r="A912" s="54" t="s">
        <v>1464</v>
      </c>
      <c r="B912" s="262" t="s">
        <v>89</v>
      </c>
      <c r="C912" s="262" t="s">
        <v>448</v>
      </c>
      <c r="D912" s="262" t="s">
        <v>1465</v>
      </c>
      <c r="E912" s="263" t="s">
        <v>1468</v>
      </c>
      <c r="F912" s="369">
        <v>830561.7</v>
      </c>
      <c r="G912" s="369">
        <v>830561.7</v>
      </c>
      <c r="H912" s="368">
        <f t="shared" si="30"/>
        <v>100</v>
      </c>
      <c r="I912" s="147" t="str">
        <f t="shared" si="29"/>
        <v>04121040000000</v>
      </c>
    </row>
    <row r="913" spans="1:9" ht="63.75">
      <c r="A913" s="54" t="s">
        <v>1605</v>
      </c>
      <c r="B913" s="262" t="s">
        <v>89</v>
      </c>
      <c r="C913" s="262" t="s">
        <v>448</v>
      </c>
      <c r="D913" s="262" t="s">
        <v>1606</v>
      </c>
      <c r="E913" s="263" t="s">
        <v>1468</v>
      </c>
      <c r="F913" s="369">
        <v>830561.7</v>
      </c>
      <c r="G913" s="369">
        <v>830561.7</v>
      </c>
      <c r="H913" s="368">
        <f t="shared" si="30"/>
        <v>100</v>
      </c>
      <c r="I913" s="147" t="str">
        <f t="shared" si="29"/>
        <v>04121040080000</v>
      </c>
    </row>
    <row r="914" spans="1:9" ht="25.5">
      <c r="A914" s="54" t="s">
        <v>1755</v>
      </c>
      <c r="B914" s="262" t="s">
        <v>89</v>
      </c>
      <c r="C914" s="262" t="s">
        <v>448</v>
      </c>
      <c r="D914" s="262" t="s">
        <v>1606</v>
      </c>
      <c r="E914" s="263" t="s">
        <v>1756</v>
      </c>
      <c r="F914" s="369">
        <v>830561.7</v>
      </c>
      <c r="G914" s="369">
        <v>830561.7</v>
      </c>
      <c r="H914" s="368">
        <f t="shared" si="30"/>
        <v>100</v>
      </c>
      <c r="I914" s="147" t="str">
        <f t="shared" si="29"/>
        <v>04121040080000200</v>
      </c>
    </row>
    <row r="915" spans="1:9" ht="38.25">
      <c r="A915" s="54" t="s">
        <v>1502</v>
      </c>
      <c r="B915" s="262" t="s">
        <v>89</v>
      </c>
      <c r="C915" s="262" t="s">
        <v>448</v>
      </c>
      <c r="D915" s="262" t="s">
        <v>1606</v>
      </c>
      <c r="E915" s="263" t="s">
        <v>1503</v>
      </c>
      <c r="F915" s="369">
        <v>830561.7</v>
      </c>
      <c r="G915" s="369">
        <v>830561.7</v>
      </c>
      <c r="H915" s="368">
        <f t="shared" si="30"/>
        <v>100</v>
      </c>
      <c r="I915" s="147" t="str">
        <f t="shared" si="29"/>
        <v>04121040080000240</v>
      </c>
    </row>
    <row r="916" spans="1:9">
      <c r="A916" s="54" t="s">
        <v>1577</v>
      </c>
      <c r="B916" s="262" t="s">
        <v>89</v>
      </c>
      <c r="C916" s="262" t="s">
        <v>448</v>
      </c>
      <c r="D916" s="262" t="s">
        <v>1606</v>
      </c>
      <c r="E916" s="263" t="s">
        <v>416</v>
      </c>
      <c r="F916" s="369">
        <v>830561.7</v>
      </c>
      <c r="G916" s="369">
        <v>830561.7</v>
      </c>
      <c r="H916" s="368">
        <f t="shared" si="30"/>
        <v>100</v>
      </c>
      <c r="I916" s="147" t="str">
        <f t="shared" si="29"/>
        <v>04121040080000244</v>
      </c>
    </row>
    <row r="917" spans="1:9" ht="25.5">
      <c r="A917" s="54" t="s">
        <v>710</v>
      </c>
      <c r="B917" s="262" t="s">
        <v>89</v>
      </c>
      <c r="C917" s="262" t="s">
        <v>448</v>
      </c>
      <c r="D917" s="262" t="s">
        <v>1151</v>
      </c>
      <c r="E917" s="263" t="s">
        <v>1468</v>
      </c>
      <c r="F917" s="369">
        <v>759470.48</v>
      </c>
      <c r="G917" s="369">
        <v>529288.4</v>
      </c>
      <c r="H917" s="368">
        <f t="shared" si="30"/>
        <v>69.691767348218718</v>
      </c>
      <c r="I917" s="147" t="str">
        <f t="shared" si="29"/>
        <v>04129000000000</v>
      </c>
    </row>
    <row r="918" spans="1:9" ht="25.5">
      <c r="A918" s="54" t="s">
        <v>520</v>
      </c>
      <c r="B918" s="262" t="s">
        <v>89</v>
      </c>
      <c r="C918" s="262" t="s">
        <v>448</v>
      </c>
      <c r="D918" s="262" t="s">
        <v>1155</v>
      </c>
      <c r="E918" s="263" t="s">
        <v>1468</v>
      </c>
      <c r="F918" s="369">
        <v>759470.48</v>
      </c>
      <c r="G918" s="369">
        <v>529288.4</v>
      </c>
      <c r="H918" s="368">
        <f t="shared" si="30"/>
        <v>69.691767348218718</v>
      </c>
      <c r="I918" s="147" t="str">
        <f t="shared" si="29"/>
        <v>04129090000000</v>
      </c>
    </row>
    <row r="919" spans="1:9" ht="38.25">
      <c r="A919" s="54" t="s">
        <v>1856</v>
      </c>
      <c r="B919" s="262" t="s">
        <v>89</v>
      </c>
      <c r="C919" s="262" t="s">
        <v>448</v>
      </c>
      <c r="D919" s="262" t="s">
        <v>1857</v>
      </c>
      <c r="E919" s="263" t="s">
        <v>1468</v>
      </c>
      <c r="F919" s="369">
        <v>13780.48</v>
      </c>
      <c r="G919" s="369">
        <v>13759.48</v>
      </c>
      <c r="H919" s="368">
        <f t="shared" si="30"/>
        <v>99.847610533159951</v>
      </c>
      <c r="I919" s="147" t="str">
        <f t="shared" si="29"/>
        <v>04129090080010</v>
      </c>
    </row>
    <row r="920" spans="1:9">
      <c r="A920" s="54" t="s">
        <v>1757</v>
      </c>
      <c r="B920" s="262" t="s">
        <v>89</v>
      </c>
      <c r="C920" s="262" t="s">
        <v>448</v>
      </c>
      <c r="D920" s="262" t="s">
        <v>1857</v>
      </c>
      <c r="E920" s="263" t="s">
        <v>1758</v>
      </c>
      <c r="F920" s="369">
        <v>13780.48</v>
      </c>
      <c r="G920" s="369">
        <v>13759.48</v>
      </c>
      <c r="H920" s="368">
        <f t="shared" si="30"/>
        <v>99.847610533159951</v>
      </c>
      <c r="I920" s="147" t="str">
        <f t="shared" si="29"/>
        <v>04129090080010800</v>
      </c>
    </row>
    <row r="921" spans="1:9">
      <c r="A921" s="54" t="s">
        <v>1516</v>
      </c>
      <c r="B921" s="262" t="s">
        <v>89</v>
      </c>
      <c r="C921" s="262" t="s">
        <v>448</v>
      </c>
      <c r="D921" s="262" t="s">
        <v>1857</v>
      </c>
      <c r="E921" s="263" t="s">
        <v>242</v>
      </c>
      <c r="F921" s="369">
        <v>13759.48</v>
      </c>
      <c r="G921" s="369">
        <v>13759.48</v>
      </c>
      <c r="H921" s="368">
        <f t="shared" si="30"/>
        <v>100</v>
      </c>
      <c r="I921" s="147" t="str">
        <f t="shared" si="29"/>
        <v>04129090080010830</v>
      </c>
    </row>
    <row r="922" spans="1:9" ht="38.25">
      <c r="A922" s="54" t="s">
        <v>1425</v>
      </c>
      <c r="B922" s="262" t="s">
        <v>89</v>
      </c>
      <c r="C922" s="262" t="s">
        <v>448</v>
      </c>
      <c r="D922" s="262" t="s">
        <v>1857</v>
      </c>
      <c r="E922" s="263" t="s">
        <v>521</v>
      </c>
      <c r="F922" s="369">
        <v>13759.48</v>
      </c>
      <c r="G922" s="369">
        <v>13759.48</v>
      </c>
      <c r="H922" s="368">
        <f t="shared" si="30"/>
        <v>100</v>
      </c>
      <c r="I922" s="147" t="str">
        <f t="shared" si="29"/>
        <v>04129090080010831</v>
      </c>
    </row>
    <row r="923" spans="1:9">
      <c r="A923" s="54" t="s">
        <v>1507</v>
      </c>
      <c r="B923" s="262" t="s">
        <v>89</v>
      </c>
      <c r="C923" s="262" t="s">
        <v>448</v>
      </c>
      <c r="D923" s="262" t="s">
        <v>1857</v>
      </c>
      <c r="E923" s="263" t="s">
        <v>1508</v>
      </c>
      <c r="F923" s="369">
        <v>21</v>
      </c>
      <c r="G923" s="369">
        <v>0</v>
      </c>
      <c r="H923" s="368">
        <f t="shared" si="30"/>
        <v>0</v>
      </c>
      <c r="I923" s="147" t="str">
        <f t="shared" si="29"/>
        <v>04129090080010850</v>
      </c>
    </row>
    <row r="924" spans="1:9">
      <c r="A924" s="54" t="s">
        <v>1082</v>
      </c>
      <c r="B924" s="262" t="s">
        <v>89</v>
      </c>
      <c r="C924" s="262" t="s">
        <v>448</v>
      </c>
      <c r="D924" s="262" t="s">
        <v>1857</v>
      </c>
      <c r="E924" s="263" t="s">
        <v>591</v>
      </c>
      <c r="F924" s="369">
        <v>21</v>
      </c>
      <c r="G924" s="369">
        <v>0</v>
      </c>
      <c r="H924" s="368">
        <f t="shared" si="30"/>
        <v>0</v>
      </c>
      <c r="I924" s="147" t="str">
        <f t="shared" si="29"/>
        <v>04129090080010852</v>
      </c>
    </row>
    <row r="925" spans="1:9" ht="51">
      <c r="A925" s="54" t="s">
        <v>492</v>
      </c>
      <c r="B925" s="262" t="s">
        <v>89</v>
      </c>
      <c r="C925" s="262" t="s">
        <v>448</v>
      </c>
      <c r="D925" s="262" t="s">
        <v>863</v>
      </c>
      <c r="E925" s="263" t="s">
        <v>1468</v>
      </c>
      <c r="F925" s="369">
        <v>745690</v>
      </c>
      <c r="G925" s="369">
        <v>515528.92</v>
      </c>
      <c r="H925" s="368">
        <f t="shared" si="30"/>
        <v>69.134482157464888</v>
      </c>
      <c r="I925" s="147" t="str">
        <f t="shared" si="29"/>
        <v>041290900Ж0000</v>
      </c>
    </row>
    <row r="926" spans="1:9" ht="25.5">
      <c r="A926" s="54" t="s">
        <v>1755</v>
      </c>
      <c r="B926" s="262" t="s">
        <v>89</v>
      </c>
      <c r="C926" s="262" t="s">
        <v>448</v>
      </c>
      <c r="D926" s="262" t="s">
        <v>863</v>
      </c>
      <c r="E926" s="263" t="s">
        <v>1756</v>
      </c>
      <c r="F926" s="369">
        <v>745690</v>
      </c>
      <c r="G926" s="369">
        <v>515528.92</v>
      </c>
      <c r="H926" s="368">
        <f t="shared" si="30"/>
        <v>69.134482157464888</v>
      </c>
      <c r="I926" s="147" t="str">
        <f t="shared" si="29"/>
        <v>041290900Ж0000200</v>
      </c>
    </row>
    <row r="927" spans="1:9" ht="38.25">
      <c r="A927" s="54" t="s">
        <v>1502</v>
      </c>
      <c r="B927" s="262" t="s">
        <v>89</v>
      </c>
      <c r="C927" s="262" t="s">
        <v>448</v>
      </c>
      <c r="D927" s="262" t="s">
        <v>863</v>
      </c>
      <c r="E927" s="263" t="s">
        <v>1503</v>
      </c>
      <c r="F927" s="369">
        <v>745690</v>
      </c>
      <c r="G927" s="369">
        <v>515528.92</v>
      </c>
      <c r="H927" s="368">
        <f t="shared" si="30"/>
        <v>69.134482157464888</v>
      </c>
      <c r="I927" s="147" t="str">
        <f t="shared" si="29"/>
        <v>041290900Ж0000240</v>
      </c>
    </row>
    <row r="928" spans="1:9">
      <c r="A928" s="54" t="s">
        <v>1577</v>
      </c>
      <c r="B928" s="262" t="s">
        <v>89</v>
      </c>
      <c r="C928" s="262" t="s">
        <v>448</v>
      </c>
      <c r="D928" s="262" t="s">
        <v>863</v>
      </c>
      <c r="E928" s="263" t="s">
        <v>416</v>
      </c>
      <c r="F928" s="369">
        <v>745690</v>
      </c>
      <c r="G928" s="369">
        <v>515528.92</v>
      </c>
      <c r="H928" s="368">
        <f t="shared" si="30"/>
        <v>69.134482157464888</v>
      </c>
      <c r="I928" s="147" t="str">
        <f t="shared" si="29"/>
        <v>041290900Ж0000244</v>
      </c>
    </row>
    <row r="929" spans="1:9">
      <c r="A929" s="54" t="s">
        <v>283</v>
      </c>
      <c r="B929" s="262" t="s">
        <v>89</v>
      </c>
      <c r="C929" s="262" t="s">
        <v>1363</v>
      </c>
      <c r="D929" s="262" t="s">
        <v>1468</v>
      </c>
      <c r="E929" s="263" t="s">
        <v>1468</v>
      </c>
      <c r="F929" s="369">
        <v>1068310</v>
      </c>
      <c r="G929" s="369">
        <f>G930+G956</f>
        <v>1059284.5900000001</v>
      </c>
      <c r="H929" s="368">
        <f t="shared" si="30"/>
        <v>99.155169379674447</v>
      </c>
      <c r="I929" s="147" t="str">
        <f t="shared" si="29"/>
        <v>0500</v>
      </c>
    </row>
    <row r="930" spans="1:9">
      <c r="A930" s="54" t="s">
        <v>3</v>
      </c>
      <c r="B930" s="262" t="s">
        <v>89</v>
      </c>
      <c r="C930" s="262" t="s">
        <v>474</v>
      </c>
      <c r="D930" s="262" t="s">
        <v>1468</v>
      </c>
      <c r="E930" s="263" t="s">
        <v>1468</v>
      </c>
      <c r="F930" s="369">
        <v>1059310</v>
      </c>
      <c r="G930" s="369">
        <v>1050284.5900000001</v>
      </c>
      <c r="H930" s="368">
        <f t="shared" si="30"/>
        <v>99.147991617184786</v>
      </c>
      <c r="I930" s="147" t="str">
        <f t="shared" si="29"/>
        <v>0501</v>
      </c>
    </row>
    <row r="931" spans="1:9" ht="38.25">
      <c r="A931" s="54" t="s">
        <v>545</v>
      </c>
      <c r="B931" s="262" t="s">
        <v>89</v>
      </c>
      <c r="C931" s="262" t="s">
        <v>474</v>
      </c>
      <c r="D931" s="262" t="s">
        <v>1113</v>
      </c>
      <c r="E931" s="263" t="s">
        <v>1468</v>
      </c>
      <c r="F931" s="369">
        <v>185000</v>
      </c>
      <c r="G931" s="369">
        <v>180284.59</v>
      </c>
      <c r="H931" s="368">
        <f t="shared" si="30"/>
        <v>97.451129729729729</v>
      </c>
      <c r="I931" s="147" t="str">
        <f t="shared" si="29"/>
        <v>05010300000000</v>
      </c>
    </row>
    <row r="932" spans="1:9" ht="51">
      <c r="A932" s="54" t="s">
        <v>701</v>
      </c>
      <c r="B932" s="262" t="s">
        <v>89</v>
      </c>
      <c r="C932" s="262" t="s">
        <v>474</v>
      </c>
      <c r="D932" s="262" t="s">
        <v>1115</v>
      </c>
      <c r="E932" s="263" t="s">
        <v>1468</v>
      </c>
      <c r="F932" s="369">
        <v>185000</v>
      </c>
      <c r="G932" s="369">
        <v>180284.59</v>
      </c>
      <c r="H932" s="368">
        <f t="shared" si="30"/>
        <v>97.451129729729729</v>
      </c>
      <c r="I932" s="147" t="str">
        <f t="shared" si="29"/>
        <v>05010330000000</v>
      </c>
    </row>
    <row r="933" spans="1:9" ht="102">
      <c r="A933" s="54" t="s">
        <v>623</v>
      </c>
      <c r="B933" s="262" t="s">
        <v>89</v>
      </c>
      <c r="C933" s="262" t="s">
        <v>474</v>
      </c>
      <c r="D933" s="262" t="s">
        <v>865</v>
      </c>
      <c r="E933" s="263" t="s">
        <v>1468</v>
      </c>
      <c r="F933" s="369">
        <v>185000</v>
      </c>
      <c r="G933" s="369">
        <v>180284.59</v>
      </c>
      <c r="H933" s="368">
        <f t="shared" si="30"/>
        <v>97.451129729729729</v>
      </c>
      <c r="I933" s="147" t="str">
        <f t="shared" si="29"/>
        <v>05010330080000</v>
      </c>
    </row>
    <row r="934" spans="1:9" ht="25.5">
      <c r="A934" s="54" t="s">
        <v>1755</v>
      </c>
      <c r="B934" s="262" t="s">
        <v>89</v>
      </c>
      <c r="C934" s="262" t="s">
        <v>474</v>
      </c>
      <c r="D934" s="262" t="s">
        <v>865</v>
      </c>
      <c r="E934" s="263" t="s">
        <v>1756</v>
      </c>
      <c r="F934" s="369">
        <v>185000</v>
      </c>
      <c r="G934" s="369">
        <v>180284.59</v>
      </c>
      <c r="H934" s="368">
        <f t="shared" si="30"/>
        <v>97.451129729729729</v>
      </c>
      <c r="I934" s="147" t="str">
        <f t="shared" si="29"/>
        <v>05010330080000200</v>
      </c>
    </row>
    <row r="935" spans="1:9" ht="38.25">
      <c r="A935" s="54" t="s">
        <v>1502</v>
      </c>
      <c r="B935" s="262" t="s">
        <v>89</v>
      </c>
      <c r="C935" s="262" t="s">
        <v>474</v>
      </c>
      <c r="D935" s="262" t="s">
        <v>865</v>
      </c>
      <c r="E935" s="263" t="s">
        <v>1503</v>
      </c>
      <c r="F935" s="369">
        <v>185000</v>
      </c>
      <c r="G935" s="369">
        <v>180284.59</v>
      </c>
      <c r="H935" s="368">
        <f t="shared" si="30"/>
        <v>97.451129729729729</v>
      </c>
      <c r="I935" s="147" t="str">
        <f t="shared" si="29"/>
        <v>05010330080000240</v>
      </c>
    </row>
    <row r="936" spans="1:9">
      <c r="A936" s="54" t="s">
        <v>1577</v>
      </c>
      <c r="B936" s="262" t="s">
        <v>89</v>
      </c>
      <c r="C936" s="262" t="s">
        <v>474</v>
      </c>
      <c r="D936" s="262" t="s">
        <v>865</v>
      </c>
      <c r="E936" s="263" t="s">
        <v>416</v>
      </c>
      <c r="F936" s="369">
        <v>185000</v>
      </c>
      <c r="G936" s="369">
        <v>180284.59</v>
      </c>
      <c r="H936" s="368">
        <f t="shared" si="30"/>
        <v>97.451129729729729</v>
      </c>
      <c r="I936" s="147" t="str">
        <f t="shared" si="29"/>
        <v>05010330080000244</v>
      </c>
    </row>
    <row r="937" spans="1:9" ht="38.25">
      <c r="A937" s="54" t="s">
        <v>705</v>
      </c>
      <c r="B937" s="262" t="s">
        <v>89</v>
      </c>
      <c r="C937" s="262" t="s">
        <v>474</v>
      </c>
      <c r="D937" s="262" t="s">
        <v>1137</v>
      </c>
      <c r="E937" s="263" t="s">
        <v>1468</v>
      </c>
      <c r="F937" s="369">
        <v>870000</v>
      </c>
      <c r="G937" s="369">
        <v>870000</v>
      </c>
      <c r="H937" s="368">
        <f t="shared" si="30"/>
        <v>100</v>
      </c>
      <c r="I937" s="147" t="str">
        <f t="shared" ref="I937:I1000" si="31">CONCATENATE(C937,D937,E937)</f>
        <v>05011000000000</v>
      </c>
    </row>
    <row r="938" spans="1:9" ht="38.25">
      <c r="A938" s="54" t="s">
        <v>1047</v>
      </c>
      <c r="B938" s="262" t="s">
        <v>89</v>
      </c>
      <c r="C938" s="262" t="s">
        <v>474</v>
      </c>
      <c r="D938" s="262" t="s">
        <v>1957</v>
      </c>
      <c r="E938" s="263" t="s">
        <v>1468</v>
      </c>
      <c r="F938" s="369">
        <v>500000</v>
      </c>
      <c r="G938" s="369">
        <v>500000</v>
      </c>
      <c r="H938" s="368">
        <f t="shared" si="30"/>
        <v>100</v>
      </c>
      <c r="I938" s="147" t="str">
        <f t="shared" si="31"/>
        <v>05011030000000</v>
      </c>
    </row>
    <row r="939" spans="1:9" ht="76.5">
      <c r="A939" s="54" t="s">
        <v>1051</v>
      </c>
      <c r="B939" s="262" t="s">
        <v>89</v>
      </c>
      <c r="C939" s="262" t="s">
        <v>474</v>
      </c>
      <c r="D939" s="262" t="s">
        <v>1050</v>
      </c>
      <c r="E939" s="263" t="s">
        <v>1468</v>
      </c>
      <c r="F939" s="369">
        <v>500000</v>
      </c>
      <c r="G939" s="369">
        <v>500000</v>
      </c>
      <c r="H939" s="368">
        <f t="shared" si="30"/>
        <v>100</v>
      </c>
      <c r="I939" s="147" t="str">
        <f t="shared" si="31"/>
        <v>05011030080000</v>
      </c>
    </row>
    <row r="940" spans="1:9" ht="25.5">
      <c r="A940" s="54" t="s">
        <v>1755</v>
      </c>
      <c r="B940" s="262" t="s">
        <v>89</v>
      </c>
      <c r="C940" s="262" t="s">
        <v>474</v>
      </c>
      <c r="D940" s="262" t="s">
        <v>1050</v>
      </c>
      <c r="E940" s="263" t="s">
        <v>1756</v>
      </c>
      <c r="F940" s="369">
        <v>500000</v>
      </c>
      <c r="G940" s="369">
        <v>500000</v>
      </c>
      <c r="H940" s="368">
        <f t="shared" si="30"/>
        <v>100</v>
      </c>
      <c r="I940" s="147" t="str">
        <f t="shared" si="31"/>
        <v>05011030080000200</v>
      </c>
    </row>
    <row r="941" spans="1:9" ht="38.25">
      <c r="A941" s="54" t="s">
        <v>1502</v>
      </c>
      <c r="B941" s="262" t="s">
        <v>89</v>
      </c>
      <c r="C941" s="262" t="s">
        <v>474</v>
      </c>
      <c r="D941" s="262" t="s">
        <v>1050</v>
      </c>
      <c r="E941" s="263" t="s">
        <v>1503</v>
      </c>
      <c r="F941" s="369">
        <v>500000</v>
      </c>
      <c r="G941" s="369">
        <v>500000</v>
      </c>
      <c r="H941" s="368">
        <f t="shared" si="30"/>
        <v>100</v>
      </c>
      <c r="I941" s="147" t="str">
        <f t="shared" si="31"/>
        <v>05011030080000240</v>
      </c>
    </row>
    <row r="942" spans="1:9" ht="38.25">
      <c r="A942" s="54" t="s">
        <v>431</v>
      </c>
      <c r="B942" s="262" t="s">
        <v>89</v>
      </c>
      <c r="C942" s="262" t="s">
        <v>474</v>
      </c>
      <c r="D942" s="262" t="s">
        <v>1050</v>
      </c>
      <c r="E942" s="263" t="s">
        <v>432</v>
      </c>
      <c r="F942" s="369">
        <v>500000</v>
      </c>
      <c r="G942" s="369">
        <v>500000</v>
      </c>
      <c r="H942" s="368">
        <f t="shared" si="30"/>
        <v>100</v>
      </c>
      <c r="I942" s="147" t="str">
        <f t="shared" si="31"/>
        <v>05011030080000243</v>
      </c>
    </row>
    <row r="943" spans="1:9" ht="38.25">
      <c r="A943" s="54" t="s">
        <v>706</v>
      </c>
      <c r="B943" s="262" t="s">
        <v>89</v>
      </c>
      <c r="C943" s="262" t="s">
        <v>474</v>
      </c>
      <c r="D943" s="262" t="s">
        <v>1138</v>
      </c>
      <c r="E943" s="263" t="s">
        <v>1468</v>
      </c>
      <c r="F943" s="369">
        <v>370000</v>
      </c>
      <c r="G943" s="369">
        <v>370000</v>
      </c>
      <c r="H943" s="368">
        <f t="shared" si="30"/>
        <v>100</v>
      </c>
      <c r="I943" s="147" t="str">
        <f t="shared" si="31"/>
        <v>05011050000000</v>
      </c>
    </row>
    <row r="944" spans="1:9" ht="76.5">
      <c r="A944" s="54" t="s">
        <v>622</v>
      </c>
      <c r="B944" s="262" t="s">
        <v>89</v>
      </c>
      <c r="C944" s="262" t="s">
        <v>474</v>
      </c>
      <c r="D944" s="262" t="s">
        <v>864</v>
      </c>
      <c r="E944" s="263" t="s">
        <v>1468</v>
      </c>
      <c r="F944" s="369">
        <v>370000</v>
      </c>
      <c r="G944" s="369">
        <v>370000</v>
      </c>
      <c r="H944" s="368">
        <f t="shared" si="30"/>
        <v>100</v>
      </c>
      <c r="I944" s="147" t="str">
        <f t="shared" si="31"/>
        <v>05011050080000</v>
      </c>
    </row>
    <row r="945" spans="1:9" ht="25.5">
      <c r="A945" s="54" t="s">
        <v>1759</v>
      </c>
      <c r="B945" s="262" t="s">
        <v>89</v>
      </c>
      <c r="C945" s="262" t="s">
        <v>474</v>
      </c>
      <c r="D945" s="262" t="s">
        <v>864</v>
      </c>
      <c r="E945" s="263" t="s">
        <v>1760</v>
      </c>
      <c r="F945" s="369">
        <v>270000</v>
      </c>
      <c r="G945" s="369">
        <v>270000</v>
      </c>
      <c r="H945" s="368">
        <f t="shared" si="30"/>
        <v>100</v>
      </c>
      <c r="I945" s="147" t="str">
        <f t="shared" si="31"/>
        <v>05011050080000300</v>
      </c>
    </row>
    <row r="946" spans="1:9">
      <c r="A946" s="54" t="s">
        <v>625</v>
      </c>
      <c r="B946" s="262" t="s">
        <v>89</v>
      </c>
      <c r="C946" s="262" t="s">
        <v>474</v>
      </c>
      <c r="D946" s="262" t="s">
        <v>864</v>
      </c>
      <c r="E946" s="263" t="s">
        <v>626</v>
      </c>
      <c r="F946" s="369">
        <v>270000</v>
      </c>
      <c r="G946" s="369">
        <v>270000</v>
      </c>
      <c r="H946" s="368">
        <f t="shared" si="30"/>
        <v>100</v>
      </c>
      <c r="I946" s="147" t="str">
        <f t="shared" si="31"/>
        <v>05011050080000360</v>
      </c>
    </row>
    <row r="947" spans="1:9" ht="25.5">
      <c r="A947" s="54" t="s">
        <v>1761</v>
      </c>
      <c r="B947" s="262" t="s">
        <v>89</v>
      </c>
      <c r="C947" s="262" t="s">
        <v>474</v>
      </c>
      <c r="D947" s="262" t="s">
        <v>864</v>
      </c>
      <c r="E947" s="263" t="s">
        <v>1762</v>
      </c>
      <c r="F947" s="369">
        <v>100000</v>
      </c>
      <c r="G947" s="369">
        <v>100000</v>
      </c>
      <c r="H947" s="368">
        <f t="shared" si="30"/>
        <v>100</v>
      </c>
      <c r="I947" s="147" t="str">
        <f t="shared" si="31"/>
        <v>05011050080000400</v>
      </c>
    </row>
    <row r="948" spans="1:9">
      <c r="A948" s="54" t="s">
        <v>1513</v>
      </c>
      <c r="B948" s="262" t="s">
        <v>89</v>
      </c>
      <c r="C948" s="262" t="s">
        <v>474</v>
      </c>
      <c r="D948" s="262" t="s">
        <v>864</v>
      </c>
      <c r="E948" s="263" t="s">
        <v>101</v>
      </c>
      <c r="F948" s="369">
        <v>100000</v>
      </c>
      <c r="G948" s="369">
        <v>100000</v>
      </c>
      <c r="H948" s="368">
        <f t="shared" si="30"/>
        <v>100</v>
      </c>
      <c r="I948" s="147" t="str">
        <f t="shared" si="31"/>
        <v>05011050080000410</v>
      </c>
    </row>
    <row r="949" spans="1:9" ht="38.25">
      <c r="A949" s="54" t="s">
        <v>493</v>
      </c>
      <c r="B949" s="262" t="s">
        <v>89</v>
      </c>
      <c r="C949" s="262" t="s">
        <v>474</v>
      </c>
      <c r="D949" s="262" t="s">
        <v>864</v>
      </c>
      <c r="E949" s="263" t="s">
        <v>494</v>
      </c>
      <c r="F949" s="369">
        <v>100000</v>
      </c>
      <c r="G949" s="369">
        <v>100000</v>
      </c>
      <c r="H949" s="368">
        <f t="shared" si="30"/>
        <v>100</v>
      </c>
      <c r="I949" s="147" t="str">
        <f t="shared" si="31"/>
        <v>05011050080000412</v>
      </c>
    </row>
    <row r="950" spans="1:9" ht="25.5">
      <c r="A950" s="54" t="s">
        <v>710</v>
      </c>
      <c r="B950" s="262" t="s">
        <v>89</v>
      </c>
      <c r="C950" s="262" t="s">
        <v>474</v>
      </c>
      <c r="D950" s="262" t="s">
        <v>1151</v>
      </c>
      <c r="E950" s="263" t="s">
        <v>1468</v>
      </c>
      <c r="F950" s="369">
        <v>4310</v>
      </c>
      <c r="G950" s="369">
        <v>0</v>
      </c>
      <c r="H950" s="368">
        <f t="shared" si="30"/>
        <v>0</v>
      </c>
      <c r="I950" s="147" t="str">
        <f t="shared" si="31"/>
        <v>05019000000000</v>
      </c>
    </row>
    <row r="951" spans="1:9" ht="25.5">
      <c r="A951" s="54" t="s">
        <v>520</v>
      </c>
      <c r="B951" s="262" t="s">
        <v>89</v>
      </c>
      <c r="C951" s="262" t="s">
        <v>474</v>
      </c>
      <c r="D951" s="262" t="s">
        <v>1155</v>
      </c>
      <c r="E951" s="263" t="s">
        <v>1468</v>
      </c>
      <c r="F951" s="369">
        <v>4310</v>
      </c>
      <c r="G951" s="369">
        <v>0</v>
      </c>
      <c r="H951" s="368">
        <f t="shared" si="30"/>
        <v>0</v>
      </c>
      <c r="I951" s="147" t="str">
        <f t="shared" si="31"/>
        <v>05019090000000</v>
      </c>
    </row>
    <row r="952" spans="1:9" ht="38.25">
      <c r="A952" s="54" t="s">
        <v>1856</v>
      </c>
      <c r="B952" s="262" t="s">
        <v>89</v>
      </c>
      <c r="C952" s="262" t="s">
        <v>474</v>
      </c>
      <c r="D952" s="262" t="s">
        <v>1857</v>
      </c>
      <c r="E952" s="263" t="s">
        <v>1468</v>
      </c>
      <c r="F952" s="369">
        <v>4310</v>
      </c>
      <c r="G952" s="369">
        <v>0</v>
      </c>
      <c r="H952" s="368">
        <f t="shared" si="30"/>
        <v>0</v>
      </c>
      <c r="I952" s="147" t="str">
        <f t="shared" si="31"/>
        <v>05019090080010</v>
      </c>
    </row>
    <row r="953" spans="1:9">
      <c r="A953" s="54" t="s">
        <v>1757</v>
      </c>
      <c r="B953" s="262" t="s">
        <v>89</v>
      </c>
      <c r="C953" s="262" t="s">
        <v>474</v>
      </c>
      <c r="D953" s="262" t="s">
        <v>1857</v>
      </c>
      <c r="E953" s="263" t="s">
        <v>1758</v>
      </c>
      <c r="F953" s="369">
        <v>4310</v>
      </c>
      <c r="G953" s="369">
        <v>0</v>
      </c>
      <c r="H953" s="368">
        <f t="shared" si="30"/>
        <v>0</v>
      </c>
      <c r="I953" s="147" t="str">
        <f t="shared" si="31"/>
        <v>05019090080010800</v>
      </c>
    </row>
    <row r="954" spans="1:9">
      <c r="A954" s="54" t="s">
        <v>1516</v>
      </c>
      <c r="B954" s="262" t="s">
        <v>89</v>
      </c>
      <c r="C954" s="262" t="s">
        <v>474</v>
      </c>
      <c r="D954" s="262" t="s">
        <v>1857</v>
      </c>
      <c r="E954" s="263" t="s">
        <v>242</v>
      </c>
      <c r="F954" s="369">
        <v>4310</v>
      </c>
      <c r="G954" s="369">
        <v>0</v>
      </c>
      <c r="H954" s="368">
        <f t="shared" si="30"/>
        <v>0</v>
      </c>
      <c r="I954" s="147" t="str">
        <f t="shared" si="31"/>
        <v>05019090080010830</v>
      </c>
    </row>
    <row r="955" spans="1:9" ht="38.25">
      <c r="A955" s="54" t="s">
        <v>1425</v>
      </c>
      <c r="B955" s="262" t="s">
        <v>89</v>
      </c>
      <c r="C955" s="262" t="s">
        <v>474</v>
      </c>
      <c r="D955" s="262" t="s">
        <v>1857</v>
      </c>
      <c r="E955" s="263" t="s">
        <v>521</v>
      </c>
      <c r="F955" s="369">
        <v>4310</v>
      </c>
      <c r="G955" s="369">
        <v>0</v>
      </c>
      <c r="H955" s="368">
        <f t="shared" si="30"/>
        <v>0</v>
      </c>
      <c r="I955" s="147" t="str">
        <f t="shared" si="31"/>
        <v>05019090080010831</v>
      </c>
    </row>
    <row r="956" spans="1:9">
      <c r="A956" s="54" t="s">
        <v>180</v>
      </c>
      <c r="B956" s="262" t="s">
        <v>89</v>
      </c>
      <c r="C956" s="262" t="s">
        <v>452</v>
      </c>
      <c r="D956" s="262" t="s">
        <v>1468</v>
      </c>
      <c r="E956" s="263" t="s">
        <v>1468</v>
      </c>
      <c r="F956" s="369">
        <v>9000</v>
      </c>
      <c r="G956" s="369">
        <v>9000</v>
      </c>
      <c r="H956" s="368">
        <f t="shared" si="30"/>
        <v>100</v>
      </c>
      <c r="I956" s="147" t="str">
        <f t="shared" si="31"/>
        <v>0502</v>
      </c>
    </row>
    <row r="957" spans="1:9" ht="25.5">
      <c r="A957" s="54" t="s">
        <v>710</v>
      </c>
      <c r="B957" s="262" t="s">
        <v>89</v>
      </c>
      <c r="C957" s="262" t="s">
        <v>452</v>
      </c>
      <c r="D957" s="262" t="s">
        <v>1151</v>
      </c>
      <c r="E957" s="263" t="s">
        <v>1468</v>
      </c>
      <c r="F957" s="369">
        <v>9000</v>
      </c>
      <c r="G957" s="369">
        <v>9000</v>
      </c>
      <c r="H957" s="368">
        <f t="shared" si="30"/>
        <v>100</v>
      </c>
      <c r="I957" s="147" t="str">
        <f t="shared" si="31"/>
        <v>05029000000000</v>
      </c>
    </row>
    <row r="958" spans="1:9" ht="25.5">
      <c r="A958" s="54" t="s">
        <v>520</v>
      </c>
      <c r="B958" s="262" t="s">
        <v>89</v>
      </c>
      <c r="C958" s="262" t="s">
        <v>452</v>
      </c>
      <c r="D958" s="262" t="s">
        <v>1155</v>
      </c>
      <c r="E958" s="263" t="s">
        <v>1468</v>
      </c>
      <c r="F958" s="369">
        <v>9000</v>
      </c>
      <c r="G958" s="369">
        <v>9000</v>
      </c>
      <c r="H958" s="368">
        <f t="shared" si="30"/>
        <v>100</v>
      </c>
      <c r="I958" s="147" t="str">
        <f t="shared" si="31"/>
        <v>05029090000000</v>
      </c>
    </row>
    <row r="959" spans="1:9" ht="25.5">
      <c r="A959" s="54" t="s">
        <v>520</v>
      </c>
      <c r="B959" s="262" t="s">
        <v>89</v>
      </c>
      <c r="C959" s="262" t="s">
        <v>452</v>
      </c>
      <c r="D959" s="262" t="s">
        <v>923</v>
      </c>
      <c r="E959" s="263" t="s">
        <v>1468</v>
      </c>
      <c r="F959" s="369">
        <v>9000</v>
      </c>
      <c r="G959" s="369">
        <v>9000</v>
      </c>
      <c r="H959" s="368">
        <f t="shared" si="30"/>
        <v>100</v>
      </c>
      <c r="I959" s="147" t="str">
        <f t="shared" si="31"/>
        <v>05029090080000</v>
      </c>
    </row>
    <row r="960" spans="1:9">
      <c r="A960" s="54" t="s">
        <v>1757</v>
      </c>
      <c r="B960" s="262" t="s">
        <v>89</v>
      </c>
      <c r="C960" s="262" t="s">
        <v>452</v>
      </c>
      <c r="D960" s="262" t="s">
        <v>923</v>
      </c>
      <c r="E960" s="263" t="s">
        <v>1758</v>
      </c>
      <c r="F960" s="369">
        <v>9000</v>
      </c>
      <c r="G960" s="369">
        <v>9000</v>
      </c>
      <c r="H960" s="368">
        <f t="shared" si="30"/>
        <v>100</v>
      </c>
      <c r="I960" s="147" t="str">
        <f t="shared" si="31"/>
        <v>05029090080000800</v>
      </c>
    </row>
    <row r="961" spans="1:9">
      <c r="A961" s="54" t="s">
        <v>1507</v>
      </c>
      <c r="B961" s="262" t="s">
        <v>89</v>
      </c>
      <c r="C961" s="262" t="s">
        <v>452</v>
      </c>
      <c r="D961" s="262" t="s">
        <v>923</v>
      </c>
      <c r="E961" s="263" t="s">
        <v>1508</v>
      </c>
      <c r="F961" s="369">
        <v>9000</v>
      </c>
      <c r="G961" s="369">
        <v>9000</v>
      </c>
      <c r="H961" s="368">
        <f t="shared" si="30"/>
        <v>100</v>
      </c>
      <c r="I961" s="147" t="str">
        <f t="shared" si="31"/>
        <v>05029090080000850</v>
      </c>
    </row>
    <row r="962" spans="1:9">
      <c r="A962" s="54" t="s">
        <v>1082</v>
      </c>
      <c r="B962" s="262" t="s">
        <v>89</v>
      </c>
      <c r="C962" s="262" t="s">
        <v>452</v>
      </c>
      <c r="D962" s="262" t="s">
        <v>923</v>
      </c>
      <c r="E962" s="263" t="s">
        <v>591</v>
      </c>
      <c r="F962" s="369">
        <v>9000</v>
      </c>
      <c r="G962" s="369">
        <v>9000</v>
      </c>
      <c r="H962" s="368">
        <f t="shared" si="30"/>
        <v>100</v>
      </c>
      <c r="I962" s="147" t="str">
        <f t="shared" si="31"/>
        <v>05029090080000852</v>
      </c>
    </row>
    <row r="963" spans="1:9">
      <c r="A963" s="54" t="s">
        <v>174</v>
      </c>
      <c r="B963" s="262" t="s">
        <v>89</v>
      </c>
      <c r="C963" s="262" t="s">
        <v>1365</v>
      </c>
      <c r="D963" s="262" t="s">
        <v>1468</v>
      </c>
      <c r="E963" s="263" t="s">
        <v>1468</v>
      </c>
      <c r="F963" s="369">
        <v>4251492.8</v>
      </c>
      <c r="G963" s="369">
        <f>G964+G971</f>
        <v>3841245.46</v>
      </c>
      <c r="H963" s="368">
        <f t="shared" si="30"/>
        <v>90.350510766477129</v>
      </c>
      <c r="I963" s="147" t="str">
        <f t="shared" si="31"/>
        <v>1000</v>
      </c>
    </row>
    <row r="964" spans="1:9">
      <c r="A964" s="54" t="s">
        <v>127</v>
      </c>
      <c r="B964" s="262" t="s">
        <v>89</v>
      </c>
      <c r="C964" s="262" t="s">
        <v>466</v>
      </c>
      <c r="D964" s="262" t="s">
        <v>1468</v>
      </c>
      <c r="E964" s="263" t="s">
        <v>1468</v>
      </c>
      <c r="F964" s="369">
        <v>2834092.8</v>
      </c>
      <c r="G964" s="369">
        <v>2834092.8</v>
      </c>
      <c r="H964" s="368">
        <f t="shared" si="30"/>
        <v>100</v>
      </c>
      <c r="I964" s="147" t="str">
        <f t="shared" si="31"/>
        <v>1003</v>
      </c>
    </row>
    <row r="965" spans="1:9">
      <c r="A965" s="54" t="s">
        <v>559</v>
      </c>
      <c r="B965" s="262" t="s">
        <v>89</v>
      </c>
      <c r="C965" s="262" t="s">
        <v>466</v>
      </c>
      <c r="D965" s="262" t="s">
        <v>1124</v>
      </c>
      <c r="E965" s="263" t="s">
        <v>1468</v>
      </c>
      <c r="F965" s="369">
        <v>2834092.8</v>
      </c>
      <c r="G965" s="369">
        <v>2834092.8</v>
      </c>
      <c r="H965" s="368">
        <f t="shared" si="30"/>
        <v>100</v>
      </c>
      <c r="I965" s="147" t="str">
        <f t="shared" si="31"/>
        <v>10030600000000</v>
      </c>
    </row>
    <row r="966" spans="1:9" ht="25.5">
      <c r="A966" s="54" t="s">
        <v>564</v>
      </c>
      <c r="B966" s="262" t="s">
        <v>89</v>
      </c>
      <c r="C966" s="262" t="s">
        <v>466</v>
      </c>
      <c r="D966" s="262" t="s">
        <v>1126</v>
      </c>
      <c r="E966" s="263" t="s">
        <v>1468</v>
      </c>
      <c r="F966" s="369">
        <v>2834092.8</v>
      </c>
      <c r="G966" s="369">
        <v>2834092.8</v>
      </c>
      <c r="H966" s="368">
        <f t="shared" si="30"/>
        <v>100</v>
      </c>
      <c r="I966" s="147" t="str">
        <f t="shared" si="31"/>
        <v>10030630000000</v>
      </c>
    </row>
    <row r="967" spans="1:9" ht="76.5">
      <c r="A967" s="54" t="s">
        <v>1934</v>
      </c>
      <c r="B967" s="262" t="s">
        <v>89</v>
      </c>
      <c r="C967" s="262" t="s">
        <v>466</v>
      </c>
      <c r="D967" s="262" t="s">
        <v>1607</v>
      </c>
      <c r="E967" s="263" t="s">
        <v>1468</v>
      </c>
      <c r="F967" s="369">
        <v>2834092.8</v>
      </c>
      <c r="G967" s="369">
        <v>2834092.8</v>
      </c>
      <c r="H967" s="368">
        <f t="shared" si="30"/>
        <v>100</v>
      </c>
      <c r="I967" s="147" t="str">
        <f t="shared" si="31"/>
        <v>100306300L4970</v>
      </c>
    </row>
    <row r="968" spans="1:9" ht="25.5">
      <c r="A968" s="54" t="s">
        <v>1759</v>
      </c>
      <c r="B968" s="262" t="s">
        <v>89</v>
      </c>
      <c r="C968" s="262" t="s">
        <v>466</v>
      </c>
      <c r="D968" s="262" t="s">
        <v>1607</v>
      </c>
      <c r="E968" s="263" t="s">
        <v>1760</v>
      </c>
      <c r="F968" s="369">
        <v>2834092.8</v>
      </c>
      <c r="G968" s="369">
        <v>2834092.8</v>
      </c>
      <c r="H968" s="368">
        <f t="shared" ref="H968:H1031" si="32">G968/F968*100</f>
        <v>100</v>
      </c>
      <c r="I968" s="147" t="str">
        <f t="shared" si="31"/>
        <v>100306300L4970300</v>
      </c>
    </row>
    <row r="969" spans="1:9" ht="25.5">
      <c r="A969" s="54" t="s">
        <v>1506</v>
      </c>
      <c r="B969" s="262" t="s">
        <v>89</v>
      </c>
      <c r="C969" s="262" t="s">
        <v>466</v>
      </c>
      <c r="D969" s="262" t="s">
        <v>1607</v>
      </c>
      <c r="E969" s="263" t="s">
        <v>666</v>
      </c>
      <c r="F969" s="369">
        <v>2834092.8</v>
      </c>
      <c r="G969" s="369">
        <v>2834092.8</v>
      </c>
      <c r="H969" s="368">
        <f t="shared" si="32"/>
        <v>100</v>
      </c>
      <c r="I969" s="147" t="str">
        <f t="shared" si="31"/>
        <v>100306300L4970320</v>
      </c>
    </row>
    <row r="970" spans="1:9">
      <c r="A970" s="54" t="s">
        <v>712</v>
      </c>
      <c r="B970" s="262" t="s">
        <v>89</v>
      </c>
      <c r="C970" s="262" t="s">
        <v>466</v>
      </c>
      <c r="D970" s="262" t="s">
        <v>1607</v>
      </c>
      <c r="E970" s="263" t="s">
        <v>711</v>
      </c>
      <c r="F970" s="369">
        <v>2834092.8</v>
      </c>
      <c r="G970" s="369">
        <v>2834092.8</v>
      </c>
      <c r="H970" s="368">
        <f t="shared" si="32"/>
        <v>100</v>
      </c>
      <c r="I970" s="147" t="str">
        <f t="shared" si="31"/>
        <v>100306300L4970322</v>
      </c>
    </row>
    <row r="971" spans="1:9">
      <c r="A971" s="54" t="s">
        <v>26</v>
      </c>
      <c r="B971" s="262" t="s">
        <v>89</v>
      </c>
      <c r="C971" s="262" t="s">
        <v>512</v>
      </c>
      <c r="D971" s="262" t="s">
        <v>1468</v>
      </c>
      <c r="E971" s="263" t="s">
        <v>1468</v>
      </c>
      <c r="F971" s="369">
        <v>1417400</v>
      </c>
      <c r="G971" s="369">
        <v>1007152.66</v>
      </c>
      <c r="H971" s="368">
        <f t="shared" si="32"/>
        <v>71.05634683222803</v>
      </c>
      <c r="I971" s="147" t="str">
        <f t="shared" si="31"/>
        <v>1004</v>
      </c>
    </row>
    <row r="972" spans="1:9" ht="25.5">
      <c r="A972" s="54" t="s">
        <v>535</v>
      </c>
      <c r="B972" s="262" t="s">
        <v>89</v>
      </c>
      <c r="C972" s="262" t="s">
        <v>512</v>
      </c>
      <c r="D972" s="262" t="s">
        <v>1105</v>
      </c>
      <c r="E972" s="263" t="s">
        <v>1468</v>
      </c>
      <c r="F972" s="369">
        <v>1417400</v>
      </c>
      <c r="G972" s="369">
        <v>1007152.66</v>
      </c>
      <c r="H972" s="368">
        <f t="shared" si="32"/>
        <v>71.05634683222803</v>
      </c>
      <c r="I972" s="147" t="str">
        <f t="shared" si="31"/>
        <v>10040100000000</v>
      </c>
    </row>
    <row r="973" spans="1:9" ht="38.25">
      <c r="A973" s="54" t="s">
        <v>538</v>
      </c>
      <c r="B973" s="262" t="s">
        <v>89</v>
      </c>
      <c r="C973" s="262" t="s">
        <v>512</v>
      </c>
      <c r="D973" s="262" t="s">
        <v>1356</v>
      </c>
      <c r="E973" s="263" t="s">
        <v>1468</v>
      </c>
      <c r="F973" s="369">
        <v>1417400</v>
      </c>
      <c r="G973" s="369">
        <v>1007152.66</v>
      </c>
      <c r="H973" s="368">
        <f t="shared" si="32"/>
        <v>71.05634683222803</v>
      </c>
      <c r="I973" s="147" t="str">
        <f t="shared" si="31"/>
        <v>10040120000000</v>
      </c>
    </row>
    <row r="974" spans="1:9" ht="114.75">
      <c r="A974" s="54" t="s">
        <v>1858</v>
      </c>
      <c r="B974" s="262" t="s">
        <v>89</v>
      </c>
      <c r="C974" s="262" t="s">
        <v>512</v>
      </c>
      <c r="D974" s="262" t="s">
        <v>1859</v>
      </c>
      <c r="E974" s="263" t="s">
        <v>1468</v>
      </c>
      <c r="F974" s="369">
        <v>1417400</v>
      </c>
      <c r="G974" s="369">
        <v>1007152.66</v>
      </c>
      <c r="H974" s="368">
        <f t="shared" si="32"/>
        <v>71.05634683222803</v>
      </c>
      <c r="I974" s="147" t="str">
        <f t="shared" si="31"/>
        <v>10040120075870</v>
      </c>
    </row>
    <row r="975" spans="1:9" ht="25.5">
      <c r="A975" s="54" t="s">
        <v>1761</v>
      </c>
      <c r="B975" s="262" t="s">
        <v>89</v>
      </c>
      <c r="C975" s="262" t="s">
        <v>512</v>
      </c>
      <c r="D975" s="262" t="s">
        <v>1859</v>
      </c>
      <c r="E975" s="263" t="s">
        <v>1762</v>
      </c>
      <c r="F975" s="369">
        <v>1417400</v>
      </c>
      <c r="G975" s="369">
        <v>1007152.66</v>
      </c>
      <c r="H975" s="368">
        <f t="shared" si="32"/>
        <v>71.05634683222803</v>
      </c>
      <c r="I975" s="147" t="str">
        <f t="shared" si="31"/>
        <v>10040120075870400</v>
      </c>
    </row>
    <row r="976" spans="1:9">
      <c r="A976" s="54" t="s">
        <v>1513</v>
      </c>
      <c r="B976" s="262" t="s">
        <v>89</v>
      </c>
      <c r="C976" s="262" t="s">
        <v>512</v>
      </c>
      <c r="D976" s="262" t="s">
        <v>1859</v>
      </c>
      <c r="E976" s="263" t="s">
        <v>101</v>
      </c>
      <c r="F976" s="369">
        <v>1417400</v>
      </c>
      <c r="G976" s="369">
        <v>1007152.66</v>
      </c>
      <c r="H976" s="368">
        <f t="shared" si="32"/>
        <v>71.05634683222803</v>
      </c>
      <c r="I976" s="147" t="str">
        <f t="shared" si="31"/>
        <v>10040120075870410</v>
      </c>
    </row>
    <row r="977" spans="1:9" ht="38.25">
      <c r="A977" s="54" t="s">
        <v>493</v>
      </c>
      <c r="B977" s="262" t="s">
        <v>89</v>
      </c>
      <c r="C977" s="262" t="s">
        <v>512</v>
      </c>
      <c r="D977" s="262" t="s">
        <v>1859</v>
      </c>
      <c r="E977" s="263" t="s">
        <v>494</v>
      </c>
      <c r="F977" s="369">
        <v>1417400</v>
      </c>
      <c r="G977" s="369">
        <v>1007152.66</v>
      </c>
      <c r="H977" s="368">
        <f t="shared" si="32"/>
        <v>71.05634683222803</v>
      </c>
      <c r="I977" s="147" t="str">
        <f t="shared" si="31"/>
        <v>10040120075870412</v>
      </c>
    </row>
    <row r="978" spans="1:9" ht="25.5">
      <c r="A978" s="54" t="s">
        <v>301</v>
      </c>
      <c r="B978" s="262" t="s">
        <v>248</v>
      </c>
      <c r="C978" s="262" t="s">
        <v>1468</v>
      </c>
      <c r="D978" s="262" t="s">
        <v>1468</v>
      </c>
      <c r="E978" s="263" t="s">
        <v>1468</v>
      </c>
      <c r="F978" s="369">
        <v>1294678514.9300001</v>
      </c>
      <c r="G978" s="369">
        <f>G979+G1422+G1447</f>
        <v>1262696963.8800001</v>
      </c>
      <c r="H978" s="368">
        <f t="shared" si="32"/>
        <v>97.52976892091786</v>
      </c>
      <c r="I978" s="147" t="str">
        <f t="shared" si="31"/>
        <v/>
      </c>
    </row>
    <row r="979" spans="1:9">
      <c r="A979" s="54" t="s">
        <v>173</v>
      </c>
      <c r="B979" s="262" t="s">
        <v>248</v>
      </c>
      <c r="C979" s="262" t="s">
        <v>1364</v>
      </c>
      <c r="D979" s="262" t="s">
        <v>1468</v>
      </c>
      <c r="E979" s="263" t="s">
        <v>1468</v>
      </c>
      <c r="F979" s="369">
        <v>1260718274.54</v>
      </c>
      <c r="G979" s="369">
        <f>G980+G1057+G1177+G1285+G1347</f>
        <v>1229022685.96</v>
      </c>
      <c r="H979" s="368">
        <f t="shared" si="32"/>
        <v>97.485910276698036</v>
      </c>
      <c r="I979" s="147" t="str">
        <f t="shared" si="31"/>
        <v>0700</v>
      </c>
    </row>
    <row r="980" spans="1:9">
      <c r="A980" s="54" t="s">
        <v>186</v>
      </c>
      <c r="B980" s="262" t="s">
        <v>248</v>
      </c>
      <c r="C980" s="262" t="s">
        <v>497</v>
      </c>
      <c r="D980" s="262" t="s">
        <v>1468</v>
      </c>
      <c r="E980" s="263" t="s">
        <v>1468</v>
      </c>
      <c r="F980" s="369">
        <v>404680876.43000001</v>
      </c>
      <c r="G980" s="369">
        <f>G981+G1051</f>
        <v>395904396.94999999</v>
      </c>
      <c r="H980" s="368">
        <f t="shared" si="32"/>
        <v>97.831259149820951</v>
      </c>
      <c r="I980" s="147" t="str">
        <f t="shared" si="31"/>
        <v>0701</v>
      </c>
    </row>
    <row r="981" spans="1:9" ht="25.5">
      <c r="A981" s="54" t="s">
        <v>535</v>
      </c>
      <c r="B981" s="262" t="s">
        <v>248</v>
      </c>
      <c r="C981" s="262" t="s">
        <v>497</v>
      </c>
      <c r="D981" s="262" t="s">
        <v>1105</v>
      </c>
      <c r="E981" s="263" t="s">
        <v>1468</v>
      </c>
      <c r="F981" s="369">
        <v>404033315.35000002</v>
      </c>
      <c r="G981" s="369">
        <v>395256835.87</v>
      </c>
      <c r="H981" s="368">
        <f t="shared" si="32"/>
        <v>97.827783218223658</v>
      </c>
      <c r="I981" s="147" t="str">
        <f t="shared" si="31"/>
        <v>07010100000000</v>
      </c>
    </row>
    <row r="982" spans="1:9" ht="25.5">
      <c r="A982" s="54" t="s">
        <v>536</v>
      </c>
      <c r="B982" s="262" t="s">
        <v>248</v>
      </c>
      <c r="C982" s="262" t="s">
        <v>497</v>
      </c>
      <c r="D982" s="262" t="s">
        <v>1106</v>
      </c>
      <c r="E982" s="263" t="s">
        <v>1468</v>
      </c>
      <c r="F982" s="369">
        <v>404033315.35000002</v>
      </c>
      <c r="G982" s="369">
        <v>395256835.87</v>
      </c>
      <c r="H982" s="368">
        <f t="shared" si="32"/>
        <v>97.827783218223658</v>
      </c>
      <c r="I982" s="147" t="str">
        <f t="shared" si="31"/>
        <v>07010110000000</v>
      </c>
    </row>
    <row r="983" spans="1:9" ht="114.75">
      <c r="A983" s="54" t="s">
        <v>499</v>
      </c>
      <c r="B983" s="262" t="s">
        <v>248</v>
      </c>
      <c r="C983" s="262" t="s">
        <v>497</v>
      </c>
      <c r="D983" s="262" t="s">
        <v>870</v>
      </c>
      <c r="E983" s="263" t="s">
        <v>1468</v>
      </c>
      <c r="F983" s="369">
        <v>38676718.18</v>
      </c>
      <c r="G983" s="369">
        <v>37423828.869999997</v>
      </c>
      <c r="H983" s="368">
        <f t="shared" si="32"/>
        <v>96.760611114497607</v>
      </c>
      <c r="I983" s="147" t="str">
        <f t="shared" si="31"/>
        <v>07010110040010</v>
      </c>
    </row>
    <row r="984" spans="1:9" ht="63.75">
      <c r="A984" s="54" t="s">
        <v>1754</v>
      </c>
      <c r="B984" s="262" t="s">
        <v>248</v>
      </c>
      <c r="C984" s="262" t="s">
        <v>497</v>
      </c>
      <c r="D984" s="262" t="s">
        <v>870</v>
      </c>
      <c r="E984" s="263" t="s">
        <v>322</v>
      </c>
      <c r="F984" s="369">
        <v>27441792.629999999</v>
      </c>
      <c r="G984" s="369">
        <f>G985</f>
        <v>26443803.780000001</v>
      </c>
      <c r="H984" s="368">
        <f t="shared" si="32"/>
        <v>96.363251980451992</v>
      </c>
      <c r="I984" s="147" t="str">
        <f t="shared" si="31"/>
        <v>07010110040010100</v>
      </c>
    </row>
    <row r="985" spans="1:9" ht="25.5">
      <c r="A985" s="54" t="s">
        <v>1487</v>
      </c>
      <c r="B985" s="262" t="s">
        <v>248</v>
      </c>
      <c r="C985" s="262" t="s">
        <v>497</v>
      </c>
      <c r="D985" s="262" t="s">
        <v>870</v>
      </c>
      <c r="E985" s="263" t="s">
        <v>165</v>
      </c>
      <c r="F985" s="369">
        <v>27441792.629999999</v>
      </c>
      <c r="G985" s="369">
        <f>G986+G987+G988</f>
        <v>26443803.780000001</v>
      </c>
      <c r="H985" s="368">
        <f t="shared" si="32"/>
        <v>96.363251980451992</v>
      </c>
      <c r="I985" s="147" t="str">
        <f t="shared" si="31"/>
        <v>07010110040010110</v>
      </c>
    </row>
    <row r="986" spans="1:9">
      <c r="A986" s="54" t="s">
        <v>1360</v>
      </c>
      <c r="B986" s="262" t="s">
        <v>248</v>
      </c>
      <c r="C986" s="262" t="s">
        <v>497</v>
      </c>
      <c r="D986" s="262" t="s">
        <v>870</v>
      </c>
      <c r="E986" s="263" t="s">
        <v>430</v>
      </c>
      <c r="F986" s="369">
        <v>20966169.109999999</v>
      </c>
      <c r="G986" s="369">
        <v>20154002.079999998</v>
      </c>
      <c r="H986" s="368">
        <f t="shared" si="32"/>
        <v>96.12629743784413</v>
      </c>
      <c r="I986" s="147" t="str">
        <f t="shared" si="31"/>
        <v>07010110040010111</v>
      </c>
    </row>
    <row r="987" spans="1:9" ht="25.5">
      <c r="A987" s="54" t="s">
        <v>1369</v>
      </c>
      <c r="B987" s="262" t="s">
        <v>248</v>
      </c>
      <c r="C987" s="262" t="s">
        <v>497</v>
      </c>
      <c r="D987" s="262" t="s">
        <v>870</v>
      </c>
      <c r="E987" s="263" t="s">
        <v>479</v>
      </c>
      <c r="F987" s="369">
        <v>80188.28</v>
      </c>
      <c r="G987" s="369">
        <v>77988.28</v>
      </c>
      <c r="H987" s="368">
        <f t="shared" si="32"/>
        <v>97.256456928618491</v>
      </c>
      <c r="I987" s="147" t="str">
        <f t="shared" si="31"/>
        <v>07010110040010112</v>
      </c>
    </row>
    <row r="988" spans="1:9" ht="51">
      <c r="A988" s="54" t="s">
        <v>1361</v>
      </c>
      <c r="B988" s="262" t="s">
        <v>248</v>
      </c>
      <c r="C988" s="262" t="s">
        <v>497</v>
      </c>
      <c r="D988" s="262" t="s">
        <v>870</v>
      </c>
      <c r="E988" s="263" t="s">
        <v>1197</v>
      </c>
      <c r="F988" s="369">
        <v>6395435.2400000002</v>
      </c>
      <c r="G988" s="369">
        <v>6211813.4199999999</v>
      </c>
      <c r="H988" s="368">
        <f t="shared" si="32"/>
        <v>97.128861240724561</v>
      </c>
      <c r="I988" s="147" t="str">
        <f t="shared" si="31"/>
        <v>07010110040010119</v>
      </c>
    </row>
    <row r="989" spans="1:9" ht="25.5">
      <c r="A989" s="54" t="s">
        <v>1755</v>
      </c>
      <c r="B989" s="262" t="s">
        <v>248</v>
      </c>
      <c r="C989" s="262" t="s">
        <v>497</v>
      </c>
      <c r="D989" s="262" t="s">
        <v>870</v>
      </c>
      <c r="E989" s="263" t="s">
        <v>1756</v>
      </c>
      <c r="F989" s="369">
        <v>10518111.220000001</v>
      </c>
      <c r="G989" s="369">
        <v>10292477.029999999</v>
      </c>
      <c r="H989" s="368">
        <f t="shared" si="32"/>
        <v>97.854803155428115</v>
      </c>
      <c r="I989" s="147" t="str">
        <f t="shared" si="31"/>
        <v>07010110040010200</v>
      </c>
    </row>
    <row r="990" spans="1:9" ht="38.25">
      <c r="A990" s="54" t="s">
        <v>1502</v>
      </c>
      <c r="B990" s="262" t="s">
        <v>248</v>
      </c>
      <c r="C990" s="262" t="s">
        <v>497</v>
      </c>
      <c r="D990" s="262" t="s">
        <v>870</v>
      </c>
      <c r="E990" s="263" t="s">
        <v>1503</v>
      </c>
      <c r="F990" s="369">
        <v>10518111.220000001</v>
      </c>
      <c r="G990" s="369">
        <v>10292477.029999999</v>
      </c>
      <c r="H990" s="368">
        <f t="shared" si="32"/>
        <v>97.854803155428115</v>
      </c>
      <c r="I990" s="147" t="str">
        <f t="shared" si="31"/>
        <v>07010110040010240</v>
      </c>
    </row>
    <row r="991" spans="1:9">
      <c r="A991" s="54" t="s">
        <v>1577</v>
      </c>
      <c r="B991" s="262" t="s">
        <v>248</v>
      </c>
      <c r="C991" s="262" t="s">
        <v>497</v>
      </c>
      <c r="D991" s="262" t="s">
        <v>870</v>
      </c>
      <c r="E991" s="263" t="s">
        <v>416</v>
      </c>
      <c r="F991" s="369">
        <v>10518111.220000001</v>
      </c>
      <c r="G991" s="369">
        <v>10292477.029999999</v>
      </c>
      <c r="H991" s="368">
        <f t="shared" si="32"/>
        <v>97.854803155428115</v>
      </c>
      <c r="I991" s="147" t="str">
        <f t="shared" si="31"/>
        <v>07010110040010244</v>
      </c>
    </row>
    <row r="992" spans="1:9">
      <c r="A992" s="54" t="s">
        <v>1757</v>
      </c>
      <c r="B992" s="262" t="s">
        <v>248</v>
      </c>
      <c r="C992" s="262" t="s">
        <v>497</v>
      </c>
      <c r="D992" s="262" t="s">
        <v>870</v>
      </c>
      <c r="E992" s="263" t="s">
        <v>1758</v>
      </c>
      <c r="F992" s="369">
        <v>716814.33</v>
      </c>
      <c r="G992" s="369">
        <f>G993+G995</f>
        <v>687548.06</v>
      </c>
      <c r="H992" s="368">
        <f t="shared" si="32"/>
        <v>95.917175651329416</v>
      </c>
      <c r="I992" s="147" t="str">
        <f t="shared" si="31"/>
        <v>07010110040010800</v>
      </c>
    </row>
    <row r="993" spans="1:9">
      <c r="A993" s="54" t="s">
        <v>1516</v>
      </c>
      <c r="B993" s="262" t="s">
        <v>248</v>
      </c>
      <c r="C993" s="262" t="s">
        <v>497</v>
      </c>
      <c r="D993" s="262" t="s">
        <v>870</v>
      </c>
      <c r="E993" s="263" t="s">
        <v>242</v>
      </c>
      <c r="F993" s="369">
        <v>14864</v>
      </c>
      <c r="G993" s="369">
        <v>14864</v>
      </c>
      <c r="H993" s="368">
        <f t="shared" si="32"/>
        <v>100</v>
      </c>
      <c r="I993" s="147" t="str">
        <f t="shared" si="31"/>
        <v>07010110040010830</v>
      </c>
    </row>
    <row r="994" spans="1:9" ht="38.25">
      <c r="A994" s="54" t="s">
        <v>1425</v>
      </c>
      <c r="B994" s="262" t="s">
        <v>248</v>
      </c>
      <c r="C994" s="262" t="s">
        <v>497</v>
      </c>
      <c r="D994" s="262" t="s">
        <v>870</v>
      </c>
      <c r="E994" s="263" t="s">
        <v>521</v>
      </c>
      <c r="F994" s="369">
        <v>14864</v>
      </c>
      <c r="G994" s="369">
        <v>14864</v>
      </c>
      <c r="H994" s="368">
        <f t="shared" si="32"/>
        <v>100</v>
      </c>
      <c r="I994" s="147" t="str">
        <f t="shared" si="31"/>
        <v>07010110040010831</v>
      </c>
    </row>
    <row r="995" spans="1:9">
      <c r="A995" s="54" t="s">
        <v>1507</v>
      </c>
      <c r="B995" s="262" t="s">
        <v>248</v>
      </c>
      <c r="C995" s="262" t="s">
        <v>497</v>
      </c>
      <c r="D995" s="262" t="s">
        <v>870</v>
      </c>
      <c r="E995" s="263" t="s">
        <v>1508</v>
      </c>
      <c r="F995" s="369">
        <v>701950.33</v>
      </c>
      <c r="G995" s="369">
        <v>672684.06</v>
      </c>
      <c r="H995" s="368">
        <f t="shared" si="32"/>
        <v>95.830720672216245</v>
      </c>
      <c r="I995" s="147" t="str">
        <f t="shared" si="31"/>
        <v>07010110040010850</v>
      </c>
    </row>
    <row r="996" spans="1:9">
      <c r="A996" s="54" t="s">
        <v>1198</v>
      </c>
      <c r="B996" s="262" t="s">
        <v>248</v>
      </c>
      <c r="C996" s="262" t="s">
        <v>497</v>
      </c>
      <c r="D996" s="262" t="s">
        <v>870</v>
      </c>
      <c r="E996" s="263" t="s">
        <v>1199</v>
      </c>
      <c r="F996" s="369">
        <v>701950.33</v>
      </c>
      <c r="G996" s="369">
        <v>672684.06</v>
      </c>
      <c r="H996" s="368">
        <f t="shared" si="32"/>
        <v>95.830720672216245</v>
      </c>
      <c r="I996" s="147" t="str">
        <f t="shared" si="31"/>
        <v>07010110040010853</v>
      </c>
    </row>
    <row r="997" spans="1:9" ht="165.75">
      <c r="A997" s="54" t="s">
        <v>681</v>
      </c>
      <c r="B997" s="262" t="s">
        <v>248</v>
      </c>
      <c r="C997" s="262" t="s">
        <v>497</v>
      </c>
      <c r="D997" s="262" t="s">
        <v>871</v>
      </c>
      <c r="E997" s="263" t="s">
        <v>1468</v>
      </c>
      <c r="F997" s="369">
        <v>60267028.649999999</v>
      </c>
      <c r="G997" s="369">
        <v>58981548.049999997</v>
      </c>
      <c r="H997" s="368">
        <f t="shared" si="32"/>
        <v>97.867025090177563</v>
      </c>
      <c r="I997" s="147" t="str">
        <f t="shared" si="31"/>
        <v>07010110041010</v>
      </c>
    </row>
    <row r="998" spans="1:9" ht="63.75">
      <c r="A998" s="54" t="s">
        <v>1754</v>
      </c>
      <c r="B998" s="262" t="s">
        <v>248</v>
      </c>
      <c r="C998" s="262" t="s">
        <v>497</v>
      </c>
      <c r="D998" s="262" t="s">
        <v>871</v>
      </c>
      <c r="E998" s="263" t="s">
        <v>322</v>
      </c>
      <c r="F998" s="369">
        <v>60267028.649999999</v>
      </c>
      <c r="G998" s="369">
        <v>58981548.049999997</v>
      </c>
      <c r="H998" s="368">
        <f t="shared" si="32"/>
        <v>97.867025090177563</v>
      </c>
      <c r="I998" s="147" t="str">
        <f t="shared" si="31"/>
        <v>07010110041010100</v>
      </c>
    </row>
    <row r="999" spans="1:9" ht="25.5">
      <c r="A999" s="54" t="s">
        <v>1487</v>
      </c>
      <c r="B999" s="262" t="s">
        <v>248</v>
      </c>
      <c r="C999" s="262" t="s">
        <v>497</v>
      </c>
      <c r="D999" s="262" t="s">
        <v>871</v>
      </c>
      <c r="E999" s="263" t="s">
        <v>165</v>
      </c>
      <c r="F999" s="369">
        <v>60267028.649999999</v>
      </c>
      <c r="G999" s="369">
        <v>58981548.049999997</v>
      </c>
      <c r="H999" s="368">
        <f t="shared" si="32"/>
        <v>97.867025090177563</v>
      </c>
      <c r="I999" s="147" t="str">
        <f t="shared" si="31"/>
        <v>07010110041010110</v>
      </c>
    </row>
    <row r="1000" spans="1:9">
      <c r="A1000" s="54" t="s">
        <v>1360</v>
      </c>
      <c r="B1000" s="262" t="s">
        <v>248</v>
      </c>
      <c r="C1000" s="262" t="s">
        <v>497</v>
      </c>
      <c r="D1000" s="262" t="s">
        <v>871</v>
      </c>
      <c r="E1000" s="263" t="s">
        <v>430</v>
      </c>
      <c r="F1000" s="369">
        <v>46268096</v>
      </c>
      <c r="G1000" s="369">
        <v>45589316.340000004</v>
      </c>
      <c r="H1000" s="368">
        <f t="shared" si="32"/>
        <v>98.532942310831217</v>
      </c>
      <c r="I1000" s="147" t="str">
        <f t="shared" si="31"/>
        <v>07010110041010111</v>
      </c>
    </row>
    <row r="1001" spans="1:9" ht="51">
      <c r="A1001" s="54" t="s">
        <v>1361</v>
      </c>
      <c r="B1001" s="262" t="s">
        <v>248</v>
      </c>
      <c r="C1001" s="262" t="s">
        <v>497</v>
      </c>
      <c r="D1001" s="262" t="s">
        <v>871</v>
      </c>
      <c r="E1001" s="263" t="s">
        <v>1197</v>
      </c>
      <c r="F1001" s="369">
        <v>13998932.65</v>
      </c>
      <c r="G1001" s="369">
        <v>13392231.710000001</v>
      </c>
      <c r="H1001" s="368">
        <f t="shared" si="32"/>
        <v>95.666091443050121</v>
      </c>
      <c r="I1001" s="147" t="str">
        <f t="shared" ref="I1001:I1064" si="33">CONCATENATE(C1001,D1001,E1001)</f>
        <v>07010110041010119</v>
      </c>
    </row>
    <row r="1002" spans="1:9" ht="127.5">
      <c r="A1002" s="54" t="s">
        <v>2046</v>
      </c>
      <c r="B1002" s="262" t="s">
        <v>248</v>
      </c>
      <c r="C1002" s="262" t="s">
        <v>497</v>
      </c>
      <c r="D1002" s="262" t="s">
        <v>2047</v>
      </c>
      <c r="E1002" s="263" t="s">
        <v>1468</v>
      </c>
      <c r="F1002" s="369">
        <v>10200</v>
      </c>
      <c r="G1002" s="369">
        <v>10200</v>
      </c>
      <c r="H1002" s="368">
        <f t="shared" si="32"/>
        <v>100</v>
      </c>
      <c r="I1002" s="147" t="str">
        <f t="shared" si="33"/>
        <v>07010110043010</v>
      </c>
    </row>
    <row r="1003" spans="1:9" ht="25.5">
      <c r="A1003" s="54" t="s">
        <v>1755</v>
      </c>
      <c r="B1003" s="262" t="s">
        <v>248</v>
      </c>
      <c r="C1003" s="262" t="s">
        <v>497</v>
      </c>
      <c r="D1003" s="262" t="s">
        <v>2047</v>
      </c>
      <c r="E1003" s="263" t="s">
        <v>1756</v>
      </c>
      <c r="F1003" s="369">
        <v>10200</v>
      </c>
      <c r="G1003" s="369">
        <v>10200</v>
      </c>
      <c r="H1003" s="368">
        <f t="shared" si="32"/>
        <v>100</v>
      </c>
      <c r="I1003" s="147" t="str">
        <f t="shared" si="33"/>
        <v>07010110043010200</v>
      </c>
    </row>
    <row r="1004" spans="1:9" ht="38.25">
      <c r="A1004" s="54" t="s">
        <v>1502</v>
      </c>
      <c r="B1004" s="262" t="s">
        <v>248</v>
      </c>
      <c r="C1004" s="262" t="s">
        <v>497</v>
      </c>
      <c r="D1004" s="262" t="s">
        <v>2047</v>
      </c>
      <c r="E1004" s="263" t="s">
        <v>1503</v>
      </c>
      <c r="F1004" s="369">
        <v>10200</v>
      </c>
      <c r="G1004" s="369">
        <v>10200</v>
      </c>
      <c r="H1004" s="368">
        <f t="shared" si="32"/>
        <v>100</v>
      </c>
      <c r="I1004" s="147" t="str">
        <f t="shared" si="33"/>
        <v>07010110043010240</v>
      </c>
    </row>
    <row r="1005" spans="1:9">
      <c r="A1005" s="54" t="s">
        <v>1577</v>
      </c>
      <c r="B1005" s="262" t="s">
        <v>248</v>
      </c>
      <c r="C1005" s="262" t="s">
        <v>497</v>
      </c>
      <c r="D1005" s="262" t="s">
        <v>2047</v>
      </c>
      <c r="E1005" s="263" t="s">
        <v>416</v>
      </c>
      <c r="F1005" s="369">
        <v>10200</v>
      </c>
      <c r="G1005" s="369">
        <v>10200</v>
      </c>
      <c r="H1005" s="368">
        <f t="shared" si="32"/>
        <v>100</v>
      </c>
      <c r="I1005" s="147" t="str">
        <f t="shared" si="33"/>
        <v>07010110043010244</v>
      </c>
    </row>
    <row r="1006" spans="1:9" ht="114.75">
      <c r="A1006" s="54" t="s">
        <v>682</v>
      </c>
      <c r="B1006" s="262" t="s">
        <v>248</v>
      </c>
      <c r="C1006" s="262" t="s">
        <v>497</v>
      </c>
      <c r="D1006" s="262" t="s">
        <v>872</v>
      </c>
      <c r="E1006" s="263" t="s">
        <v>1468</v>
      </c>
      <c r="F1006" s="369">
        <v>767037.69</v>
      </c>
      <c r="G1006" s="369">
        <v>763685.87</v>
      </c>
      <c r="H1006" s="368">
        <f t="shared" si="32"/>
        <v>99.563017561757633</v>
      </c>
      <c r="I1006" s="147" t="str">
        <f t="shared" si="33"/>
        <v>07010110047010</v>
      </c>
    </row>
    <row r="1007" spans="1:9" ht="63.75">
      <c r="A1007" s="54" t="s">
        <v>1754</v>
      </c>
      <c r="B1007" s="262" t="s">
        <v>248</v>
      </c>
      <c r="C1007" s="262" t="s">
        <v>497</v>
      </c>
      <c r="D1007" s="262" t="s">
        <v>872</v>
      </c>
      <c r="E1007" s="263" t="s">
        <v>322</v>
      </c>
      <c r="F1007" s="369">
        <v>767037.69</v>
      </c>
      <c r="G1007" s="369">
        <v>763685.87</v>
      </c>
      <c r="H1007" s="368">
        <f t="shared" si="32"/>
        <v>99.563017561757633</v>
      </c>
      <c r="I1007" s="147" t="str">
        <f t="shared" si="33"/>
        <v>07010110047010100</v>
      </c>
    </row>
    <row r="1008" spans="1:9" ht="25.5">
      <c r="A1008" s="54" t="s">
        <v>1487</v>
      </c>
      <c r="B1008" s="262" t="s">
        <v>248</v>
      </c>
      <c r="C1008" s="262" t="s">
        <v>497</v>
      </c>
      <c r="D1008" s="262" t="s">
        <v>872</v>
      </c>
      <c r="E1008" s="263" t="s">
        <v>165</v>
      </c>
      <c r="F1008" s="369">
        <v>767037.69</v>
      </c>
      <c r="G1008" s="369">
        <v>763685.87</v>
      </c>
      <c r="H1008" s="368">
        <f t="shared" si="32"/>
        <v>99.563017561757633</v>
      </c>
      <c r="I1008" s="147" t="str">
        <f t="shared" si="33"/>
        <v>07010110047010110</v>
      </c>
    </row>
    <row r="1009" spans="1:9" ht="25.5">
      <c r="A1009" s="54" t="s">
        <v>1369</v>
      </c>
      <c r="B1009" s="262" t="s">
        <v>248</v>
      </c>
      <c r="C1009" s="262" t="s">
        <v>497</v>
      </c>
      <c r="D1009" s="262" t="s">
        <v>872</v>
      </c>
      <c r="E1009" s="263" t="s">
        <v>479</v>
      </c>
      <c r="F1009" s="369">
        <v>767037.69</v>
      </c>
      <c r="G1009" s="369">
        <v>763685.87</v>
      </c>
      <c r="H1009" s="368">
        <f t="shared" si="32"/>
        <v>99.563017561757633</v>
      </c>
      <c r="I1009" s="147" t="str">
        <f t="shared" si="33"/>
        <v>07010110047010112</v>
      </c>
    </row>
    <row r="1010" spans="1:9" ht="127.5">
      <c r="A1010" s="54" t="s">
        <v>683</v>
      </c>
      <c r="B1010" s="262" t="s">
        <v>248</v>
      </c>
      <c r="C1010" s="262" t="s">
        <v>497</v>
      </c>
      <c r="D1010" s="262" t="s">
        <v>873</v>
      </c>
      <c r="E1010" s="263" t="s">
        <v>1468</v>
      </c>
      <c r="F1010" s="369">
        <v>36585958.149999999</v>
      </c>
      <c r="G1010" s="369">
        <v>33803144.140000001</v>
      </c>
      <c r="H1010" s="368">
        <f t="shared" si="32"/>
        <v>92.393764846636941</v>
      </c>
      <c r="I1010" s="147" t="str">
        <f t="shared" si="33"/>
        <v>0701011004Г010</v>
      </c>
    </row>
    <row r="1011" spans="1:9" ht="25.5">
      <c r="A1011" s="54" t="s">
        <v>1755</v>
      </c>
      <c r="B1011" s="262" t="s">
        <v>248</v>
      </c>
      <c r="C1011" s="262" t="s">
        <v>497</v>
      </c>
      <c r="D1011" s="262" t="s">
        <v>873</v>
      </c>
      <c r="E1011" s="263" t="s">
        <v>1756</v>
      </c>
      <c r="F1011" s="369">
        <v>36585958.149999999</v>
      </c>
      <c r="G1011" s="369">
        <v>33803144.140000001</v>
      </c>
      <c r="H1011" s="368">
        <f t="shared" si="32"/>
        <v>92.393764846636941</v>
      </c>
      <c r="I1011" s="147" t="str">
        <f t="shared" si="33"/>
        <v>0701011004Г010200</v>
      </c>
    </row>
    <row r="1012" spans="1:9" ht="38.25">
      <c r="A1012" s="54" t="s">
        <v>1502</v>
      </c>
      <c r="B1012" s="262" t="s">
        <v>248</v>
      </c>
      <c r="C1012" s="262" t="s">
        <v>497</v>
      </c>
      <c r="D1012" s="262" t="s">
        <v>873</v>
      </c>
      <c r="E1012" s="263" t="s">
        <v>1503</v>
      </c>
      <c r="F1012" s="369">
        <v>36585958.149999999</v>
      </c>
      <c r="G1012" s="369">
        <v>33803144.140000001</v>
      </c>
      <c r="H1012" s="368">
        <f t="shared" si="32"/>
        <v>92.393764846636941</v>
      </c>
      <c r="I1012" s="147" t="str">
        <f t="shared" si="33"/>
        <v>0701011004Г010240</v>
      </c>
    </row>
    <row r="1013" spans="1:9">
      <c r="A1013" s="54" t="s">
        <v>1577</v>
      </c>
      <c r="B1013" s="262" t="s">
        <v>248</v>
      </c>
      <c r="C1013" s="262" t="s">
        <v>497</v>
      </c>
      <c r="D1013" s="262" t="s">
        <v>873</v>
      </c>
      <c r="E1013" s="263" t="s">
        <v>416</v>
      </c>
      <c r="F1013" s="369">
        <v>36585958.149999999</v>
      </c>
      <c r="G1013" s="369">
        <v>33803144.140000001</v>
      </c>
      <c r="H1013" s="368">
        <f t="shared" si="32"/>
        <v>92.393764846636941</v>
      </c>
      <c r="I1013" s="147" t="str">
        <f t="shared" si="33"/>
        <v>0701011004Г010244</v>
      </c>
    </row>
    <row r="1014" spans="1:9" ht="102">
      <c r="A1014" s="54" t="s">
        <v>684</v>
      </c>
      <c r="B1014" s="262" t="s">
        <v>248</v>
      </c>
      <c r="C1014" s="262" t="s">
        <v>497</v>
      </c>
      <c r="D1014" s="262" t="s">
        <v>874</v>
      </c>
      <c r="E1014" s="263" t="s">
        <v>1468</v>
      </c>
      <c r="F1014" s="369">
        <v>30720000</v>
      </c>
      <c r="G1014" s="369">
        <v>30719133.100000001</v>
      </c>
      <c r="H1014" s="368">
        <f t="shared" si="32"/>
        <v>99.997178059895845</v>
      </c>
      <c r="I1014" s="147" t="str">
        <f t="shared" si="33"/>
        <v>0701011004П010</v>
      </c>
    </row>
    <row r="1015" spans="1:9" ht="25.5">
      <c r="A1015" s="54" t="s">
        <v>1755</v>
      </c>
      <c r="B1015" s="262" t="s">
        <v>248</v>
      </c>
      <c r="C1015" s="262" t="s">
        <v>497</v>
      </c>
      <c r="D1015" s="262" t="s">
        <v>874</v>
      </c>
      <c r="E1015" s="263" t="s">
        <v>1756</v>
      </c>
      <c r="F1015" s="369">
        <v>30720000</v>
      </c>
      <c r="G1015" s="369">
        <v>30719133.100000001</v>
      </c>
      <c r="H1015" s="368">
        <f t="shared" si="32"/>
        <v>99.997178059895845</v>
      </c>
      <c r="I1015" s="147" t="str">
        <f t="shared" si="33"/>
        <v>0701011004П010200</v>
      </c>
    </row>
    <row r="1016" spans="1:9" ht="38.25">
      <c r="A1016" s="54" t="s">
        <v>1502</v>
      </c>
      <c r="B1016" s="262" t="s">
        <v>248</v>
      </c>
      <c r="C1016" s="262" t="s">
        <v>497</v>
      </c>
      <c r="D1016" s="262" t="s">
        <v>874</v>
      </c>
      <c r="E1016" s="263" t="s">
        <v>1503</v>
      </c>
      <c r="F1016" s="369">
        <v>30720000</v>
      </c>
      <c r="G1016" s="369">
        <v>30719133.100000001</v>
      </c>
      <c r="H1016" s="368">
        <f t="shared" si="32"/>
        <v>99.997178059895845</v>
      </c>
      <c r="I1016" s="147" t="str">
        <f t="shared" si="33"/>
        <v>0701011004П010240</v>
      </c>
    </row>
    <row r="1017" spans="1:9">
      <c r="A1017" s="54" t="s">
        <v>1577</v>
      </c>
      <c r="B1017" s="262" t="s">
        <v>248</v>
      </c>
      <c r="C1017" s="262" t="s">
        <v>497</v>
      </c>
      <c r="D1017" s="262" t="s">
        <v>874</v>
      </c>
      <c r="E1017" s="263" t="s">
        <v>416</v>
      </c>
      <c r="F1017" s="369">
        <v>30720000</v>
      </c>
      <c r="G1017" s="369">
        <v>30719133.100000001</v>
      </c>
      <c r="H1017" s="368">
        <f t="shared" si="32"/>
        <v>99.997178059895845</v>
      </c>
      <c r="I1017" s="147" t="str">
        <f t="shared" si="33"/>
        <v>0701011004П010244</v>
      </c>
    </row>
    <row r="1018" spans="1:9" ht="76.5">
      <c r="A1018" s="54" t="s">
        <v>1860</v>
      </c>
      <c r="B1018" s="262" t="s">
        <v>248</v>
      </c>
      <c r="C1018" s="262" t="s">
        <v>497</v>
      </c>
      <c r="D1018" s="262" t="s">
        <v>1861</v>
      </c>
      <c r="E1018" s="263" t="s">
        <v>1468</v>
      </c>
      <c r="F1018" s="369">
        <v>1252164.28</v>
      </c>
      <c r="G1018" s="369">
        <v>1239304.73</v>
      </c>
      <c r="H1018" s="368">
        <f t="shared" si="32"/>
        <v>98.973014147951886</v>
      </c>
      <c r="I1018" s="147" t="str">
        <f t="shared" si="33"/>
        <v>0701011004Ф000</v>
      </c>
    </row>
    <row r="1019" spans="1:9" ht="25.5">
      <c r="A1019" s="54" t="s">
        <v>1755</v>
      </c>
      <c r="B1019" s="262" t="s">
        <v>248</v>
      </c>
      <c r="C1019" s="262" t="s">
        <v>497</v>
      </c>
      <c r="D1019" s="262" t="s">
        <v>1861</v>
      </c>
      <c r="E1019" s="263" t="s">
        <v>1756</v>
      </c>
      <c r="F1019" s="369">
        <v>1252164.28</v>
      </c>
      <c r="G1019" s="369">
        <v>1239304.73</v>
      </c>
      <c r="H1019" s="368">
        <f t="shared" si="32"/>
        <v>98.973014147951886</v>
      </c>
      <c r="I1019" s="147" t="str">
        <f t="shared" si="33"/>
        <v>0701011004Ф000200</v>
      </c>
    </row>
    <row r="1020" spans="1:9" ht="38.25">
      <c r="A1020" s="54" t="s">
        <v>1502</v>
      </c>
      <c r="B1020" s="262" t="s">
        <v>248</v>
      </c>
      <c r="C1020" s="262" t="s">
        <v>497</v>
      </c>
      <c r="D1020" s="262" t="s">
        <v>1861</v>
      </c>
      <c r="E1020" s="263" t="s">
        <v>1503</v>
      </c>
      <c r="F1020" s="369">
        <v>1252164.28</v>
      </c>
      <c r="G1020" s="369">
        <v>1239304.73</v>
      </c>
      <c r="H1020" s="368">
        <f t="shared" si="32"/>
        <v>98.973014147951886</v>
      </c>
      <c r="I1020" s="147" t="str">
        <f t="shared" si="33"/>
        <v>0701011004Ф000240</v>
      </c>
    </row>
    <row r="1021" spans="1:9">
      <c r="A1021" s="54" t="s">
        <v>1577</v>
      </c>
      <c r="B1021" s="262" t="s">
        <v>248</v>
      </c>
      <c r="C1021" s="262" t="s">
        <v>497</v>
      </c>
      <c r="D1021" s="262" t="s">
        <v>1861</v>
      </c>
      <c r="E1021" s="263" t="s">
        <v>416</v>
      </c>
      <c r="F1021" s="369">
        <v>1252164.28</v>
      </c>
      <c r="G1021" s="369">
        <v>1239304.73</v>
      </c>
      <c r="H1021" s="368">
        <f t="shared" si="32"/>
        <v>98.973014147951886</v>
      </c>
      <c r="I1021" s="147" t="str">
        <f t="shared" si="33"/>
        <v>0701011004Ф000244</v>
      </c>
    </row>
    <row r="1022" spans="1:9" ht="114.75">
      <c r="A1022" s="54" t="s">
        <v>1095</v>
      </c>
      <c r="B1022" s="262" t="s">
        <v>248</v>
      </c>
      <c r="C1022" s="262" t="s">
        <v>497</v>
      </c>
      <c r="D1022" s="262" t="s">
        <v>1096</v>
      </c>
      <c r="E1022" s="263" t="s">
        <v>1468</v>
      </c>
      <c r="F1022" s="369">
        <v>9007748.4000000004</v>
      </c>
      <c r="G1022" s="369">
        <v>8769911.9499999993</v>
      </c>
      <c r="H1022" s="368">
        <f t="shared" si="32"/>
        <v>97.359645946594142</v>
      </c>
      <c r="I1022" s="147" t="str">
        <f t="shared" si="33"/>
        <v>0701011004Э010</v>
      </c>
    </row>
    <row r="1023" spans="1:9" ht="25.5">
      <c r="A1023" s="54" t="s">
        <v>1755</v>
      </c>
      <c r="B1023" s="262" t="s">
        <v>248</v>
      </c>
      <c r="C1023" s="262" t="s">
        <v>497</v>
      </c>
      <c r="D1023" s="262" t="s">
        <v>1096</v>
      </c>
      <c r="E1023" s="263" t="s">
        <v>1756</v>
      </c>
      <c r="F1023" s="369">
        <v>9007748.4000000004</v>
      </c>
      <c r="G1023" s="369">
        <v>8769911.9499999993</v>
      </c>
      <c r="H1023" s="368">
        <f t="shared" si="32"/>
        <v>97.359645946594142</v>
      </c>
      <c r="I1023" s="147" t="str">
        <f t="shared" si="33"/>
        <v>0701011004Э010200</v>
      </c>
    </row>
    <row r="1024" spans="1:9" ht="38.25">
      <c r="A1024" s="54" t="s">
        <v>1502</v>
      </c>
      <c r="B1024" s="262" t="s">
        <v>248</v>
      </c>
      <c r="C1024" s="262" t="s">
        <v>497</v>
      </c>
      <c r="D1024" s="262" t="s">
        <v>1096</v>
      </c>
      <c r="E1024" s="263" t="s">
        <v>1503</v>
      </c>
      <c r="F1024" s="369">
        <v>9007748.4000000004</v>
      </c>
      <c r="G1024" s="369">
        <v>8769911.9499999993</v>
      </c>
      <c r="H1024" s="368">
        <f t="shared" si="32"/>
        <v>97.359645946594142</v>
      </c>
      <c r="I1024" s="147" t="str">
        <f t="shared" si="33"/>
        <v>0701011004Э010240</v>
      </c>
    </row>
    <row r="1025" spans="1:9">
      <c r="A1025" s="54" t="s">
        <v>1577</v>
      </c>
      <c r="B1025" s="262" t="s">
        <v>248</v>
      </c>
      <c r="C1025" s="262" t="s">
        <v>497</v>
      </c>
      <c r="D1025" s="262" t="s">
        <v>1096</v>
      </c>
      <c r="E1025" s="263" t="s">
        <v>416</v>
      </c>
      <c r="F1025" s="369">
        <v>9007748.4000000004</v>
      </c>
      <c r="G1025" s="369">
        <v>8769911.9499999993</v>
      </c>
      <c r="H1025" s="368">
        <f t="shared" si="32"/>
        <v>97.359645946594142</v>
      </c>
      <c r="I1025" s="147" t="str">
        <f t="shared" si="33"/>
        <v>0701011004Э010244</v>
      </c>
    </row>
    <row r="1026" spans="1:9" ht="204">
      <c r="A1026" s="54" t="s">
        <v>868</v>
      </c>
      <c r="B1026" s="262" t="s">
        <v>248</v>
      </c>
      <c r="C1026" s="262" t="s">
        <v>497</v>
      </c>
      <c r="D1026" s="262" t="s">
        <v>869</v>
      </c>
      <c r="E1026" s="263" t="s">
        <v>1468</v>
      </c>
      <c r="F1026" s="369">
        <v>78666460</v>
      </c>
      <c r="G1026" s="369">
        <v>76673911.019999996</v>
      </c>
      <c r="H1026" s="368">
        <f t="shared" si="32"/>
        <v>97.467092099987724</v>
      </c>
      <c r="I1026" s="147" t="str">
        <f t="shared" si="33"/>
        <v>07010110074080</v>
      </c>
    </row>
    <row r="1027" spans="1:9" ht="63.75">
      <c r="A1027" s="54" t="s">
        <v>1754</v>
      </c>
      <c r="B1027" s="262" t="s">
        <v>248</v>
      </c>
      <c r="C1027" s="262" t="s">
        <v>497</v>
      </c>
      <c r="D1027" s="262" t="s">
        <v>869</v>
      </c>
      <c r="E1027" s="263" t="s">
        <v>322</v>
      </c>
      <c r="F1027" s="369">
        <v>76688238.560000002</v>
      </c>
      <c r="G1027" s="369">
        <f>G1028</f>
        <v>74839550.569999993</v>
      </c>
      <c r="H1027" s="368">
        <f t="shared" si="32"/>
        <v>97.589346130888615</v>
      </c>
      <c r="I1027" s="147" t="str">
        <f t="shared" si="33"/>
        <v>07010110074080100</v>
      </c>
    </row>
    <row r="1028" spans="1:9" ht="25.5">
      <c r="A1028" s="54" t="s">
        <v>1487</v>
      </c>
      <c r="B1028" s="262" t="s">
        <v>248</v>
      </c>
      <c r="C1028" s="262" t="s">
        <v>497</v>
      </c>
      <c r="D1028" s="262" t="s">
        <v>869</v>
      </c>
      <c r="E1028" s="263" t="s">
        <v>165</v>
      </c>
      <c r="F1028" s="369">
        <v>76688238.560000002</v>
      </c>
      <c r="G1028" s="369">
        <f>G1029+G1030+G1031</f>
        <v>74839550.569999993</v>
      </c>
      <c r="H1028" s="368">
        <f t="shared" si="32"/>
        <v>97.589346130888615</v>
      </c>
      <c r="I1028" s="147" t="str">
        <f t="shared" si="33"/>
        <v>07010110074080110</v>
      </c>
    </row>
    <row r="1029" spans="1:9">
      <c r="A1029" s="54" t="s">
        <v>1360</v>
      </c>
      <c r="B1029" s="262" t="s">
        <v>248</v>
      </c>
      <c r="C1029" s="262" t="s">
        <v>497</v>
      </c>
      <c r="D1029" s="262" t="s">
        <v>869</v>
      </c>
      <c r="E1029" s="263" t="s">
        <v>430</v>
      </c>
      <c r="F1029" s="369">
        <v>58327296.899999999</v>
      </c>
      <c r="G1029" s="369">
        <v>56934923.420000002</v>
      </c>
      <c r="H1029" s="368">
        <f t="shared" si="32"/>
        <v>97.612827005531955</v>
      </c>
      <c r="I1029" s="147" t="str">
        <f t="shared" si="33"/>
        <v>07010110074080111</v>
      </c>
    </row>
    <row r="1030" spans="1:9" ht="25.5">
      <c r="A1030" s="54" t="s">
        <v>1369</v>
      </c>
      <c r="B1030" s="262" t="s">
        <v>248</v>
      </c>
      <c r="C1030" s="262" t="s">
        <v>497</v>
      </c>
      <c r="D1030" s="262" t="s">
        <v>869</v>
      </c>
      <c r="E1030" s="263" t="s">
        <v>479</v>
      </c>
      <c r="F1030" s="369">
        <v>721549.56</v>
      </c>
      <c r="G1030" s="369">
        <v>585514.36</v>
      </c>
      <c r="H1030" s="368">
        <f t="shared" si="32"/>
        <v>81.146797456296682</v>
      </c>
      <c r="I1030" s="147" t="str">
        <f t="shared" si="33"/>
        <v>07010110074080112</v>
      </c>
    </row>
    <row r="1031" spans="1:9" ht="51">
      <c r="A1031" s="54" t="s">
        <v>1361</v>
      </c>
      <c r="B1031" s="262" t="s">
        <v>248</v>
      </c>
      <c r="C1031" s="262" t="s">
        <v>497</v>
      </c>
      <c r="D1031" s="262" t="s">
        <v>869</v>
      </c>
      <c r="E1031" s="263" t="s">
        <v>1197</v>
      </c>
      <c r="F1031" s="369">
        <v>17639392.100000001</v>
      </c>
      <c r="G1031" s="369">
        <v>17319112.789999999</v>
      </c>
      <c r="H1031" s="368">
        <f t="shared" si="32"/>
        <v>98.18429508123468</v>
      </c>
      <c r="I1031" s="147" t="str">
        <f t="shared" si="33"/>
        <v>07010110074080119</v>
      </c>
    </row>
    <row r="1032" spans="1:9" ht="25.5">
      <c r="A1032" s="54" t="s">
        <v>1755</v>
      </c>
      <c r="B1032" s="262" t="s">
        <v>248</v>
      </c>
      <c r="C1032" s="262" t="s">
        <v>497</v>
      </c>
      <c r="D1032" s="262" t="s">
        <v>869</v>
      </c>
      <c r="E1032" s="263" t="s">
        <v>1756</v>
      </c>
      <c r="F1032" s="369">
        <v>1978221.44</v>
      </c>
      <c r="G1032" s="369">
        <v>1834360.45</v>
      </c>
      <c r="H1032" s="368">
        <f t="shared" ref="H1032:H1095" si="34">G1032/F1032*100</f>
        <v>92.727761053888884</v>
      </c>
      <c r="I1032" s="147" t="str">
        <f t="shared" si="33"/>
        <v>07010110074080200</v>
      </c>
    </row>
    <row r="1033" spans="1:9" ht="38.25">
      <c r="A1033" s="54" t="s">
        <v>1502</v>
      </c>
      <c r="B1033" s="262" t="s">
        <v>248</v>
      </c>
      <c r="C1033" s="262" t="s">
        <v>497</v>
      </c>
      <c r="D1033" s="262" t="s">
        <v>869</v>
      </c>
      <c r="E1033" s="263" t="s">
        <v>1503</v>
      </c>
      <c r="F1033" s="369">
        <v>1978221.44</v>
      </c>
      <c r="G1033" s="369">
        <v>1834360.45</v>
      </c>
      <c r="H1033" s="368">
        <f t="shared" si="34"/>
        <v>92.727761053888884</v>
      </c>
      <c r="I1033" s="147" t="str">
        <f t="shared" si="33"/>
        <v>07010110074080240</v>
      </c>
    </row>
    <row r="1034" spans="1:9">
      <c r="A1034" s="54" t="s">
        <v>1577</v>
      </c>
      <c r="B1034" s="262" t="s">
        <v>248</v>
      </c>
      <c r="C1034" s="262" t="s">
        <v>497</v>
      </c>
      <c r="D1034" s="262" t="s">
        <v>869</v>
      </c>
      <c r="E1034" s="263" t="s">
        <v>416</v>
      </c>
      <c r="F1034" s="369">
        <v>1978221.44</v>
      </c>
      <c r="G1034" s="369">
        <v>1834360.45</v>
      </c>
      <c r="H1034" s="368">
        <f t="shared" si="34"/>
        <v>92.727761053888884</v>
      </c>
      <c r="I1034" s="147" t="str">
        <f t="shared" si="33"/>
        <v>07010110074080244</v>
      </c>
    </row>
    <row r="1035" spans="1:9" ht="153">
      <c r="A1035" s="54" t="s">
        <v>498</v>
      </c>
      <c r="B1035" s="262" t="s">
        <v>248</v>
      </c>
      <c r="C1035" s="262" t="s">
        <v>497</v>
      </c>
      <c r="D1035" s="262" t="s">
        <v>867</v>
      </c>
      <c r="E1035" s="263" t="s">
        <v>1468</v>
      </c>
      <c r="F1035" s="369">
        <v>146753100</v>
      </c>
      <c r="G1035" s="369">
        <v>145545268.13999999</v>
      </c>
      <c r="H1035" s="368">
        <f t="shared" si="34"/>
        <v>99.176963307759763</v>
      </c>
      <c r="I1035" s="147" t="str">
        <f t="shared" si="33"/>
        <v>07010110075880</v>
      </c>
    </row>
    <row r="1036" spans="1:9" ht="63.75">
      <c r="A1036" s="54" t="s">
        <v>1754</v>
      </c>
      <c r="B1036" s="262" t="s">
        <v>248</v>
      </c>
      <c r="C1036" s="262" t="s">
        <v>497</v>
      </c>
      <c r="D1036" s="262" t="s">
        <v>867</v>
      </c>
      <c r="E1036" s="263" t="s">
        <v>322</v>
      </c>
      <c r="F1036" s="369">
        <v>132570247.95</v>
      </c>
      <c r="G1036" s="369">
        <f>G1037</f>
        <v>131707960.88000001</v>
      </c>
      <c r="H1036" s="368">
        <f t="shared" si="34"/>
        <v>99.349562150381416</v>
      </c>
      <c r="I1036" s="147" t="str">
        <f t="shared" si="33"/>
        <v>07010110075880100</v>
      </c>
    </row>
    <row r="1037" spans="1:9" ht="25.5">
      <c r="A1037" s="54" t="s">
        <v>1487</v>
      </c>
      <c r="B1037" s="262" t="s">
        <v>248</v>
      </c>
      <c r="C1037" s="262" t="s">
        <v>497</v>
      </c>
      <c r="D1037" s="262" t="s">
        <v>867</v>
      </c>
      <c r="E1037" s="263" t="s">
        <v>165</v>
      </c>
      <c r="F1037" s="369">
        <v>132570247.95</v>
      </c>
      <c r="G1037" s="369">
        <f>G1038+G1039+G1040</f>
        <v>131707960.88000001</v>
      </c>
      <c r="H1037" s="368">
        <f t="shared" si="34"/>
        <v>99.349562150381416</v>
      </c>
      <c r="I1037" s="147" t="str">
        <f t="shared" si="33"/>
        <v>07010110075880110</v>
      </c>
    </row>
    <row r="1038" spans="1:9">
      <c r="A1038" s="54" t="s">
        <v>1360</v>
      </c>
      <c r="B1038" s="262" t="s">
        <v>248</v>
      </c>
      <c r="C1038" s="262" t="s">
        <v>497</v>
      </c>
      <c r="D1038" s="262" t="s">
        <v>867</v>
      </c>
      <c r="E1038" s="263" t="s">
        <v>430</v>
      </c>
      <c r="F1038" s="369">
        <v>100741754</v>
      </c>
      <c r="G1038" s="369">
        <v>100096349.2</v>
      </c>
      <c r="H1038" s="368">
        <f t="shared" si="34"/>
        <v>99.359347267271119</v>
      </c>
      <c r="I1038" s="147" t="str">
        <f t="shared" si="33"/>
        <v>07010110075880111</v>
      </c>
    </row>
    <row r="1039" spans="1:9" ht="25.5">
      <c r="A1039" s="54" t="s">
        <v>1369</v>
      </c>
      <c r="B1039" s="262" t="s">
        <v>248</v>
      </c>
      <c r="C1039" s="262" t="s">
        <v>497</v>
      </c>
      <c r="D1039" s="262" t="s">
        <v>867</v>
      </c>
      <c r="E1039" s="263" t="s">
        <v>479</v>
      </c>
      <c r="F1039" s="369">
        <v>1435906.25</v>
      </c>
      <c r="G1039" s="369">
        <v>1354182.23</v>
      </c>
      <c r="H1039" s="368">
        <f t="shared" si="34"/>
        <v>94.308540686413195</v>
      </c>
      <c r="I1039" s="147" t="str">
        <f t="shared" si="33"/>
        <v>07010110075880112</v>
      </c>
    </row>
    <row r="1040" spans="1:9" ht="51">
      <c r="A1040" s="54" t="s">
        <v>1361</v>
      </c>
      <c r="B1040" s="262" t="s">
        <v>248</v>
      </c>
      <c r="C1040" s="262" t="s">
        <v>497</v>
      </c>
      <c r="D1040" s="262" t="s">
        <v>867</v>
      </c>
      <c r="E1040" s="263" t="s">
        <v>1197</v>
      </c>
      <c r="F1040" s="369">
        <v>30392587.699999999</v>
      </c>
      <c r="G1040" s="369">
        <v>30257429.449999999</v>
      </c>
      <c r="H1040" s="368">
        <f t="shared" si="34"/>
        <v>99.555292062215557</v>
      </c>
      <c r="I1040" s="147" t="str">
        <f t="shared" si="33"/>
        <v>07010110075880119</v>
      </c>
    </row>
    <row r="1041" spans="1:9" ht="25.5">
      <c r="A1041" s="54" t="s">
        <v>1755</v>
      </c>
      <c r="B1041" s="262" t="s">
        <v>248</v>
      </c>
      <c r="C1041" s="262" t="s">
        <v>497</v>
      </c>
      <c r="D1041" s="262" t="s">
        <v>867</v>
      </c>
      <c r="E1041" s="263" t="s">
        <v>1756</v>
      </c>
      <c r="F1041" s="369">
        <v>14159852.050000001</v>
      </c>
      <c r="G1041" s="369">
        <v>13814307.26</v>
      </c>
      <c r="H1041" s="368">
        <f t="shared" si="34"/>
        <v>97.559686437542965</v>
      </c>
      <c r="I1041" s="147" t="str">
        <f t="shared" si="33"/>
        <v>07010110075880200</v>
      </c>
    </row>
    <row r="1042" spans="1:9" ht="38.25">
      <c r="A1042" s="54" t="s">
        <v>1502</v>
      </c>
      <c r="B1042" s="262" t="s">
        <v>248</v>
      </c>
      <c r="C1042" s="262" t="s">
        <v>497</v>
      </c>
      <c r="D1042" s="262" t="s">
        <v>867</v>
      </c>
      <c r="E1042" s="263" t="s">
        <v>1503</v>
      </c>
      <c r="F1042" s="369">
        <v>14159852.050000001</v>
      </c>
      <c r="G1042" s="369">
        <v>13814307.26</v>
      </c>
      <c r="H1042" s="368">
        <f t="shared" si="34"/>
        <v>97.559686437542965</v>
      </c>
      <c r="I1042" s="147" t="str">
        <f t="shared" si="33"/>
        <v>07010110075880240</v>
      </c>
    </row>
    <row r="1043" spans="1:9">
      <c r="A1043" s="54" t="s">
        <v>1577</v>
      </c>
      <c r="B1043" s="262" t="s">
        <v>248</v>
      </c>
      <c r="C1043" s="262" t="s">
        <v>497</v>
      </c>
      <c r="D1043" s="262" t="s">
        <v>867</v>
      </c>
      <c r="E1043" s="263" t="s">
        <v>416</v>
      </c>
      <c r="F1043" s="369">
        <v>14159852.050000001</v>
      </c>
      <c r="G1043" s="369">
        <v>13814307.26</v>
      </c>
      <c r="H1043" s="368">
        <f t="shared" si="34"/>
        <v>97.559686437542965</v>
      </c>
      <c r="I1043" s="147" t="str">
        <f t="shared" si="33"/>
        <v>07010110075880244</v>
      </c>
    </row>
    <row r="1044" spans="1:9">
      <c r="A1044" s="54" t="s">
        <v>1757</v>
      </c>
      <c r="B1044" s="262" t="s">
        <v>248</v>
      </c>
      <c r="C1044" s="262" t="s">
        <v>497</v>
      </c>
      <c r="D1044" s="262" t="s">
        <v>867</v>
      </c>
      <c r="E1044" s="263" t="s">
        <v>1758</v>
      </c>
      <c r="F1044" s="369">
        <v>23000</v>
      </c>
      <c r="G1044" s="369">
        <v>23000</v>
      </c>
      <c r="H1044" s="368">
        <f t="shared" si="34"/>
        <v>100</v>
      </c>
      <c r="I1044" s="147" t="str">
        <f t="shared" si="33"/>
        <v>07010110075880800</v>
      </c>
    </row>
    <row r="1045" spans="1:9">
      <c r="A1045" s="54" t="s">
        <v>1507</v>
      </c>
      <c r="B1045" s="262" t="s">
        <v>248</v>
      </c>
      <c r="C1045" s="262" t="s">
        <v>497</v>
      </c>
      <c r="D1045" s="262" t="s">
        <v>867</v>
      </c>
      <c r="E1045" s="263" t="s">
        <v>1508</v>
      </c>
      <c r="F1045" s="369">
        <v>23000</v>
      </c>
      <c r="G1045" s="369">
        <v>23000</v>
      </c>
      <c r="H1045" s="368">
        <f t="shared" si="34"/>
        <v>100</v>
      </c>
      <c r="I1045" s="147" t="str">
        <f t="shared" si="33"/>
        <v>07010110075880850</v>
      </c>
    </row>
    <row r="1046" spans="1:9">
      <c r="A1046" s="54" t="s">
        <v>1082</v>
      </c>
      <c r="B1046" s="262" t="s">
        <v>248</v>
      </c>
      <c r="C1046" s="262" t="s">
        <v>497</v>
      </c>
      <c r="D1046" s="262" t="s">
        <v>867</v>
      </c>
      <c r="E1046" s="263" t="s">
        <v>591</v>
      </c>
      <c r="F1046" s="369">
        <v>23000</v>
      </c>
      <c r="G1046" s="369">
        <v>23000</v>
      </c>
      <c r="H1046" s="368">
        <f t="shared" si="34"/>
        <v>100</v>
      </c>
      <c r="I1046" s="147" t="str">
        <f t="shared" si="33"/>
        <v>07010110075880852</v>
      </c>
    </row>
    <row r="1047" spans="1:9" ht="76.5">
      <c r="A1047" s="54" t="s">
        <v>2003</v>
      </c>
      <c r="B1047" s="262" t="s">
        <v>248</v>
      </c>
      <c r="C1047" s="262" t="s">
        <v>497</v>
      </c>
      <c r="D1047" s="262" t="s">
        <v>2008</v>
      </c>
      <c r="E1047" s="263" t="s">
        <v>1468</v>
      </c>
      <c r="F1047" s="369">
        <v>1326900</v>
      </c>
      <c r="G1047" s="369">
        <v>1326900</v>
      </c>
      <c r="H1047" s="368">
        <f t="shared" si="34"/>
        <v>100</v>
      </c>
      <c r="I1047" s="147" t="str">
        <f t="shared" si="33"/>
        <v>070101100S7450</v>
      </c>
    </row>
    <row r="1048" spans="1:9" ht="25.5">
      <c r="A1048" s="54" t="s">
        <v>1755</v>
      </c>
      <c r="B1048" s="262" t="s">
        <v>248</v>
      </c>
      <c r="C1048" s="262" t="s">
        <v>497</v>
      </c>
      <c r="D1048" s="262" t="s">
        <v>2008</v>
      </c>
      <c r="E1048" s="263" t="s">
        <v>1756</v>
      </c>
      <c r="F1048" s="369">
        <v>1326900</v>
      </c>
      <c r="G1048" s="369">
        <v>1326900</v>
      </c>
      <c r="H1048" s="368">
        <f t="shared" si="34"/>
        <v>100</v>
      </c>
      <c r="I1048" s="147" t="str">
        <f t="shared" si="33"/>
        <v>070101100S7450200</v>
      </c>
    </row>
    <row r="1049" spans="1:9" ht="38.25">
      <c r="A1049" s="54" t="s">
        <v>1502</v>
      </c>
      <c r="B1049" s="262" t="s">
        <v>248</v>
      </c>
      <c r="C1049" s="262" t="s">
        <v>497</v>
      </c>
      <c r="D1049" s="262" t="s">
        <v>2008</v>
      </c>
      <c r="E1049" s="263" t="s">
        <v>1503</v>
      </c>
      <c r="F1049" s="369">
        <v>1326900</v>
      </c>
      <c r="G1049" s="369">
        <v>1326900</v>
      </c>
      <c r="H1049" s="368">
        <f t="shared" si="34"/>
        <v>100</v>
      </c>
      <c r="I1049" s="147" t="str">
        <f t="shared" si="33"/>
        <v>070101100S7450240</v>
      </c>
    </row>
    <row r="1050" spans="1:9">
      <c r="A1050" s="54" t="s">
        <v>1577</v>
      </c>
      <c r="B1050" s="262" t="s">
        <v>248</v>
      </c>
      <c r="C1050" s="262" t="s">
        <v>497</v>
      </c>
      <c r="D1050" s="262" t="s">
        <v>2008</v>
      </c>
      <c r="E1050" s="263" t="s">
        <v>416</v>
      </c>
      <c r="F1050" s="369">
        <v>1326900</v>
      </c>
      <c r="G1050" s="369">
        <v>1326900</v>
      </c>
      <c r="H1050" s="368">
        <f t="shared" si="34"/>
        <v>100</v>
      </c>
      <c r="I1050" s="147" t="str">
        <f t="shared" si="33"/>
        <v>070101100S7450244</v>
      </c>
    </row>
    <row r="1051" spans="1:9" ht="38.25">
      <c r="A1051" s="54" t="s">
        <v>545</v>
      </c>
      <c r="B1051" s="262" t="s">
        <v>248</v>
      </c>
      <c r="C1051" s="262" t="s">
        <v>497</v>
      </c>
      <c r="D1051" s="262" t="s">
        <v>1113</v>
      </c>
      <c r="E1051" s="263" t="s">
        <v>1468</v>
      </c>
      <c r="F1051" s="369">
        <v>647561.07999999996</v>
      </c>
      <c r="G1051" s="369">
        <v>647561.07999999996</v>
      </c>
      <c r="H1051" s="368">
        <f t="shared" si="34"/>
        <v>100</v>
      </c>
      <c r="I1051" s="147" t="str">
        <f t="shared" si="33"/>
        <v>07010300000000</v>
      </c>
    </row>
    <row r="1052" spans="1:9" ht="38.25">
      <c r="A1052" s="54" t="s">
        <v>547</v>
      </c>
      <c r="B1052" s="262" t="s">
        <v>248</v>
      </c>
      <c r="C1052" s="262" t="s">
        <v>497</v>
      </c>
      <c r="D1052" s="262" t="s">
        <v>1746</v>
      </c>
      <c r="E1052" s="263" t="s">
        <v>1468</v>
      </c>
      <c r="F1052" s="369">
        <v>647561.07999999996</v>
      </c>
      <c r="G1052" s="369">
        <v>647561.07999999996</v>
      </c>
      <c r="H1052" s="368">
        <f t="shared" si="34"/>
        <v>100</v>
      </c>
      <c r="I1052" s="147" t="str">
        <f t="shared" si="33"/>
        <v>07010340000000</v>
      </c>
    </row>
    <row r="1053" spans="1:9" ht="76.5">
      <c r="A1053" s="54" t="s">
        <v>485</v>
      </c>
      <c r="B1053" s="262" t="s">
        <v>248</v>
      </c>
      <c r="C1053" s="262" t="s">
        <v>497</v>
      </c>
      <c r="D1053" s="262" t="s">
        <v>893</v>
      </c>
      <c r="E1053" s="263" t="s">
        <v>1468</v>
      </c>
      <c r="F1053" s="369">
        <v>647561.07999999996</v>
      </c>
      <c r="G1053" s="369">
        <v>647561.07999999996</v>
      </c>
      <c r="H1053" s="368">
        <f t="shared" si="34"/>
        <v>100</v>
      </c>
      <c r="I1053" s="147" t="str">
        <f t="shared" si="33"/>
        <v>07010340080000</v>
      </c>
    </row>
    <row r="1054" spans="1:9" ht="25.5">
      <c r="A1054" s="54" t="s">
        <v>1755</v>
      </c>
      <c r="B1054" s="262" t="s">
        <v>248</v>
      </c>
      <c r="C1054" s="262" t="s">
        <v>497</v>
      </c>
      <c r="D1054" s="262" t="s">
        <v>893</v>
      </c>
      <c r="E1054" s="263" t="s">
        <v>1756</v>
      </c>
      <c r="F1054" s="369">
        <v>647561.07999999996</v>
      </c>
      <c r="G1054" s="369">
        <v>647561.07999999996</v>
      </c>
      <c r="H1054" s="368">
        <f t="shared" si="34"/>
        <v>100</v>
      </c>
      <c r="I1054" s="147" t="str">
        <f t="shared" si="33"/>
        <v>07010340080000200</v>
      </c>
    </row>
    <row r="1055" spans="1:9" ht="38.25">
      <c r="A1055" s="54" t="s">
        <v>1502</v>
      </c>
      <c r="B1055" s="262" t="s">
        <v>248</v>
      </c>
      <c r="C1055" s="262" t="s">
        <v>497</v>
      </c>
      <c r="D1055" s="262" t="s">
        <v>893</v>
      </c>
      <c r="E1055" s="263" t="s">
        <v>1503</v>
      </c>
      <c r="F1055" s="369">
        <v>647561.07999999996</v>
      </c>
      <c r="G1055" s="369">
        <v>647561.07999999996</v>
      </c>
      <c r="H1055" s="368">
        <f t="shared" si="34"/>
        <v>100</v>
      </c>
      <c r="I1055" s="147" t="str">
        <f t="shared" si="33"/>
        <v>07010340080000240</v>
      </c>
    </row>
    <row r="1056" spans="1:9">
      <c r="A1056" s="54" t="s">
        <v>1577</v>
      </c>
      <c r="B1056" s="262" t="s">
        <v>248</v>
      </c>
      <c r="C1056" s="262" t="s">
        <v>497</v>
      </c>
      <c r="D1056" s="262" t="s">
        <v>893</v>
      </c>
      <c r="E1056" s="263" t="s">
        <v>416</v>
      </c>
      <c r="F1056" s="369">
        <v>647561.07999999996</v>
      </c>
      <c r="G1056" s="369">
        <v>647561.07999999996</v>
      </c>
      <c r="H1056" s="368">
        <f t="shared" si="34"/>
        <v>100</v>
      </c>
      <c r="I1056" s="147" t="str">
        <f t="shared" si="33"/>
        <v>07010340080000244</v>
      </c>
    </row>
    <row r="1057" spans="1:9">
      <c r="A1057" s="54" t="s">
        <v>187</v>
      </c>
      <c r="B1057" s="262" t="s">
        <v>248</v>
      </c>
      <c r="C1057" s="262" t="s">
        <v>484</v>
      </c>
      <c r="D1057" s="262" t="s">
        <v>1468</v>
      </c>
      <c r="E1057" s="263" t="s">
        <v>1468</v>
      </c>
      <c r="F1057" s="369">
        <v>711899534.88999999</v>
      </c>
      <c r="G1057" s="369">
        <v>696983846.92999995</v>
      </c>
      <c r="H1057" s="368">
        <f t="shared" si="34"/>
        <v>97.904804367893732</v>
      </c>
      <c r="I1057" s="147" t="str">
        <f t="shared" si="33"/>
        <v>0702</v>
      </c>
    </row>
    <row r="1058" spans="1:9" ht="25.5">
      <c r="A1058" s="54" t="s">
        <v>535</v>
      </c>
      <c r="B1058" s="262" t="s">
        <v>248</v>
      </c>
      <c r="C1058" s="262" t="s">
        <v>484</v>
      </c>
      <c r="D1058" s="262" t="s">
        <v>1105</v>
      </c>
      <c r="E1058" s="263" t="s">
        <v>1468</v>
      </c>
      <c r="F1058" s="369">
        <v>710465277.50999999</v>
      </c>
      <c r="G1058" s="369">
        <v>695549589.54999995</v>
      </c>
      <c r="H1058" s="368">
        <f t="shared" si="34"/>
        <v>97.900574675193738</v>
      </c>
      <c r="I1058" s="147" t="str">
        <f t="shared" si="33"/>
        <v>07020100000000</v>
      </c>
    </row>
    <row r="1059" spans="1:9" ht="25.5">
      <c r="A1059" s="54" t="s">
        <v>536</v>
      </c>
      <c r="B1059" s="262" t="s">
        <v>248</v>
      </c>
      <c r="C1059" s="262" t="s">
        <v>484</v>
      </c>
      <c r="D1059" s="262" t="s">
        <v>1106</v>
      </c>
      <c r="E1059" s="263" t="s">
        <v>1468</v>
      </c>
      <c r="F1059" s="369">
        <v>710465277.50999999</v>
      </c>
      <c r="G1059" s="369">
        <v>695549589.54999995</v>
      </c>
      <c r="H1059" s="368">
        <f t="shared" si="34"/>
        <v>97.900574675193738</v>
      </c>
      <c r="I1059" s="147" t="str">
        <f t="shared" si="33"/>
        <v>07020110000000</v>
      </c>
    </row>
    <row r="1060" spans="1:9" ht="140.25">
      <c r="A1060" s="54" t="s">
        <v>2021</v>
      </c>
      <c r="B1060" s="262" t="s">
        <v>248</v>
      </c>
      <c r="C1060" s="262" t="s">
        <v>484</v>
      </c>
      <c r="D1060" s="262" t="s">
        <v>2022</v>
      </c>
      <c r="E1060" s="263" t="s">
        <v>1468</v>
      </c>
      <c r="F1060" s="369">
        <v>71400</v>
      </c>
      <c r="G1060" s="369">
        <v>66742.039999999994</v>
      </c>
      <c r="H1060" s="368">
        <f t="shared" si="34"/>
        <v>93.476246498599437</v>
      </c>
      <c r="I1060" s="147" t="str">
        <f t="shared" si="33"/>
        <v>07020110010370</v>
      </c>
    </row>
    <row r="1061" spans="1:9" ht="63.75">
      <c r="A1061" s="54" t="s">
        <v>1754</v>
      </c>
      <c r="B1061" s="262" t="s">
        <v>248</v>
      </c>
      <c r="C1061" s="262" t="s">
        <v>484</v>
      </c>
      <c r="D1061" s="262" t="s">
        <v>2022</v>
      </c>
      <c r="E1061" s="263" t="s">
        <v>322</v>
      </c>
      <c r="F1061" s="369">
        <v>71400</v>
      </c>
      <c r="G1061" s="369">
        <v>66742.039999999994</v>
      </c>
      <c r="H1061" s="368">
        <f t="shared" si="34"/>
        <v>93.476246498599437</v>
      </c>
      <c r="I1061" s="147" t="str">
        <f t="shared" si="33"/>
        <v>07020110010370100</v>
      </c>
    </row>
    <row r="1062" spans="1:9" ht="25.5">
      <c r="A1062" s="54" t="s">
        <v>1487</v>
      </c>
      <c r="B1062" s="262" t="s">
        <v>248</v>
      </c>
      <c r="C1062" s="262" t="s">
        <v>484</v>
      </c>
      <c r="D1062" s="262" t="s">
        <v>2022</v>
      </c>
      <c r="E1062" s="263" t="s">
        <v>165</v>
      </c>
      <c r="F1062" s="369">
        <v>71400</v>
      </c>
      <c r="G1062" s="369">
        <v>66742.039999999994</v>
      </c>
      <c r="H1062" s="368">
        <f t="shared" si="34"/>
        <v>93.476246498599437</v>
      </c>
      <c r="I1062" s="147" t="str">
        <f t="shared" si="33"/>
        <v>07020110010370110</v>
      </c>
    </row>
    <row r="1063" spans="1:9">
      <c r="A1063" s="54" t="s">
        <v>1360</v>
      </c>
      <c r="B1063" s="262" t="s">
        <v>248</v>
      </c>
      <c r="C1063" s="262" t="s">
        <v>484</v>
      </c>
      <c r="D1063" s="262" t="s">
        <v>2022</v>
      </c>
      <c r="E1063" s="263" t="s">
        <v>430</v>
      </c>
      <c r="F1063" s="369">
        <v>54840</v>
      </c>
      <c r="G1063" s="369">
        <v>51319.45</v>
      </c>
      <c r="H1063" s="368">
        <f t="shared" si="34"/>
        <v>93.580324580598102</v>
      </c>
      <c r="I1063" s="147" t="str">
        <f t="shared" si="33"/>
        <v>07020110010370111</v>
      </c>
    </row>
    <row r="1064" spans="1:9" ht="51">
      <c r="A1064" s="54" t="s">
        <v>1361</v>
      </c>
      <c r="B1064" s="262" t="s">
        <v>248</v>
      </c>
      <c r="C1064" s="262" t="s">
        <v>484</v>
      </c>
      <c r="D1064" s="262" t="s">
        <v>2022</v>
      </c>
      <c r="E1064" s="263" t="s">
        <v>1197</v>
      </c>
      <c r="F1064" s="369">
        <v>16560</v>
      </c>
      <c r="G1064" s="369">
        <v>15422.59</v>
      </c>
      <c r="H1064" s="368">
        <f t="shared" si="34"/>
        <v>93.131582125603856</v>
      </c>
      <c r="I1064" s="147" t="str">
        <f t="shared" si="33"/>
        <v>07020110010370119</v>
      </c>
    </row>
    <row r="1065" spans="1:9" ht="127.5">
      <c r="A1065" s="54" t="s">
        <v>502</v>
      </c>
      <c r="B1065" s="262" t="s">
        <v>248</v>
      </c>
      <c r="C1065" s="262" t="s">
        <v>484</v>
      </c>
      <c r="D1065" s="262" t="s">
        <v>878</v>
      </c>
      <c r="E1065" s="263" t="s">
        <v>1468</v>
      </c>
      <c r="F1065" s="369">
        <v>63654296</v>
      </c>
      <c r="G1065" s="369">
        <v>62184616.829999998</v>
      </c>
      <c r="H1065" s="368">
        <f t="shared" si="34"/>
        <v>97.691154780817939</v>
      </c>
      <c r="I1065" s="147" t="str">
        <f t="shared" ref="I1065:I1128" si="35">CONCATENATE(C1065,D1065,E1065)</f>
        <v>07020110040020</v>
      </c>
    </row>
    <row r="1066" spans="1:9" ht="63.75">
      <c r="A1066" s="54" t="s">
        <v>1754</v>
      </c>
      <c r="B1066" s="262" t="s">
        <v>248</v>
      </c>
      <c r="C1066" s="262" t="s">
        <v>484</v>
      </c>
      <c r="D1066" s="262" t="s">
        <v>878</v>
      </c>
      <c r="E1066" s="263" t="s">
        <v>322</v>
      </c>
      <c r="F1066" s="369">
        <v>41634977.399999999</v>
      </c>
      <c r="G1066" s="369">
        <f>G1067</f>
        <v>41194514.969999999</v>
      </c>
      <c r="H1066" s="368">
        <f t="shared" si="34"/>
        <v>98.942085579227438</v>
      </c>
      <c r="I1066" s="147" t="str">
        <f t="shared" si="35"/>
        <v>07020110040020100</v>
      </c>
    </row>
    <row r="1067" spans="1:9" ht="25.5">
      <c r="A1067" s="54" t="s">
        <v>1487</v>
      </c>
      <c r="B1067" s="262" t="s">
        <v>248</v>
      </c>
      <c r="C1067" s="262" t="s">
        <v>484</v>
      </c>
      <c r="D1067" s="262" t="s">
        <v>878</v>
      </c>
      <c r="E1067" s="263" t="s">
        <v>165</v>
      </c>
      <c r="F1067" s="369">
        <v>41634977.399999999</v>
      </c>
      <c r="G1067" s="369">
        <f>G1068+G1069+G1070</f>
        <v>41194514.969999999</v>
      </c>
      <c r="H1067" s="368">
        <f t="shared" si="34"/>
        <v>98.942085579227438</v>
      </c>
      <c r="I1067" s="147" t="str">
        <f t="shared" si="35"/>
        <v>07020110040020110</v>
      </c>
    </row>
    <row r="1068" spans="1:9">
      <c r="A1068" s="54" t="s">
        <v>1360</v>
      </c>
      <c r="B1068" s="262" t="s">
        <v>248</v>
      </c>
      <c r="C1068" s="262" t="s">
        <v>484</v>
      </c>
      <c r="D1068" s="262" t="s">
        <v>878</v>
      </c>
      <c r="E1068" s="263" t="s">
        <v>430</v>
      </c>
      <c r="F1068" s="369">
        <v>31786282.739999998</v>
      </c>
      <c r="G1068" s="369">
        <v>31549046.949999999</v>
      </c>
      <c r="H1068" s="368">
        <f t="shared" si="34"/>
        <v>99.253653558862169</v>
      </c>
      <c r="I1068" s="147" t="str">
        <f t="shared" si="35"/>
        <v>07020110040020111</v>
      </c>
    </row>
    <row r="1069" spans="1:9" ht="25.5">
      <c r="A1069" s="54" t="s">
        <v>1369</v>
      </c>
      <c r="B1069" s="262" t="s">
        <v>248</v>
      </c>
      <c r="C1069" s="262" t="s">
        <v>484</v>
      </c>
      <c r="D1069" s="262" t="s">
        <v>878</v>
      </c>
      <c r="E1069" s="263" t="s">
        <v>479</v>
      </c>
      <c r="F1069" s="369">
        <v>231520.9</v>
      </c>
      <c r="G1069" s="369">
        <v>226373.32</v>
      </c>
      <c r="H1069" s="368">
        <f t="shared" si="34"/>
        <v>97.776624054243058</v>
      </c>
      <c r="I1069" s="147" t="str">
        <f t="shared" si="35"/>
        <v>07020110040020112</v>
      </c>
    </row>
    <row r="1070" spans="1:9" ht="51">
      <c r="A1070" s="54" t="s">
        <v>1361</v>
      </c>
      <c r="B1070" s="262" t="s">
        <v>248</v>
      </c>
      <c r="C1070" s="262" t="s">
        <v>484</v>
      </c>
      <c r="D1070" s="262" t="s">
        <v>878</v>
      </c>
      <c r="E1070" s="263" t="s">
        <v>1197</v>
      </c>
      <c r="F1070" s="369">
        <v>9617173.7599999998</v>
      </c>
      <c r="G1070" s="369">
        <v>9419094.6999999993</v>
      </c>
      <c r="H1070" s="368">
        <f t="shared" si="34"/>
        <v>97.940361015167937</v>
      </c>
      <c r="I1070" s="147" t="str">
        <f t="shared" si="35"/>
        <v>07020110040020119</v>
      </c>
    </row>
    <row r="1071" spans="1:9" ht="25.5">
      <c r="A1071" s="54" t="s">
        <v>1755</v>
      </c>
      <c r="B1071" s="262" t="s">
        <v>248</v>
      </c>
      <c r="C1071" s="262" t="s">
        <v>484</v>
      </c>
      <c r="D1071" s="262" t="s">
        <v>878</v>
      </c>
      <c r="E1071" s="263" t="s">
        <v>1756</v>
      </c>
      <c r="F1071" s="369">
        <v>21453747.239999998</v>
      </c>
      <c r="G1071" s="369">
        <v>20457694.02</v>
      </c>
      <c r="H1071" s="368">
        <f t="shared" si="34"/>
        <v>95.357206324576808</v>
      </c>
      <c r="I1071" s="147" t="str">
        <f t="shared" si="35"/>
        <v>07020110040020200</v>
      </c>
    </row>
    <row r="1072" spans="1:9" ht="38.25">
      <c r="A1072" s="54" t="s">
        <v>1502</v>
      </c>
      <c r="B1072" s="262" t="s">
        <v>248</v>
      </c>
      <c r="C1072" s="262" t="s">
        <v>484</v>
      </c>
      <c r="D1072" s="262" t="s">
        <v>878</v>
      </c>
      <c r="E1072" s="263" t="s">
        <v>1503</v>
      </c>
      <c r="F1072" s="369">
        <v>21453747.239999998</v>
      </c>
      <c r="G1072" s="369">
        <v>20457694.02</v>
      </c>
      <c r="H1072" s="368">
        <f t="shared" si="34"/>
        <v>95.357206324576808</v>
      </c>
      <c r="I1072" s="147" t="str">
        <f t="shared" si="35"/>
        <v>07020110040020240</v>
      </c>
    </row>
    <row r="1073" spans="1:9">
      <c r="A1073" s="54" t="s">
        <v>1577</v>
      </c>
      <c r="B1073" s="262" t="s">
        <v>248</v>
      </c>
      <c r="C1073" s="262" t="s">
        <v>484</v>
      </c>
      <c r="D1073" s="262" t="s">
        <v>878</v>
      </c>
      <c r="E1073" s="263" t="s">
        <v>416</v>
      </c>
      <c r="F1073" s="369">
        <v>21453747.239999998</v>
      </c>
      <c r="G1073" s="369">
        <v>20457694.02</v>
      </c>
      <c r="H1073" s="368">
        <f t="shared" si="34"/>
        <v>95.357206324576808</v>
      </c>
      <c r="I1073" s="147" t="str">
        <f t="shared" si="35"/>
        <v>07020110040020244</v>
      </c>
    </row>
    <row r="1074" spans="1:9">
      <c r="A1074" s="54" t="s">
        <v>1757</v>
      </c>
      <c r="B1074" s="262" t="s">
        <v>248</v>
      </c>
      <c r="C1074" s="262" t="s">
        <v>484</v>
      </c>
      <c r="D1074" s="262" t="s">
        <v>878</v>
      </c>
      <c r="E1074" s="263" t="s">
        <v>1758</v>
      </c>
      <c r="F1074" s="369">
        <v>565571.36</v>
      </c>
      <c r="G1074" s="369">
        <f>G1075+G1077</f>
        <v>532407.84000000008</v>
      </c>
      <c r="H1074" s="368">
        <f t="shared" si="34"/>
        <v>94.136280168076425</v>
      </c>
      <c r="I1074" s="147" t="str">
        <f t="shared" si="35"/>
        <v>07020110040020800</v>
      </c>
    </row>
    <row r="1075" spans="1:9">
      <c r="A1075" s="54" t="s">
        <v>1516</v>
      </c>
      <c r="B1075" s="262" t="s">
        <v>248</v>
      </c>
      <c r="C1075" s="262" t="s">
        <v>484</v>
      </c>
      <c r="D1075" s="262" t="s">
        <v>878</v>
      </c>
      <c r="E1075" s="263" t="s">
        <v>242</v>
      </c>
      <c r="F1075" s="369">
        <v>12499</v>
      </c>
      <c r="G1075" s="369">
        <v>12499</v>
      </c>
      <c r="H1075" s="368">
        <f t="shared" si="34"/>
        <v>100</v>
      </c>
      <c r="I1075" s="147" t="str">
        <f t="shared" si="35"/>
        <v>07020110040020830</v>
      </c>
    </row>
    <row r="1076" spans="1:9" ht="38.25">
      <c r="A1076" s="54" t="s">
        <v>1425</v>
      </c>
      <c r="B1076" s="262" t="s">
        <v>248</v>
      </c>
      <c r="C1076" s="262" t="s">
        <v>484</v>
      </c>
      <c r="D1076" s="262" t="s">
        <v>878</v>
      </c>
      <c r="E1076" s="263" t="s">
        <v>521</v>
      </c>
      <c r="F1076" s="369">
        <v>12499</v>
      </c>
      <c r="G1076" s="369">
        <v>12499</v>
      </c>
      <c r="H1076" s="368">
        <f t="shared" si="34"/>
        <v>100</v>
      </c>
      <c r="I1076" s="147" t="str">
        <f t="shared" si="35"/>
        <v>07020110040020831</v>
      </c>
    </row>
    <row r="1077" spans="1:9">
      <c r="A1077" s="54" t="s">
        <v>1507</v>
      </c>
      <c r="B1077" s="262" t="s">
        <v>248</v>
      </c>
      <c r="C1077" s="262" t="s">
        <v>484</v>
      </c>
      <c r="D1077" s="262" t="s">
        <v>878</v>
      </c>
      <c r="E1077" s="263" t="s">
        <v>1508</v>
      </c>
      <c r="F1077" s="369">
        <v>553072.36</v>
      </c>
      <c r="G1077" s="369">
        <f>G1078+G1079</f>
        <v>519908.84</v>
      </c>
      <c r="H1077" s="368">
        <f t="shared" si="34"/>
        <v>94.003764715343934</v>
      </c>
      <c r="I1077" s="147" t="str">
        <f t="shared" si="35"/>
        <v>07020110040020850</v>
      </c>
    </row>
    <row r="1078" spans="1:9">
      <c r="A1078" s="54" t="s">
        <v>1082</v>
      </c>
      <c r="B1078" s="262" t="s">
        <v>248</v>
      </c>
      <c r="C1078" s="262" t="s">
        <v>484</v>
      </c>
      <c r="D1078" s="262" t="s">
        <v>878</v>
      </c>
      <c r="E1078" s="263" t="s">
        <v>591</v>
      </c>
      <c r="F1078" s="369">
        <v>13850</v>
      </c>
      <c r="G1078" s="369">
        <v>13850</v>
      </c>
      <c r="H1078" s="368">
        <f t="shared" si="34"/>
        <v>100</v>
      </c>
      <c r="I1078" s="147" t="str">
        <f t="shared" si="35"/>
        <v>07020110040020852</v>
      </c>
    </row>
    <row r="1079" spans="1:9">
      <c r="A1079" s="54" t="s">
        <v>1198</v>
      </c>
      <c r="B1079" s="262" t="s">
        <v>248</v>
      </c>
      <c r="C1079" s="262" t="s">
        <v>484</v>
      </c>
      <c r="D1079" s="262" t="s">
        <v>878</v>
      </c>
      <c r="E1079" s="263" t="s">
        <v>1199</v>
      </c>
      <c r="F1079" s="369">
        <v>539222.36</v>
      </c>
      <c r="G1079" s="369">
        <v>506058.84</v>
      </c>
      <c r="H1079" s="368">
        <f t="shared" si="34"/>
        <v>93.84975059268686</v>
      </c>
      <c r="I1079" s="147" t="str">
        <f t="shared" si="35"/>
        <v>07020110040020853</v>
      </c>
    </row>
    <row r="1080" spans="1:9" ht="165.75">
      <c r="A1080" s="54" t="s">
        <v>504</v>
      </c>
      <c r="B1080" s="262" t="s">
        <v>248</v>
      </c>
      <c r="C1080" s="262" t="s">
        <v>484</v>
      </c>
      <c r="D1080" s="262" t="s">
        <v>879</v>
      </c>
      <c r="E1080" s="263" t="s">
        <v>1468</v>
      </c>
      <c r="F1080" s="369">
        <v>85612109.090000004</v>
      </c>
      <c r="G1080" s="369">
        <v>84644577.950000003</v>
      </c>
      <c r="H1080" s="368">
        <f t="shared" si="34"/>
        <v>98.869866482342033</v>
      </c>
      <c r="I1080" s="147" t="str">
        <f t="shared" si="35"/>
        <v>07020110041020</v>
      </c>
    </row>
    <row r="1081" spans="1:9" ht="63.75">
      <c r="A1081" s="54" t="s">
        <v>1754</v>
      </c>
      <c r="B1081" s="262" t="s">
        <v>248</v>
      </c>
      <c r="C1081" s="262" t="s">
        <v>484</v>
      </c>
      <c r="D1081" s="262" t="s">
        <v>879</v>
      </c>
      <c r="E1081" s="263" t="s">
        <v>322</v>
      </c>
      <c r="F1081" s="369">
        <v>85612109.090000004</v>
      </c>
      <c r="G1081" s="369">
        <v>84644577.950000003</v>
      </c>
      <c r="H1081" s="368">
        <f t="shared" si="34"/>
        <v>98.869866482342033</v>
      </c>
      <c r="I1081" s="147" t="str">
        <f t="shared" si="35"/>
        <v>07020110041020100</v>
      </c>
    </row>
    <row r="1082" spans="1:9" ht="25.5">
      <c r="A1082" s="54" t="s">
        <v>1487</v>
      </c>
      <c r="B1082" s="262" t="s">
        <v>248</v>
      </c>
      <c r="C1082" s="262" t="s">
        <v>484</v>
      </c>
      <c r="D1082" s="262" t="s">
        <v>879</v>
      </c>
      <c r="E1082" s="263" t="s">
        <v>165</v>
      </c>
      <c r="F1082" s="369">
        <v>85612109.090000004</v>
      </c>
      <c r="G1082" s="369">
        <v>84644577.950000003</v>
      </c>
      <c r="H1082" s="368">
        <f t="shared" si="34"/>
        <v>98.869866482342033</v>
      </c>
      <c r="I1082" s="147" t="str">
        <f t="shared" si="35"/>
        <v>07020110041020110</v>
      </c>
    </row>
    <row r="1083" spans="1:9">
      <c r="A1083" s="54" t="s">
        <v>1360</v>
      </c>
      <c r="B1083" s="262" t="s">
        <v>248</v>
      </c>
      <c r="C1083" s="262" t="s">
        <v>484</v>
      </c>
      <c r="D1083" s="262" t="s">
        <v>879</v>
      </c>
      <c r="E1083" s="263" t="s">
        <v>430</v>
      </c>
      <c r="F1083" s="369">
        <v>65894054.789999999</v>
      </c>
      <c r="G1083" s="369">
        <v>65563071.619999997</v>
      </c>
      <c r="H1083" s="368">
        <f t="shared" si="34"/>
        <v>99.497704047725051</v>
      </c>
      <c r="I1083" s="147" t="str">
        <f t="shared" si="35"/>
        <v>07020110041020111</v>
      </c>
    </row>
    <row r="1084" spans="1:9" ht="51">
      <c r="A1084" s="54" t="s">
        <v>1361</v>
      </c>
      <c r="B1084" s="262" t="s">
        <v>248</v>
      </c>
      <c r="C1084" s="262" t="s">
        <v>484</v>
      </c>
      <c r="D1084" s="262" t="s">
        <v>879</v>
      </c>
      <c r="E1084" s="263" t="s">
        <v>1197</v>
      </c>
      <c r="F1084" s="369">
        <v>19718054.300000001</v>
      </c>
      <c r="G1084" s="369">
        <v>19081506.329999998</v>
      </c>
      <c r="H1084" s="368">
        <f t="shared" si="34"/>
        <v>96.771750598130751</v>
      </c>
      <c r="I1084" s="147" t="str">
        <f t="shared" si="35"/>
        <v>07020110041020119</v>
      </c>
    </row>
    <row r="1085" spans="1:9" ht="140.25">
      <c r="A1085" s="54" t="s">
        <v>624</v>
      </c>
      <c r="B1085" s="262" t="s">
        <v>248</v>
      </c>
      <c r="C1085" s="262" t="s">
        <v>484</v>
      </c>
      <c r="D1085" s="262" t="s">
        <v>885</v>
      </c>
      <c r="E1085" s="263" t="s">
        <v>1468</v>
      </c>
      <c r="F1085" s="369">
        <v>4537503.38</v>
      </c>
      <c r="G1085" s="369">
        <v>2833219.38</v>
      </c>
      <c r="H1085" s="368">
        <f t="shared" si="34"/>
        <v>62.440050017108753</v>
      </c>
      <c r="I1085" s="147" t="str">
        <f t="shared" si="35"/>
        <v>07020110043020</v>
      </c>
    </row>
    <row r="1086" spans="1:9" ht="63.75">
      <c r="A1086" s="54" t="s">
        <v>1754</v>
      </c>
      <c r="B1086" s="262" t="s">
        <v>248</v>
      </c>
      <c r="C1086" s="262" t="s">
        <v>484</v>
      </c>
      <c r="D1086" s="262" t="s">
        <v>885</v>
      </c>
      <c r="E1086" s="263" t="s">
        <v>322</v>
      </c>
      <c r="F1086" s="369">
        <v>1285113.3</v>
      </c>
      <c r="G1086" s="369">
        <f>G1087</f>
        <v>1015972</v>
      </c>
      <c r="H1086" s="368">
        <f t="shared" si="34"/>
        <v>79.056998320692813</v>
      </c>
      <c r="I1086" s="147" t="str">
        <f t="shared" si="35"/>
        <v>07020110043020100</v>
      </c>
    </row>
    <row r="1087" spans="1:9" ht="25.5">
      <c r="A1087" s="54" t="s">
        <v>1487</v>
      </c>
      <c r="B1087" s="262" t="s">
        <v>248</v>
      </c>
      <c r="C1087" s="262" t="s">
        <v>484</v>
      </c>
      <c r="D1087" s="262" t="s">
        <v>885</v>
      </c>
      <c r="E1087" s="263" t="s">
        <v>165</v>
      </c>
      <c r="F1087" s="369">
        <v>1285113.3</v>
      </c>
      <c r="G1087" s="369">
        <f>G1088+G1089</f>
        <v>1015972</v>
      </c>
      <c r="H1087" s="368">
        <f t="shared" si="34"/>
        <v>79.056998320692813</v>
      </c>
      <c r="I1087" s="147" t="str">
        <f t="shared" si="35"/>
        <v>07020110043020110</v>
      </c>
    </row>
    <row r="1088" spans="1:9" ht="25.5">
      <c r="A1088" s="54" t="s">
        <v>1369</v>
      </c>
      <c r="B1088" s="262" t="s">
        <v>248</v>
      </c>
      <c r="C1088" s="262" t="s">
        <v>484</v>
      </c>
      <c r="D1088" s="262" t="s">
        <v>885</v>
      </c>
      <c r="E1088" s="263" t="s">
        <v>479</v>
      </c>
      <c r="F1088" s="369">
        <v>447927.5</v>
      </c>
      <c r="G1088" s="369">
        <v>178786.2</v>
      </c>
      <c r="H1088" s="368">
        <f t="shared" si="34"/>
        <v>39.914093240535578</v>
      </c>
      <c r="I1088" s="147" t="str">
        <f t="shared" si="35"/>
        <v>07020110043020112</v>
      </c>
    </row>
    <row r="1089" spans="1:9" ht="51">
      <c r="A1089" s="54" t="s">
        <v>1371</v>
      </c>
      <c r="B1089" s="262" t="s">
        <v>248</v>
      </c>
      <c r="C1089" s="262" t="s">
        <v>484</v>
      </c>
      <c r="D1089" s="262" t="s">
        <v>885</v>
      </c>
      <c r="E1089" s="263" t="s">
        <v>1200</v>
      </c>
      <c r="F1089" s="369">
        <v>837185.8</v>
      </c>
      <c r="G1089" s="369">
        <v>837185.8</v>
      </c>
      <c r="H1089" s="368">
        <f t="shared" si="34"/>
        <v>100</v>
      </c>
      <c r="I1089" s="147" t="str">
        <f t="shared" si="35"/>
        <v>07020110043020113</v>
      </c>
    </row>
    <row r="1090" spans="1:9" ht="25.5">
      <c r="A1090" s="54" t="s">
        <v>1755</v>
      </c>
      <c r="B1090" s="262" t="s">
        <v>248</v>
      </c>
      <c r="C1090" s="262" t="s">
        <v>484</v>
      </c>
      <c r="D1090" s="262" t="s">
        <v>885</v>
      </c>
      <c r="E1090" s="263" t="s">
        <v>1756</v>
      </c>
      <c r="F1090" s="369">
        <v>3252390.08</v>
      </c>
      <c r="G1090" s="369">
        <f>G1091</f>
        <v>1817247.38</v>
      </c>
      <c r="H1090" s="368">
        <f t="shared" si="34"/>
        <v>55.874213587565727</v>
      </c>
      <c r="I1090" s="147" t="str">
        <f t="shared" si="35"/>
        <v>07020110043020200</v>
      </c>
    </row>
    <row r="1091" spans="1:9" ht="38.25">
      <c r="A1091" s="54" t="s">
        <v>1502</v>
      </c>
      <c r="B1091" s="262" t="s">
        <v>248</v>
      </c>
      <c r="C1091" s="262" t="s">
        <v>484</v>
      </c>
      <c r="D1091" s="262" t="s">
        <v>885</v>
      </c>
      <c r="E1091" s="263" t="s">
        <v>1503</v>
      </c>
      <c r="F1091" s="369">
        <v>3252390.08</v>
      </c>
      <c r="G1091" s="369">
        <f>G1092+G1093</f>
        <v>1817247.38</v>
      </c>
      <c r="H1091" s="368">
        <f t="shared" si="34"/>
        <v>55.874213587565727</v>
      </c>
      <c r="I1091" s="147" t="str">
        <f t="shared" si="35"/>
        <v>07020110043020240</v>
      </c>
    </row>
    <row r="1092" spans="1:9" ht="38.25">
      <c r="A1092" s="54" t="s">
        <v>431</v>
      </c>
      <c r="B1092" s="262" t="s">
        <v>248</v>
      </c>
      <c r="C1092" s="262" t="s">
        <v>484</v>
      </c>
      <c r="D1092" s="262" t="s">
        <v>885</v>
      </c>
      <c r="E1092" s="263" t="s">
        <v>432</v>
      </c>
      <c r="F1092" s="369">
        <v>0.08</v>
      </c>
      <c r="G1092" s="369">
        <v>0</v>
      </c>
      <c r="H1092" s="368">
        <f t="shared" si="34"/>
        <v>0</v>
      </c>
      <c r="I1092" s="147" t="str">
        <f t="shared" si="35"/>
        <v>07020110043020243</v>
      </c>
    </row>
    <row r="1093" spans="1:9">
      <c r="A1093" s="54" t="s">
        <v>1577</v>
      </c>
      <c r="B1093" s="262" t="s">
        <v>248</v>
      </c>
      <c r="C1093" s="262" t="s">
        <v>484</v>
      </c>
      <c r="D1093" s="262" t="s">
        <v>885</v>
      </c>
      <c r="E1093" s="263" t="s">
        <v>416</v>
      </c>
      <c r="F1093" s="369">
        <v>3252390</v>
      </c>
      <c r="G1093" s="369">
        <v>1817247.38</v>
      </c>
      <c r="H1093" s="368">
        <f t="shared" si="34"/>
        <v>55.874214961920309</v>
      </c>
      <c r="I1093" s="147" t="str">
        <f t="shared" si="35"/>
        <v>07020110043020244</v>
      </c>
    </row>
    <row r="1094" spans="1:9" ht="127.5">
      <c r="A1094" s="54" t="s">
        <v>687</v>
      </c>
      <c r="B1094" s="262" t="s">
        <v>248</v>
      </c>
      <c r="C1094" s="262" t="s">
        <v>484</v>
      </c>
      <c r="D1094" s="262" t="s">
        <v>880</v>
      </c>
      <c r="E1094" s="263" t="s">
        <v>1468</v>
      </c>
      <c r="F1094" s="369">
        <v>1133511.97</v>
      </c>
      <c r="G1094" s="369">
        <v>1027266.17</v>
      </c>
      <c r="H1094" s="368">
        <f t="shared" si="34"/>
        <v>90.626847989968738</v>
      </c>
      <c r="I1094" s="147" t="str">
        <f t="shared" si="35"/>
        <v>07020110047020</v>
      </c>
    </row>
    <row r="1095" spans="1:9" ht="63.75">
      <c r="A1095" s="54" t="s">
        <v>1754</v>
      </c>
      <c r="B1095" s="262" t="s">
        <v>248</v>
      </c>
      <c r="C1095" s="262" t="s">
        <v>484</v>
      </c>
      <c r="D1095" s="262" t="s">
        <v>880</v>
      </c>
      <c r="E1095" s="263" t="s">
        <v>322</v>
      </c>
      <c r="F1095" s="369">
        <v>1133511.97</v>
      </c>
      <c r="G1095" s="369">
        <v>1027266.17</v>
      </c>
      <c r="H1095" s="368">
        <f t="shared" si="34"/>
        <v>90.626847989968738</v>
      </c>
      <c r="I1095" s="147" t="str">
        <f t="shared" si="35"/>
        <v>07020110047020100</v>
      </c>
    </row>
    <row r="1096" spans="1:9" ht="25.5">
      <c r="A1096" s="54" t="s">
        <v>1487</v>
      </c>
      <c r="B1096" s="262" t="s">
        <v>248</v>
      </c>
      <c r="C1096" s="262" t="s">
        <v>484</v>
      </c>
      <c r="D1096" s="262" t="s">
        <v>880</v>
      </c>
      <c r="E1096" s="263" t="s">
        <v>165</v>
      </c>
      <c r="F1096" s="369">
        <v>1133511.97</v>
      </c>
      <c r="G1096" s="369">
        <v>1027266.17</v>
      </c>
      <c r="H1096" s="368">
        <f t="shared" ref="H1096:H1159" si="36">G1096/F1096*100</f>
        <v>90.626847989968738</v>
      </c>
      <c r="I1096" s="147" t="str">
        <f t="shared" si="35"/>
        <v>07020110047020110</v>
      </c>
    </row>
    <row r="1097" spans="1:9" ht="25.5">
      <c r="A1097" s="54" t="s">
        <v>1369</v>
      </c>
      <c r="B1097" s="262" t="s">
        <v>248</v>
      </c>
      <c r="C1097" s="262" t="s">
        <v>484</v>
      </c>
      <c r="D1097" s="262" t="s">
        <v>880</v>
      </c>
      <c r="E1097" s="263" t="s">
        <v>479</v>
      </c>
      <c r="F1097" s="369">
        <v>1133511.97</v>
      </c>
      <c r="G1097" s="369">
        <v>1027266.17</v>
      </c>
      <c r="H1097" s="368">
        <f t="shared" si="36"/>
        <v>90.626847989968738</v>
      </c>
      <c r="I1097" s="147" t="str">
        <f t="shared" si="35"/>
        <v>07020110047020112</v>
      </c>
    </row>
    <row r="1098" spans="1:9" ht="140.25">
      <c r="A1098" s="54" t="s">
        <v>689</v>
      </c>
      <c r="B1098" s="262" t="s">
        <v>248</v>
      </c>
      <c r="C1098" s="262" t="s">
        <v>484</v>
      </c>
      <c r="D1098" s="262" t="s">
        <v>881</v>
      </c>
      <c r="E1098" s="263" t="s">
        <v>1468</v>
      </c>
      <c r="F1098" s="369">
        <v>85578852.489999995</v>
      </c>
      <c r="G1098" s="369">
        <v>81559533.230000004</v>
      </c>
      <c r="H1098" s="368">
        <f t="shared" si="36"/>
        <v>95.303373271487075</v>
      </c>
      <c r="I1098" s="147" t="str">
        <f t="shared" si="35"/>
        <v>0702011004Г020</v>
      </c>
    </row>
    <row r="1099" spans="1:9" ht="25.5">
      <c r="A1099" s="54" t="s">
        <v>1755</v>
      </c>
      <c r="B1099" s="262" t="s">
        <v>248</v>
      </c>
      <c r="C1099" s="262" t="s">
        <v>484</v>
      </c>
      <c r="D1099" s="262" t="s">
        <v>881</v>
      </c>
      <c r="E1099" s="263" t="s">
        <v>1756</v>
      </c>
      <c r="F1099" s="369">
        <v>85578852.489999995</v>
      </c>
      <c r="G1099" s="369">
        <v>81559533.230000004</v>
      </c>
      <c r="H1099" s="368">
        <f t="shared" si="36"/>
        <v>95.303373271487075</v>
      </c>
      <c r="I1099" s="147" t="str">
        <f t="shared" si="35"/>
        <v>0702011004Г020200</v>
      </c>
    </row>
    <row r="1100" spans="1:9" ht="38.25">
      <c r="A1100" s="54" t="s">
        <v>1502</v>
      </c>
      <c r="B1100" s="262" t="s">
        <v>248</v>
      </c>
      <c r="C1100" s="262" t="s">
        <v>484</v>
      </c>
      <c r="D1100" s="262" t="s">
        <v>881</v>
      </c>
      <c r="E1100" s="263" t="s">
        <v>1503</v>
      </c>
      <c r="F1100" s="369">
        <v>85578852.489999995</v>
      </c>
      <c r="G1100" s="369">
        <v>81559533.230000004</v>
      </c>
      <c r="H1100" s="368">
        <f t="shared" si="36"/>
        <v>95.303373271487075</v>
      </c>
      <c r="I1100" s="147" t="str">
        <f t="shared" si="35"/>
        <v>0702011004Г020240</v>
      </c>
    </row>
    <row r="1101" spans="1:9">
      <c r="A1101" s="54" t="s">
        <v>1577</v>
      </c>
      <c r="B1101" s="262" t="s">
        <v>248</v>
      </c>
      <c r="C1101" s="262" t="s">
        <v>484</v>
      </c>
      <c r="D1101" s="262" t="s">
        <v>881</v>
      </c>
      <c r="E1101" s="263" t="s">
        <v>416</v>
      </c>
      <c r="F1101" s="369">
        <v>85578852.489999995</v>
      </c>
      <c r="G1101" s="369">
        <v>81559533.230000004</v>
      </c>
      <c r="H1101" s="368">
        <f t="shared" si="36"/>
        <v>95.303373271487075</v>
      </c>
      <c r="I1101" s="147" t="str">
        <f t="shared" si="35"/>
        <v>0702011004Г020244</v>
      </c>
    </row>
    <row r="1102" spans="1:9" ht="114.75">
      <c r="A1102" s="54" t="s">
        <v>691</v>
      </c>
      <c r="B1102" s="262" t="s">
        <v>248</v>
      </c>
      <c r="C1102" s="262" t="s">
        <v>484</v>
      </c>
      <c r="D1102" s="262" t="s">
        <v>886</v>
      </c>
      <c r="E1102" s="263" t="s">
        <v>1468</v>
      </c>
      <c r="F1102" s="369">
        <v>5347843.09</v>
      </c>
      <c r="G1102" s="369">
        <v>4741127.09</v>
      </c>
      <c r="H1102" s="368">
        <f t="shared" si="36"/>
        <v>88.654940135874483</v>
      </c>
      <c r="I1102" s="147" t="str">
        <f t="shared" si="35"/>
        <v>0702011004П020</v>
      </c>
    </row>
    <row r="1103" spans="1:9" ht="25.5">
      <c r="A1103" s="54" t="s">
        <v>1755</v>
      </c>
      <c r="B1103" s="262" t="s">
        <v>248</v>
      </c>
      <c r="C1103" s="262" t="s">
        <v>484</v>
      </c>
      <c r="D1103" s="262" t="s">
        <v>886</v>
      </c>
      <c r="E1103" s="263" t="s">
        <v>1756</v>
      </c>
      <c r="F1103" s="369">
        <v>5347843.09</v>
      </c>
      <c r="G1103" s="369">
        <v>4741127.09</v>
      </c>
      <c r="H1103" s="368">
        <f t="shared" si="36"/>
        <v>88.654940135874483</v>
      </c>
      <c r="I1103" s="147" t="str">
        <f t="shared" si="35"/>
        <v>0702011004П020200</v>
      </c>
    </row>
    <row r="1104" spans="1:9" ht="38.25">
      <c r="A1104" s="54" t="s">
        <v>1502</v>
      </c>
      <c r="B1104" s="262" t="s">
        <v>248</v>
      </c>
      <c r="C1104" s="262" t="s">
        <v>484</v>
      </c>
      <c r="D1104" s="262" t="s">
        <v>886</v>
      </c>
      <c r="E1104" s="263" t="s">
        <v>1503</v>
      </c>
      <c r="F1104" s="369">
        <v>5347843.09</v>
      </c>
      <c r="G1104" s="369">
        <v>4741127.09</v>
      </c>
      <c r="H1104" s="368">
        <f t="shared" si="36"/>
        <v>88.654940135874483</v>
      </c>
      <c r="I1104" s="147" t="str">
        <f t="shared" si="35"/>
        <v>0702011004П020240</v>
      </c>
    </row>
    <row r="1105" spans="1:9">
      <c r="A1105" s="54" t="s">
        <v>1577</v>
      </c>
      <c r="B1105" s="262" t="s">
        <v>248</v>
      </c>
      <c r="C1105" s="262" t="s">
        <v>484</v>
      </c>
      <c r="D1105" s="262" t="s">
        <v>886</v>
      </c>
      <c r="E1105" s="263" t="s">
        <v>416</v>
      </c>
      <c r="F1105" s="369">
        <v>5347843.09</v>
      </c>
      <c r="G1105" s="369">
        <v>4741127.09</v>
      </c>
      <c r="H1105" s="368">
        <f t="shared" si="36"/>
        <v>88.654940135874483</v>
      </c>
      <c r="I1105" s="147" t="str">
        <f t="shared" si="35"/>
        <v>0702011004П020244</v>
      </c>
    </row>
    <row r="1106" spans="1:9" ht="76.5">
      <c r="A1106" s="54" t="s">
        <v>1860</v>
      </c>
      <c r="B1106" s="262" t="s">
        <v>248</v>
      </c>
      <c r="C1106" s="262" t="s">
        <v>484</v>
      </c>
      <c r="D1106" s="262" t="s">
        <v>1861</v>
      </c>
      <c r="E1106" s="263" t="s">
        <v>1468</v>
      </c>
      <c r="F1106" s="369">
        <v>578856.03</v>
      </c>
      <c r="G1106" s="369">
        <v>553856.03</v>
      </c>
      <c r="H1106" s="368">
        <f t="shared" si="36"/>
        <v>95.681136810477724</v>
      </c>
      <c r="I1106" s="147" t="str">
        <f t="shared" si="35"/>
        <v>0702011004Ф000</v>
      </c>
    </row>
    <row r="1107" spans="1:9" ht="25.5">
      <c r="A1107" s="54" t="s">
        <v>1755</v>
      </c>
      <c r="B1107" s="262" t="s">
        <v>248</v>
      </c>
      <c r="C1107" s="262" t="s">
        <v>484</v>
      </c>
      <c r="D1107" s="262" t="s">
        <v>1861</v>
      </c>
      <c r="E1107" s="263" t="s">
        <v>1756</v>
      </c>
      <c r="F1107" s="369">
        <v>578856.03</v>
      </c>
      <c r="G1107" s="369">
        <v>553856.03</v>
      </c>
      <c r="H1107" s="368">
        <f t="shared" si="36"/>
        <v>95.681136810477724</v>
      </c>
      <c r="I1107" s="147" t="str">
        <f t="shared" si="35"/>
        <v>0702011004Ф000200</v>
      </c>
    </row>
    <row r="1108" spans="1:9" ht="38.25">
      <c r="A1108" s="54" t="s">
        <v>1502</v>
      </c>
      <c r="B1108" s="262" t="s">
        <v>248</v>
      </c>
      <c r="C1108" s="262" t="s">
        <v>484</v>
      </c>
      <c r="D1108" s="262" t="s">
        <v>1861</v>
      </c>
      <c r="E1108" s="263" t="s">
        <v>1503</v>
      </c>
      <c r="F1108" s="369">
        <v>578856.03</v>
      </c>
      <c r="G1108" s="369">
        <v>553856.03</v>
      </c>
      <c r="H1108" s="368">
        <f t="shared" si="36"/>
        <v>95.681136810477724</v>
      </c>
      <c r="I1108" s="147" t="str">
        <f t="shared" si="35"/>
        <v>0702011004Ф000240</v>
      </c>
    </row>
    <row r="1109" spans="1:9">
      <c r="A1109" s="54" t="s">
        <v>1577</v>
      </c>
      <c r="B1109" s="262" t="s">
        <v>248</v>
      </c>
      <c r="C1109" s="262" t="s">
        <v>484</v>
      </c>
      <c r="D1109" s="262" t="s">
        <v>1861</v>
      </c>
      <c r="E1109" s="263" t="s">
        <v>416</v>
      </c>
      <c r="F1109" s="369">
        <v>578856.03</v>
      </c>
      <c r="G1109" s="369">
        <v>553856.03</v>
      </c>
      <c r="H1109" s="368">
        <f t="shared" si="36"/>
        <v>95.681136810477724</v>
      </c>
      <c r="I1109" s="147" t="str">
        <f t="shared" si="35"/>
        <v>0702011004Ф000244</v>
      </c>
    </row>
    <row r="1110" spans="1:9" ht="127.5">
      <c r="A1110" s="54" t="s">
        <v>1097</v>
      </c>
      <c r="B1110" s="262" t="s">
        <v>248</v>
      </c>
      <c r="C1110" s="262" t="s">
        <v>484</v>
      </c>
      <c r="D1110" s="262" t="s">
        <v>1098</v>
      </c>
      <c r="E1110" s="263" t="s">
        <v>1468</v>
      </c>
      <c r="F1110" s="369">
        <v>11203430.460000001</v>
      </c>
      <c r="G1110" s="369">
        <v>10520090.630000001</v>
      </c>
      <c r="H1110" s="368">
        <f t="shared" si="36"/>
        <v>93.900619703583189</v>
      </c>
      <c r="I1110" s="147" t="str">
        <f t="shared" si="35"/>
        <v>0702011004Э020</v>
      </c>
    </row>
    <row r="1111" spans="1:9" ht="25.5">
      <c r="A1111" s="54" t="s">
        <v>1755</v>
      </c>
      <c r="B1111" s="262" t="s">
        <v>248</v>
      </c>
      <c r="C1111" s="262" t="s">
        <v>484</v>
      </c>
      <c r="D1111" s="262" t="s">
        <v>1098</v>
      </c>
      <c r="E1111" s="263" t="s">
        <v>1756</v>
      </c>
      <c r="F1111" s="369">
        <v>11203430.460000001</v>
      </c>
      <c r="G1111" s="369">
        <v>10520090.630000001</v>
      </c>
      <c r="H1111" s="368">
        <f t="shared" si="36"/>
        <v>93.900619703583189</v>
      </c>
      <c r="I1111" s="147" t="str">
        <f t="shared" si="35"/>
        <v>0702011004Э020200</v>
      </c>
    </row>
    <row r="1112" spans="1:9" ht="38.25">
      <c r="A1112" s="54" t="s">
        <v>1502</v>
      </c>
      <c r="B1112" s="262" t="s">
        <v>248</v>
      </c>
      <c r="C1112" s="262" t="s">
        <v>484</v>
      </c>
      <c r="D1112" s="262" t="s">
        <v>1098</v>
      </c>
      <c r="E1112" s="263" t="s">
        <v>1503</v>
      </c>
      <c r="F1112" s="369">
        <v>11203430.460000001</v>
      </c>
      <c r="G1112" s="369">
        <v>10520090.630000001</v>
      </c>
      <c r="H1112" s="368">
        <f t="shared" si="36"/>
        <v>93.900619703583189</v>
      </c>
      <c r="I1112" s="147" t="str">
        <f t="shared" si="35"/>
        <v>0702011004Э020240</v>
      </c>
    </row>
    <row r="1113" spans="1:9">
      <c r="A1113" s="54" t="s">
        <v>1577</v>
      </c>
      <c r="B1113" s="262" t="s">
        <v>248</v>
      </c>
      <c r="C1113" s="262" t="s">
        <v>484</v>
      </c>
      <c r="D1113" s="262" t="s">
        <v>1098</v>
      </c>
      <c r="E1113" s="263" t="s">
        <v>416</v>
      </c>
      <c r="F1113" s="369">
        <v>11203430.460000001</v>
      </c>
      <c r="G1113" s="369">
        <v>10520090.630000001</v>
      </c>
      <c r="H1113" s="368">
        <f t="shared" si="36"/>
        <v>93.900619703583189</v>
      </c>
      <c r="I1113" s="147" t="str">
        <f t="shared" si="35"/>
        <v>0702011004Э020244</v>
      </c>
    </row>
    <row r="1114" spans="1:9" ht="204">
      <c r="A1114" s="54" t="s">
        <v>1101</v>
      </c>
      <c r="B1114" s="262" t="s">
        <v>248</v>
      </c>
      <c r="C1114" s="262" t="s">
        <v>484</v>
      </c>
      <c r="D1114" s="262" t="s">
        <v>877</v>
      </c>
      <c r="E1114" s="263" t="s">
        <v>1468</v>
      </c>
      <c r="F1114" s="369">
        <v>78690040</v>
      </c>
      <c r="G1114" s="369">
        <v>77511806.879999995</v>
      </c>
      <c r="H1114" s="368">
        <f t="shared" si="36"/>
        <v>98.502690912344164</v>
      </c>
      <c r="I1114" s="147" t="str">
        <f t="shared" si="35"/>
        <v>07020110074090</v>
      </c>
    </row>
    <row r="1115" spans="1:9" ht="63.75">
      <c r="A1115" s="54" t="s">
        <v>1754</v>
      </c>
      <c r="B1115" s="262" t="s">
        <v>248</v>
      </c>
      <c r="C1115" s="262" t="s">
        <v>484</v>
      </c>
      <c r="D1115" s="262" t="s">
        <v>877</v>
      </c>
      <c r="E1115" s="263" t="s">
        <v>322</v>
      </c>
      <c r="F1115" s="369">
        <v>74772892.689999998</v>
      </c>
      <c r="G1115" s="369">
        <f>G1116</f>
        <v>73827099.400000006</v>
      </c>
      <c r="H1115" s="368">
        <f t="shared" si="36"/>
        <v>98.735112076081975</v>
      </c>
      <c r="I1115" s="147" t="str">
        <f t="shared" si="35"/>
        <v>07020110074090100</v>
      </c>
    </row>
    <row r="1116" spans="1:9" ht="25.5">
      <c r="A1116" s="54" t="s">
        <v>1487</v>
      </c>
      <c r="B1116" s="262" t="s">
        <v>248</v>
      </c>
      <c r="C1116" s="262" t="s">
        <v>484</v>
      </c>
      <c r="D1116" s="262" t="s">
        <v>877</v>
      </c>
      <c r="E1116" s="263" t="s">
        <v>165</v>
      </c>
      <c r="F1116" s="369">
        <v>74772892.689999998</v>
      </c>
      <c r="G1116" s="369">
        <f>G1117+G1118+G1119</f>
        <v>73827099.400000006</v>
      </c>
      <c r="H1116" s="368">
        <f t="shared" si="36"/>
        <v>98.735112076081975</v>
      </c>
      <c r="I1116" s="147" t="str">
        <f t="shared" si="35"/>
        <v>07020110074090110</v>
      </c>
    </row>
    <row r="1117" spans="1:9">
      <c r="A1117" s="54" t="s">
        <v>1360</v>
      </c>
      <c r="B1117" s="262" t="s">
        <v>248</v>
      </c>
      <c r="C1117" s="262" t="s">
        <v>484</v>
      </c>
      <c r="D1117" s="262" t="s">
        <v>877</v>
      </c>
      <c r="E1117" s="263" t="s">
        <v>430</v>
      </c>
      <c r="F1117" s="369">
        <v>55876499.520000003</v>
      </c>
      <c r="G1117" s="369">
        <v>55400687.5</v>
      </c>
      <c r="H1117" s="368">
        <f t="shared" si="36"/>
        <v>99.148457716414939</v>
      </c>
      <c r="I1117" s="147" t="str">
        <f t="shared" si="35"/>
        <v>07020110074090111</v>
      </c>
    </row>
    <row r="1118" spans="1:9" ht="25.5">
      <c r="A1118" s="54" t="s">
        <v>1369</v>
      </c>
      <c r="B1118" s="262" t="s">
        <v>248</v>
      </c>
      <c r="C1118" s="262" t="s">
        <v>484</v>
      </c>
      <c r="D1118" s="262" t="s">
        <v>877</v>
      </c>
      <c r="E1118" s="263" t="s">
        <v>479</v>
      </c>
      <c r="F1118" s="369">
        <v>1703543.03</v>
      </c>
      <c r="G1118" s="369">
        <v>1495021.51</v>
      </c>
      <c r="H1118" s="368">
        <f t="shared" si="36"/>
        <v>87.75953901205537</v>
      </c>
      <c r="I1118" s="147" t="str">
        <f t="shared" si="35"/>
        <v>07020110074090112</v>
      </c>
    </row>
    <row r="1119" spans="1:9" ht="51">
      <c r="A1119" s="54" t="s">
        <v>1361</v>
      </c>
      <c r="B1119" s="262" t="s">
        <v>248</v>
      </c>
      <c r="C1119" s="262" t="s">
        <v>484</v>
      </c>
      <c r="D1119" s="262" t="s">
        <v>877</v>
      </c>
      <c r="E1119" s="263" t="s">
        <v>1197</v>
      </c>
      <c r="F1119" s="369">
        <v>17192850.140000001</v>
      </c>
      <c r="G1119" s="369">
        <v>16931390.390000001</v>
      </c>
      <c r="H1119" s="368">
        <f t="shared" si="36"/>
        <v>98.479253015812077</v>
      </c>
      <c r="I1119" s="147" t="str">
        <f t="shared" si="35"/>
        <v>07020110074090119</v>
      </c>
    </row>
    <row r="1120" spans="1:9" ht="25.5">
      <c r="A1120" s="54" t="s">
        <v>1755</v>
      </c>
      <c r="B1120" s="262" t="s">
        <v>248</v>
      </c>
      <c r="C1120" s="262" t="s">
        <v>484</v>
      </c>
      <c r="D1120" s="262" t="s">
        <v>877</v>
      </c>
      <c r="E1120" s="263" t="s">
        <v>1756</v>
      </c>
      <c r="F1120" s="369">
        <v>3917147.31</v>
      </c>
      <c r="G1120" s="369">
        <v>3684707.48</v>
      </c>
      <c r="H1120" s="368">
        <f t="shared" si="36"/>
        <v>94.066094236318108</v>
      </c>
      <c r="I1120" s="147" t="str">
        <f t="shared" si="35"/>
        <v>07020110074090200</v>
      </c>
    </row>
    <row r="1121" spans="1:9" ht="38.25">
      <c r="A1121" s="54" t="s">
        <v>1502</v>
      </c>
      <c r="B1121" s="262" t="s">
        <v>248</v>
      </c>
      <c r="C1121" s="262" t="s">
        <v>484</v>
      </c>
      <c r="D1121" s="262" t="s">
        <v>877</v>
      </c>
      <c r="E1121" s="263" t="s">
        <v>1503</v>
      </c>
      <c r="F1121" s="369">
        <v>3917147.31</v>
      </c>
      <c r="G1121" s="369">
        <v>3684707.48</v>
      </c>
      <c r="H1121" s="368">
        <f t="shared" si="36"/>
        <v>94.066094236318108</v>
      </c>
      <c r="I1121" s="147" t="str">
        <f t="shared" si="35"/>
        <v>07020110074090240</v>
      </c>
    </row>
    <row r="1122" spans="1:9">
      <c r="A1122" s="54" t="s">
        <v>1577</v>
      </c>
      <c r="B1122" s="262" t="s">
        <v>248</v>
      </c>
      <c r="C1122" s="262" t="s">
        <v>484</v>
      </c>
      <c r="D1122" s="262" t="s">
        <v>877</v>
      </c>
      <c r="E1122" s="263" t="s">
        <v>416</v>
      </c>
      <c r="F1122" s="369">
        <v>3917147.31</v>
      </c>
      <c r="G1122" s="369">
        <v>3684707.48</v>
      </c>
      <c r="H1122" s="368">
        <f t="shared" si="36"/>
        <v>94.066094236318108</v>
      </c>
      <c r="I1122" s="147" t="str">
        <f t="shared" si="35"/>
        <v>07020110074090244</v>
      </c>
    </row>
    <row r="1123" spans="1:9" ht="63.75">
      <c r="A1123" s="54" t="s">
        <v>1935</v>
      </c>
      <c r="B1123" s="262" t="s">
        <v>248</v>
      </c>
      <c r="C1123" s="262" t="s">
        <v>484</v>
      </c>
      <c r="D1123" s="262" t="s">
        <v>1936</v>
      </c>
      <c r="E1123" s="263" t="s">
        <v>1468</v>
      </c>
      <c r="F1123" s="369">
        <v>7476300</v>
      </c>
      <c r="G1123" s="369">
        <v>6158802</v>
      </c>
      <c r="H1123" s="368">
        <f t="shared" si="36"/>
        <v>82.377673448095976</v>
      </c>
      <c r="I1123" s="147" t="str">
        <f t="shared" si="35"/>
        <v>07020110075630</v>
      </c>
    </row>
    <row r="1124" spans="1:9" ht="25.5">
      <c r="A1124" s="54" t="s">
        <v>1755</v>
      </c>
      <c r="B1124" s="262" t="s">
        <v>248</v>
      </c>
      <c r="C1124" s="262" t="s">
        <v>484</v>
      </c>
      <c r="D1124" s="262" t="s">
        <v>1936</v>
      </c>
      <c r="E1124" s="263" t="s">
        <v>1756</v>
      </c>
      <c r="F1124" s="369">
        <v>7476300</v>
      </c>
      <c r="G1124" s="369">
        <v>6158802</v>
      </c>
      <c r="H1124" s="368">
        <f t="shared" si="36"/>
        <v>82.377673448095976</v>
      </c>
      <c r="I1124" s="147" t="str">
        <f t="shared" si="35"/>
        <v>07020110075630200</v>
      </c>
    </row>
    <row r="1125" spans="1:9" ht="38.25">
      <c r="A1125" s="54" t="s">
        <v>1502</v>
      </c>
      <c r="B1125" s="262" t="s">
        <v>248</v>
      </c>
      <c r="C1125" s="262" t="s">
        <v>484</v>
      </c>
      <c r="D1125" s="262" t="s">
        <v>1936</v>
      </c>
      <c r="E1125" s="263" t="s">
        <v>1503</v>
      </c>
      <c r="F1125" s="369">
        <v>7476300</v>
      </c>
      <c r="G1125" s="369">
        <v>6158802</v>
      </c>
      <c r="H1125" s="368">
        <f t="shared" si="36"/>
        <v>82.377673448095976</v>
      </c>
      <c r="I1125" s="147" t="str">
        <f t="shared" si="35"/>
        <v>07020110075630240</v>
      </c>
    </row>
    <row r="1126" spans="1:9">
      <c r="A1126" s="54" t="s">
        <v>1577</v>
      </c>
      <c r="B1126" s="262" t="s">
        <v>248</v>
      </c>
      <c r="C1126" s="262" t="s">
        <v>484</v>
      </c>
      <c r="D1126" s="262" t="s">
        <v>1936</v>
      </c>
      <c r="E1126" s="263" t="s">
        <v>416</v>
      </c>
      <c r="F1126" s="369">
        <v>7476300</v>
      </c>
      <c r="G1126" s="369">
        <v>6158802</v>
      </c>
      <c r="H1126" s="368">
        <f t="shared" si="36"/>
        <v>82.377673448095976</v>
      </c>
      <c r="I1126" s="147" t="str">
        <f t="shared" si="35"/>
        <v>07020110075630244</v>
      </c>
    </row>
    <row r="1127" spans="1:9" ht="165.75">
      <c r="A1127" s="54" t="s">
        <v>501</v>
      </c>
      <c r="B1127" s="262" t="s">
        <v>248</v>
      </c>
      <c r="C1127" s="262" t="s">
        <v>484</v>
      </c>
      <c r="D1127" s="262" t="s">
        <v>875</v>
      </c>
      <c r="E1127" s="263" t="s">
        <v>1468</v>
      </c>
      <c r="F1127" s="369">
        <v>361776000</v>
      </c>
      <c r="G1127" s="369">
        <v>358957459.31999999</v>
      </c>
      <c r="H1127" s="368">
        <f t="shared" si="36"/>
        <v>99.220915516783876</v>
      </c>
      <c r="I1127" s="147" t="str">
        <f t="shared" si="35"/>
        <v>07020110075640</v>
      </c>
    </row>
    <row r="1128" spans="1:9" ht="63.75">
      <c r="A1128" s="54" t="s">
        <v>1754</v>
      </c>
      <c r="B1128" s="262" t="s">
        <v>248</v>
      </c>
      <c r="C1128" s="262" t="s">
        <v>484</v>
      </c>
      <c r="D1128" s="262" t="s">
        <v>875</v>
      </c>
      <c r="E1128" s="263" t="s">
        <v>322</v>
      </c>
      <c r="F1128" s="369">
        <v>340165794.48000002</v>
      </c>
      <c r="G1128" s="369">
        <f>G1129</f>
        <v>337514156.24000001</v>
      </c>
      <c r="H1128" s="368">
        <f t="shared" si="36"/>
        <v>99.220486514802744</v>
      </c>
      <c r="I1128" s="147" t="str">
        <f t="shared" si="35"/>
        <v>07020110075640100</v>
      </c>
    </row>
    <row r="1129" spans="1:9" ht="25.5">
      <c r="A1129" s="54" t="s">
        <v>1487</v>
      </c>
      <c r="B1129" s="262" t="s">
        <v>248</v>
      </c>
      <c r="C1129" s="262" t="s">
        <v>484</v>
      </c>
      <c r="D1129" s="262" t="s">
        <v>875</v>
      </c>
      <c r="E1129" s="263" t="s">
        <v>165</v>
      </c>
      <c r="F1129" s="369">
        <v>340165794.48000002</v>
      </c>
      <c r="G1129" s="369">
        <f>G1130+G1131+G1132+G1133</f>
        <v>337514156.24000001</v>
      </c>
      <c r="H1129" s="368">
        <f t="shared" si="36"/>
        <v>99.220486514802744</v>
      </c>
      <c r="I1129" s="147" t="str">
        <f t="shared" ref="I1129:I1192" si="37">CONCATENATE(C1129,D1129,E1129)</f>
        <v>07020110075640110</v>
      </c>
    </row>
    <row r="1130" spans="1:9">
      <c r="A1130" s="54" t="s">
        <v>1360</v>
      </c>
      <c r="B1130" s="262" t="s">
        <v>248</v>
      </c>
      <c r="C1130" s="262" t="s">
        <v>484</v>
      </c>
      <c r="D1130" s="262" t="s">
        <v>875</v>
      </c>
      <c r="E1130" s="263" t="s">
        <v>430</v>
      </c>
      <c r="F1130" s="369">
        <v>257954200.96000001</v>
      </c>
      <c r="G1130" s="369">
        <v>255817294.72999999</v>
      </c>
      <c r="H1130" s="368">
        <f t="shared" si="36"/>
        <v>99.171594716408052</v>
      </c>
      <c r="I1130" s="147" t="str">
        <f t="shared" si="37"/>
        <v>07020110075640111</v>
      </c>
    </row>
    <row r="1131" spans="1:9" ht="25.5">
      <c r="A1131" s="54" t="s">
        <v>1369</v>
      </c>
      <c r="B1131" s="262" t="s">
        <v>248</v>
      </c>
      <c r="C1131" s="262" t="s">
        <v>484</v>
      </c>
      <c r="D1131" s="262" t="s">
        <v>875</v>
      </c>
      <c r="E1131" s="263" t="s">
        <v>479</v>
      </c>
      <c r="F1131" s="369">
        <v>4839467.82</v>
      </c>
      <c r="G1131" s="369">
        <v>4653792.0599999996</v>
      </c>
      <c r="H1131" s="368">
        <f t="shared" si="36"/>
        <v>96.163302104568999</v>
      </c>
      <c r="I1131" s="147" t="str">
        <f t="shared" si="37"/>
        <v>07020110075640112</v>
      </c>
    </row>
    <row r="1132" spans="1:9" ht="51">
      <c r="A1132" s="54" t="s">
        <v>1371</v>
      </c>
      <c r="B1132" s="262" t="s">
        <v>248</v>
      </c>
      <c r="C1132" s="262" t="s">
        <v>484</v>
      </c>
      <c r="D1132" s="262" t="s">
        <v>875</v>
      </c>
      <c r="E1132" s="263" t="s">
        <v>1200</v>
      </c>
      <c r="F1132" s="369">
        <v>5851.1</v>
      </c>
      <c r="G1132" s="369">
        <v>4512.2</v>
      </c>
      <c r="H1132" s="368">
        <f t="shared" si="36"/>
        <v>77.117123275965199</v>
      </c>
      <c r="I1132" s="147" t="str">
        <f t="shared" si="37"/>
        <v>07020110075640113</v>
      </c>
    </row>
    <row r="1133" spans="1:9" ht="51">
      <c r="A1133" s="54" t="s">
        <v>1361</v>
      </c>
      <c r="B1133" s="262" t="s">
        <v>248</v>
      </c>
      <c r="C1133" s="262" t="s">
        <v>484</v>
      </c>
      <c r="D1133" s="262" t="s">
        <v>875</v>
      </c>
      <c r="E1133" s="263" t="s">
        <v>1197</v>
      </c>
      <c r="F1133" s="369">
        <v>77366274.599999994</v>
      </c>
      <c r="G1133" s="369">
        <v>77038557.25</v>
      </c>
      <c r="H1133" s="368">
        <f t="shared" si="36"/>
        <v>99.576407999875443</v>
      </c>
      <c r="I1133" s="147" t="str">
        <f t="shared" si="37"/>
        <v>07020110075640119</v>
      </c>
    </row>
    <row r="1134" spans="1:9" ht="25.5">
      <c r="A1134" s="54" t="s">
        <v>1755</v>
      </c>
      <c r="B1134" s="262" t="s">
        <v>248</v>
      </c>
      <c r="C1134" s="262" t="s">
        <v>484</v>
      </c>
      <c r="D1134" s="262" t="s">
        <v>875</v>
      </c>
      <c r="E1134" s="263" t="s">
        <v>1756</v>
      </c>
      <c r="F1134" s="369">
        <v>21472355.52</v>
      </c>
      <c r="G1134" s="369">
        <v>21305453.079999998</v>
      </c>
      <c r="H1134" s="368">
        <f t="shared" si="36"/>
        <v>99.222710150059953</v>
      </c>
      <c r="I1134" s="147" t="str">
        <f t="shared" si="37"/>
        <v>07020110075640200</v>
      </c>
    </row>
    <row r="1135" spans="1:9" ht="38.25">
      <c r="A1135" s="54" t="s">
        <v>1502</v>
      </c>
      <c r="B1135" s="262" t="s">
        <v>248</v>
      </c>
      <c r="C1135" s="262" t="s">
        <v>484</v>
      </c>
      <c r="D1135" s="262" t="s">
        <v>875</v>
      </c>
      <c r="E1135" s="263" t="s">
        <v>1503</v>
      </c>
      <c r="F1135" s="369">
        <v>21472355.52</v>
      </c>
      <c r="G1135" s="369">
        <v>21305453.079999998</v>
      </c>
      <c r="H1135" s="368">
        <f t="shared" si="36"/>
        <v>99.222710150059953</v>
      </c>
      <c r="I1135" s="147" t="str">
        <f t="shared" si="37"/>
        <v>07020110075640240</v>
      </c>
    </row>
    <row r="1136" spans="1:9">
      <c r="A1136" s="54" t="s">
        <v>1577</v>
      </c>
      <c r="B1136" s="262" t="s">
        <v>248</v>
      </c>
      <c r="C1136" s="262" t="s">
        <v>484</v>
      </c>
      <c r="D1136" s="262" t="s">
        <v>875</v>
      </c>
      <c r="E1136" s="263" t="s">
        <v>416</v>
      </c>
      <c r="F1136" s="369">
        <v>21472355.52</v>
      </c>
      <c r="G1136" s="369">
        <v>21305453.079999998</v>
      </c>
      <c r="H1136" s="368">
        <f t="shared" si="36"/>
        <v>99.222710150059953</v>
      </c>
      <c r="I1136" s="147" t="str">
        <f t="shared" si="37"/>
        <v>07020110075640244</v>
      </c>
    </row>
    <row r="1137" spans="1:9">
      <c r="A1137" s="54" t="s">
        <v>1757</v>
      </c>
      <c r="B1137" s="262" t="s">
        <v>248</v>
      </c>
      <c r="C1137" s="262" t="s">
        <v>484</v>
      </c>
      <c r="D1137" s="262" t="s">
        <v>875</v>
      </c>
      <c r="E1137" s="263" t="s">
        <v>1758</v>
      </c>
      <c r="F1137" s="369">
        <v>137850</v>
      </c>
      <c r="G1137" s="369">
        <v>137850</v>
      </c>
      <c r="H1137" s="368">
        <f t="shared" si="36"/>
        <v>100</v>
      </c>
      <c r="I1137" s="147" t="str">
        <f t="shared" si="37"/>
        <v>07020110075640800</v>
      </c>
    </row>
    <row r="1138" spans="1:9">
      <c r="A1138" s="54" t="s">
        <v>1507</v>
      </c>
      <c r="B1138" s="262" t="s">
        <v>248</v>
      </c>
      <c r="C1138" s="262" t="s">
        <v>484</v>
      </c>
      <c r="D1138" s="262" t="s">
        <v>875</v>
      </c>
      <c r="E1138" s="263" t="s">
        <v>1508</v>
      </c>
      <c r="F1138" s="369">
        <v>137850</v>
      </c>
      <c r="G1138" s="369">
        <v>137850</v>
      </c>
      <c r="H1138" s="368">
        <f t="shared" si="36"/>
        <v>100</v>
      </c>
      <c r="I1138" s="147" t="str">
        <f t="shared" si="37"/>
        <v>07020110075640850</v>
      </c>
    </row>
    <row r="1139" spans="1:9">
      <c r="A1139" s="54" t="s">
        <v>1082</v>
      </c>
      <c r="B1139" s="262" t="s">
        <v>248</v>
      </c>
      <c r="C1139" s="262" t="s">
        <v>484</v>
      </c>
      <c r="D1139" s="262" t="s">
        <v>875</v>
      </c>
      <c r="E1139" s="263" t="s">
        <v>591</v>
      </c>
      <c r="F1139" s="369">
        <v>137850</v>
      </c>
      <c r="G1139" s="369">
        <v>137850</v>
      </c>
      <c r="H1139" s="368">
        <f t="shared" si="36"/>
        <v>100</v>
      </c>
      <c r="I1139" s="147" t="str">
        <f t="shared" si="37"/>
        <v>07020110075640852</v>
      </c>
    </row>
    <row r="1140" spans="1:9" ht="76.5">
      <c r="A1140" s="54" t="s">
        <v>978</v>
      </c>
      <c r="B1140" s="262" t="s">
        <v>248</v>
      </c>
      <c r="C1140" s="262" t="s">
        <v>484</v>
      </c>
      <c r="D1140" s="262" t="s">
        <v>977</v>
      </c>
      <c r="E1140" s="263" t="s">
        <v>1468</v>
      </c>
      <c r="F1140" s="369">
        <v>3713815</v>
      </c>
      <c r="G1140" s="369">
        <v>3713815</v>
      </c>
      <c r="H1140" s="368">
        <f t="shared" si="36"/>
        <v>100</v>
      </c>
      <c r="I1140" s="147" t="str">
        <f t="shared" si="37"/>
        <v>07020110080010</v>
      </c>
    </row>
    <row r="1141" spans="1:9" ht="25.5">
      <c r="A1141" s="54" t="s">
        <v>1755</v>
      </c>
      <c r="B1141" s="262" t="s">
        <v>248</v>
      </c>
      <c r="C1141" s="262" t="s">
        <v>484</v>
      </c>
      <c r="D1141" s="262" t="s">
        <v>977</v>
      </c>
      <c r="E1141" s="263" t="s">
        <v>1756</v>
      </c>
      <c r="F1141" s="369">
        <v>3713815</v>
      </c>
      <c r="G1141" s="369">
        <v>3713815</v>
      </c>
      <c r="H1141" s="368">
        <f t="shared" si="36"/>
        <v>100</v>
      </c>
      <c r="I1141" s="147" t="str">
        <f t="shared" si="37"/>
        <v>07020110080010200</v>
      </c>
    </row>
    <row r="1142" spans="1:9" ht="38.25">
      <c r="A1142" s="54" t="s">
        <v>1502</v>
      </c>
      <c r="B1142" s="262" t="s">
        <v>248</v>
      </c>
      <c r="C1142" s="262" t="s">
        <v>484</v>
      </c>
      <c r="D1142" s="262" t="s">
        <v>977</v>
      </c>
      <c r="E1142" s="263" t="s">
        <v>1503</v>
      </c>
      <c r="F1142" s="369">
        <v>3713815</v>
      </c>
      <c r="G1142" s="369">
        <v>3713815</v>
      </c>
      <c r="H1142" s="368">
        <f t="shared" si="36"/>
        <v>100</v>
      </c>
      <c r="I1142" s="147" t="str">
        <f t="shared" si="37"/>
        <v>07020110080010240</v>
      </c>
    </row>
    <row r="1143" spans="1:9">
      <c r="A1143" s="54" t="s">
        <v>1577</v>
      </c>
      <c r="B1143" s="262" t="s">
        <v>248</v>
      </c>
      <c r="C1143" s="262" t="s">
        <v>484</v>
      </c>
      <c r="D1143" s="262" t="s">
        <v>977</v>
      </c>
      <c r="E1143" s="263" t="s">
        <v>416</v>
      </c>
      <c r="F1143" s="369">
        <v>3713815</v>
      </c>
      <c r="G1143" s="369">
        <v>3713815</v>
      </c>
      <c r="H1143" s="368">
        <f t="shared" si="36"/>
        <v>100</v>
      </c>
      <c r="I1143" s="147" t="str">
        <f t="shared" si="37"/>
        <v>07020110080010244</v>
      </c>
    </row>
    <row r="1144" spans="1:9" ht="63.75">
      <c r="A1144" s="54" t="s">
        <v>500</v>
      </c>
      <c r="B1144" s="262" t="s">
        <v>248</v>
      </c>
      <c r="C1144" s="262" t="s">
        <v>484</v>
      </c>
      <c r="D1144" s="262" t="s">
        <v>889</v>
      </c>
      <c r="E1144" s="263" t="s">
        <v>1468</v>
      </c>
      <c r="F1144" s="369">
        <v>522944</v>
      </c>
      <c r="G1144" s="369">
        <v>521957</v>
      </c>
      <c r="H1144" s="368">
        <f t="shared" si="36"/>
        <v>99.811260861583648</v>
      </c>
      <c r="I1144" s="147" t="str">
        <f t="shared" si="37"/>
        <v>07020110080020</v>
      </c>
    </row>
    <row r="1145" spans="1:9" ht="25.5">
      <c r="A1145" s="54" t="s">
        <v>1755</v>
      </c>
      <c r="B1145" s="262" t="s">
        <v>248</v>
      </c>
      <c r="C1145" s="262" t="s">
        <v>484</v>
      </c>
      <c r="D1145" s="262" t="s">
        <v>889</v>
      </c>
      <c r="E1145" s="263" t="s">
        <v>1756</v>
      </c>
      <c r="F1145" s="369">
        <v>397944</v>
      </c>
      <c r="G1145" s="369">
        <v>396957</v>
      </c>
      <c r="H1145" s="368">
        <f t="shared" si="36"/>
        <v>99.751975152282739</v>
      </c>
      <c r="I1145" s="147" t="str">
        <f t="shared" si="37"/>
        <v>07020110080020200</v>
      </c>
    </row>
    <row r="1146" spans="1:9" ht="38.25">
      <c r="A1146" s="54" t="s">
        <v>1502</v>
      </c>
      <c r="B1146" s="262" t="s">
        <v>248</v>
      </c>
      <c r="C1146" s="262" t="s">
        <v>484</v>
      </c>
      <c r="D1146" s="262" t="s">
        <v>889</v>
      </c>
      <c r="E1146" s="263" t="s">
        <v>1503</v>
      </c>
      <c r="F1146" s="369">
        <v>397944</v>
      </c>
      <c r="G1146" s="369">
        <v>396957</v>
      </c>
      <c r="H1146" s="368">
        <f t="shared" si="36"/>
        <v>99.751975152282739</v>
      </c>
      <c r="I1146" s="147" t="str">
        <f t="shared" si="37"/>
        <v>07020110080020240</v>
      </c>
    </row>
    <row r="1147" spans="1:9">
      <c r="A1147" s="54" t="s">
        <v>1577</v>
      </c>
      <c r="B1147" s="262" t="s">
        <v>248</v>
      </c>
      <c r="C1147" s="262" t="s">
        <v>484</v>
      </c>
      <c r="D1147" s="262" t="s">
        <v>889</v>
      </c>
      <c r="E1147" s="263" t="s">
        <v>416</v>
      </c>
      <c r="F1147" s="369">
        <v>397944</v>
      </c>
      <c r="G1147" s="369">
        <v>396957</v>
      </c>
      <c r="H1147" s="368">
        <f t="shared" si="36"/>
        <v>99.751975152282739</v>
      </c>
      <c r="I1147" s="147" t="str">
        <f t="shared" si="37"/>
        <v>07020110080020244</v>
      </c>
    </row>
    <row r="1148" spans="1:9" ht="25.5">
      <c r="A1148" s="54" t="s">
        <v>1759</v>
      </c>
      <c r="B1148" s="262" t="s">
        <v>248</v>
      </c>
      <c r="C1148" s="262" t="s">
        <v>484</v>
      </c>
      <c r="D1148" s="262" t="s">
        <v>889</v>
      </c>
      <c r="E1148" s="263" t="s">
        <v>1760</v>
      </c>
      <c r="F1148" s="369">
        <v>125000</v>
      </c>
      <c r="G1148" s="369">
        <v>125000</v>
      </c>
      <c r="H1148" s="368">
        <f t="shared" si="36"/>
        <v>100</v>
      </c>
      <c r="I1148" s="147" t="str">
        <f t="shared" si="37"/>
        <v>07020110080020300</v>
      </c>
    </row>
    <row r="1149" spans="1:9">
      <c r="A1149" s="54" t="s">
        <v>625</v>
      </c>
      <c r="B1149" s="262" t="s">
        <v>248</v>
      </c>
      <c r="C1149" s="262" t="s">
        <v>484</v>
      </c>
      <c r="D1149" s="262" t="s">
        <v>889</v>
      </c>
      <c r="E1149" s="263" t="s">
        <v>626</v>
      </c>
      <c r="F1149" s="369">
        <v>125000</v>
      </c>
      <c r="G1149" s="369">
        <v>125000</v>
      </c>
      <c r="H1149" s="368">
        <f t="shared" si="36"/>
        <v>100</v>
      </c>
      <c r="I1149" s="147" t="str">
        <f t="shared" si="37"/>
        <v>07020110080020360</v>
      </c>
    </row>
    <row r="1150" spans="1:9" ht="63.75">
      <c r="A1150" s="54" t="s">
        <v>627</v>
      </c>
      <c r="B1150" s="262" t="s">
        <v>248</v>
      </c>
      <c r="C1150" s="262" t="s">
        <v>484</v>
      </c>
      <c r="D1150" s="262" t="s">
        <v>892</v>
      </c>
      <c r="E1150" s="263" t="s">
        <v>1468</v>
      </c>
      <c r="F1150" s="369">
        <v>187200</v>
      </c>
      <c r="G1150" s="369">
        <v>187200</v>
      </c>
      <c r="H1150" s="368">
        <f t="shared" si="36"/>
        <v>100</v>
      </c>
      <c r="I1150" s="147" t="str">
        <f t="shared" si="37"/>
        <v>07020110080040</v>
      </c>
    </row>
    <row r="1151" spans="1:9" ht="25.5">
      <c r="A1151" s="54" t="s">
        <v>1759</v>
      </c>
      <c r="B1151" s="262" t="s">
        <v>248</v>
      </c>
      <c r="C1151" s="262" t="s">
        <v>484</v>
      </c>
      <c r="D1151" s="262" t="s">
        <v>892</v>
      </c>
      <c r="E1151" s="263" t="s">
        <v>1760</v>
      </c>
      <c r="F1151" s="369">
        <v>187200</v>
      </c>
      <c r="G1151" s="369">
        <v>187200</v>
      </c>
      <c r="H1151" s="368">
        <f t="shared" si="36"/>
        <v>100</v>
      </c>
      <c r="I1151" s="147" t="str">
        <f t="shared" si="37"/>
        <v>07020110080040300</v>
      </c>
    </row>
    <row r="1152" spans="1:9" ht="25.5">
      <c r="A1152" s="54" t="s">
        <v>426</v>
      </c>
      <c r="B1152" s="262" t="s">
        <v>248</v>
      </c>
      <c r="C1152" s="262" t="s">
        <v>484</v>
      </c>
      <c r="D1152" s="262" t="s">
        <v>892</v>
      </c>
      <c r="E1152" s="263" t="s">
        <v>427</v>
      </c>
      <c r="F1152" s="369">
        <v>187200</v>
      </c>
      <c r="G1152" s="369">
        <v>187200</v>
      </c>
      <c r="H1152" s="368">
        <f t="shared" si="36"/>
        <v>100</v>
      </c>
      <c r="I1152" s="147" t="str">
        <f t="shared" si="37"/>
        <v>07020110080040330</v>
      </c>
    </row>
    <row r="1153" spans="1:9" ht="63.75">
      <c r="A1153" s="54" t="s">
        <v>693</v>
      </c>
      <c r="B1153" s="262" t="s">
        <v>248</v>
      </c>
      <c r="C1153" s="262" t="s">
        <v>484</v>
      </c>
      <c r="D1153" s="262" t="s">
        <v>891</v>
      </c>
      <c r="E1153" s="263" t="s">
        <v>1468</v>
      </c>
      <c r="F1153" s="369">
        <v>40000</v>
      </c>
      <c r="G1153" s="369">
        <v>40000</v>
      </c>
      <c r="H1153" s="368">
        <f t="shared" si="36"/>
        <v>100</v>
      </c>
      <c r="I1153" s="147" t="str">
        <f t="shared" si="37"/>
        <v>0702011008П020</v>
      </c>
    </row>
    <row r="1154" spans="1:9" ht="25.5">
      <c r="A1154" s="54" t="s">
        <v>1755</v>
      </c>
      <c r="B1154" s="262" t="s">
        <v>248</v>
      </c>
      <c r="C1154" s="262" t="s">
        <v>484</v>
      </c>
      <c r="D1154" s="262" t="s">
        <v>891</v>
      </c>
      <c r="E1154" s="263" t="s">
        <v>1756</v>
      </c>
      <c r="F1154" s="369">
        <v>40000</v>
      </c>
      <c r="G1154" s="369">
        <v>40000</v>
      </c>
      <c r="H1154" s="368">
        <f t="shared" si="36"/>
        <v>100</v>
      </c>
      <c r="I1154" s="147" t="str">
        <f t="shared" si="37"/>
        <v>0702011008П020200</v>
      </c>
    </row>
    <row r="1155" spans="1:9" ht="38.25">
      <c r="A1155" s="54" t="s">
        <v>1502</v>
      </c>
      <c r="B1155" s="262" t="s">
        <v>248</v>
      </c>
      <c r="C1155" s="262" t="s">
        <v>484</v>
      </c>
      <c r="D1155" s="262" t="s">
        <v>891</v>
      </c>
      <c r="E1155" s="263" t="s">
        <v>1503</v>
      </c>
      <c r="F1155" s="369">
        <v>40000</v>
      </c>
      <c r="G1155" s="369">
        <v>40000</v>
      </c>
      <c r="H1155" s="368">
        <f t="shared" si="36"/>
        <v>100</v>
      </c>
      <c r="I1155" s="147" t="str">
        <f t="shared" si="37"/>
        <v>0702011008П020240</v>
      </c>
    </row>
    <row r="1156" spans="1:9">
      <c r="A1156" s="54" t="s">
        <v>1577</v>
      </c>
      <c r="B1156" s="262" t="s">
        <v>248</v>
      </c>
      <c r="C1156" s="262" t="s">
        <v>484</v>
      </c>
      <c r="D1156" s="262" t="s">
        <v>891</v>
      </c>
      <c r="E1156" s="263" t="s">
        <v>416</v>
      </c>
      <c r="F1156" s="369">
        <v>40000</v>
      </c>
      <c r="G1156" s="369">
        <v>40000</v>
      </c>
      <c r="H1156" s="368">
        <f t="shared" si="36"/>
        <v>100</v>
      </c>
      <c r="I1156" s="147" t="str">
        <f t="shared" si="37"/>
        <v>0702011008П020244</v>
      </c>
    </row>
    <row r="1157" spans="1:9" ht="63.75">
      <c r="A1157" s="54" t="s">
        <v>2023</v>
      </c>
      <c r="B1157" s="262" t="s">
        <v>248</v>
      </c>
      <c r="C1157" s="262" t="s">
        <v>484</v>
      </c>
      <c r="D1157" s="262" t="s">
        <v>2024</v>
      </c>
      <c r="E1157" s="263" t="s">
        <v>1468</v>
      </c>
      <c r="F1157" s="369">
        <v>23176</v>
      </c>
      <c r="G1157" s="369">
        <v>9520</v>
      </c>
      <c r="H1157" s="368">
        <f t="shared" si="36"/>
        <v>41.076976182257511</v>
      </c>
      <c r="I1157" s="147" t="str">
        <f t="shared" si="37"/>
        <v>0702011008Ф000</v>
      </c>
    </row>
    <row r="1158" spans="1:9" ht="25.5">
      <c r="A1158" s="54" t="s">
        <v>1755</v>
      </c>
      <c r="B1158" s="262" t="s">
        <v>248</v>
      </c>
      <c r="C1158" s="262" t="s">
        <v>484</v>
      </c>
      <c r="D1158" s="262" t="s">
        <v>2024</v>
      </c>
      <c r="E1158" s="263" t="s">
        <v>1756</v>
      </c>
      <c r="F1158" s="369">
        <v>23176</v>
      </c>
      <c r="G1158" s="369">
        <v>9520</v>
      </c>
      <c r="H1158" s="368">
        <f t="shared" si="36"/>
        <v>41.076976182257511</v>
      </c>
      <c r="I1158" s="147" t="str">
        <f t="shared" si="37"/>
        <v>0702011008Ф000200</v>
      </c>
    </row>
    <row r="1159" spans="1:9" ht="38.25">
      <c r="A1159" s="54" t="s">
        <v>1502</v>
      </c>
      <c r="B1159" s="262" t="s">
        <v>248</v>
      </c>
      <c r="C1159" s="262" t="s">
        <v>484</v>
      </c>
      <c r="D1159" s="262" t="s">
        <v>2024</v>
      </c>
      <c r="E1159" s="263" t="s">
        <v>1503</v>
      </c>
      <c r="F1159" s="369">
        <v>23176</v>
      </c>
      <c r="G1159" s="369">
        <v>9520</v>
      </c>
      <c r="H1159" s="368">
        <f t="shared" si="36"/>
        <v>41.076976182257511</v>
      </c>
      <c r="I1159" s="147" t="str">
        <f t="shared" si="37"/>
        <v>0702011008Ф000240</v>
      </c>
    </row>
    <row r="1160" spans="1:9">
      <c r="A1160" s="54" t="s">
        <v>1577</v>
      </c>
      <c r="B1160" s="262" t="s">
        <v>248</v>
      </c>
      <c r="C1160" s="262" t="s">
        <v>484</v>
      </c>
      <c r="D1160" s="262" t="s">
        <v>2024</v>
      </c>
      <c r="E1160" s="263" t="s">
        <v>416</v>
      </c>
      <c r="F1160" s="369">
        <v>23176</v>
      </c>
      <c r="G1160" s="369">
        <v>9520</v>
      </c>
      <c r="H1160" s="368">
        <f t="shared" ref="H1160:H1223" si="38">G1160/F1160*100</f>
        <v>41.076976182257511</v>
      </c>
      <c r="I1160" s="147" t="str">
        <f t="shared" si="37"/>
        <v>0702011008Ф000244</v>
      </c>
    </row>
    <row r="1161" spans="1:9" ht="89.25">
      <c r="A1161" s="54" t="s">
        <v>1937</v>
      </c>
      <c r="B1161" s="262" t="s">
        <v>248</v>
      </c>
      <c r="C1161" s="262" t="s">
        <v>484</v>
      </c>
      <c r="D1161" s="262" t="s">
        <v>1938</v>
      </c>
      <c r="E1161" s="263" t="s">
        <v>1468</v>
      </c>
      <c r="F1161" s="369">
        <v>318000</v>
      </c>
      <c r="G1161" s="369">
        <v>318000</v>
      </c>
      <c r="H1161" s="368">
        <f t="shared" si="38"/>
        <v>100</v>
      </c>
      <c r="I1161" s="147" t="str">
        <f t="shared" si="37"/>
        <v>070201100S5630</v>
      </c>
    </row>
    <row r="1162" spans="1:9" ht="25.5">
      <c r="A1162" s="54" t="s">
        <v>1755</v>
      </c>
      <c r="B1162" s="262" t="s">
        <v>248</v>
      </c>
      <c r="C1162" s="262" t="s">
        <v>484</v>
      </c>
      <c r="D1162" s="262" t="s">
        <v>1938</v>
      </c>
      <c r="E1162" s="263" t="s">
        <v>1756</v>
      </c>
      <c r="F1162" s="369">
        <v>318000</v>
      </c>
      <c r="G1162" s="369">
        <v>318000</v>
      </c>
      <c r="H1162" s="368">
        <f t="shared" si="38"/>
        <v>100</v>
      </c>
      <c r="I1162" s="147" t="str">
        <f t="shared" si="37"/>
        <v>070201100S5630200</v>
      </c>
    </row>
    <row r="1163" spans="1:9" ht="38.25">
      <c r="A1163" s="54" t="s">
        <v>1502</v>
      </c>
      <c r="B1163" s="262" t="s">
        <v>248</v>
      </c>
      <c r="C1163" s="262" t="s">
        <v>484</v>
      </c>
      <c r="D1163" s="262" t="s">
        <v>1938</v>
      </c>
      <c r="E1163" s="263" t="s">
        <v>1503</v>
      </c>
      <c r="F1163" s="369">
        <v>318000</v>
      </c>
      <c r="G1163" s="369">
        <v>318000</v>
      </c>
      <c r="H1163" s="368">
        <f t="shared" si="38"/>
        <v>100</v>
      </c>
      <c r="I1163" s="147" t="str">
        <f t="shared" si="37"/>
        <v>070201100S5630240</v>
      </c>
    </row>
    <row r="1164" spans="1:9">
      <c r="A1164" s="54" t="s">
        <v>1577</v>
      </c>
      <c r="B1164" s="262" t="s">
        <v>248</v>
      </c>
      <c r="C1164" s="262" t="s">
        <v>484</v>
      </c>
      <c r="D1164" s="262" t="s">
        <v>1938</v>
      </c>
      <c r="E1164" s="263" t="s">
        <v>416</v>
      </c>
      <c r="F1164" s="369">
        <v>318000</v>
      </c>
      <c r="G1164" s="369">
        <v>318000</v>
      </c>
      <c r="H1164" s="368">
        <f t="shared" si="38"/>
        <v>100</v>
      </c>
      <c r="I1164" s="147" t="str">
        <f t="shared" si="37"/>
        <v>070201100S5630244</v>
      </c>
    </row>
    <row r="1165" spans="1:9" ht="38.25">
      <c r="A1165" s="54" t="s">
        <v>545</v>
      </c>
      <c r="B1165" s="262" t="s">
        <v>248</v>
      </c>
      <c r="C1165" s="262" t="s">
        <v>484</v>
      </c>
      <c r="D1165" s="262" t="s">
        <v>1113</v>
      </c>
      <c r="E1165" s="263" t="s">
        <v>1468</v>
      </c>
      <c r="F1165" s="369">
        <v>1421519.38</v>
      </c>
      <c r="G1165" s="369">
        <v>1421519.38</v>
      </c>
      <c r="H1165" s="368">
        <f t="shared" si="38"/>
        <v>100</v>
      </c>
      <c r="I1165" s="147" t="str">
        <f t="shared" si="37"/>
        <v>07020300000000</v>
      </c>
    </row>
    <row r="1166" spans="1:9" ht="38.25">
      <c r="A1166" s="54" t="s">
        <v>547</v>
      </c>
      <c r="B1166" s="262" t="s">
        <v>248</v>
      </c>
      <c r="C1166" s="262" t="s">
        <v>484</v>
      </c>
      <c r="D1166" s="262" t="s">
        <v>1746</v>
      </c>
      <c r="E1166" s="263" t="s">
        <v>1468</v>
      </c>
      <c r="F1166" s="369">
        <v>1421519.38</v>
      </c>
      <c r="G1166" s="369">
        <v>1421519.38</v>
      </c>
      <c r="H1166" s="368">
        <f t="shared" si="38"/>
        <v>100</v>
      </c>
      <c r="I1166" s="147" t="str">
        <f t="shared" si="37"/>
        <v>07020340000000</v>
      </c>
    </row>
    <row r="1167" spans="1:9" ht="76.5">
      <c r="A1167" s="54" t="s">
        <v>485</v>
      </c>
      <c r="B1167" s="262" t="s">
        <v>248</v>
      </c>
      <c r="C1167" s="262" t="s">
        <v>484</v>
      </c>
      <c r="D1167" s="262" t="s">
        <v>893</v>
      </c>
      <c r="E1167" s="263" t="s">
        <v>1468</v>
      </c>
      <c r="F1167" s="369">
        <v>1421519.38</v>
      </c>
      <c r="G1167" s="369">
        <v>1421519.38</v>
      </c>
      <c r="H1167" s="368">
        <f t="shared" si="38"/>
        <v>100</v>
      </c>
      <c r="I1167" s="147" t="str">
        <f t="shared" si="37"/>
        <v>07020340080000</v>
      </c>
    </row>
    <row r="1168" spans="1:9" ht="25.5">
      <c r="A1168" s="54" t="s">
        <v>1755</v>
      </c>
      <c r="B1168" s="262" t="s">
        <v>248</v>
      </c>
      <c r="C1168" s="262" t="s">
        <v>484</v>
      </c>
      <c r="D1168" s="262" t="s">
        <v>893</v>
      </c>
      <c r="E1168" s="263" t="s">
        <v>1756</v>
      </c>
      <c r="F1168" s="369">
        <v>1421519.38</v>
      </c>
      <c r="G1168" s="369">
        <v>1421519.38</v>
      </c>
      <c r="H1168" s="368">
        <f t="shared" si="38"/>
        <v>100</v>
      </c>
      <c r="I1168" s="147" t="str">
        <f t="shared" si="37"/>
        <v>07020340080000200</v>
      </c>
    </row>
    <row r="1169" spans="1:9" ht="38.25">
      <c r="A1169" s="54" t="s">
        <v>1502</v>
      </c>
      <c r="B1169" s="262" t="s">
        <v>248</v>
      </c>
      <c r="C1169" s="262" t="s">
        <v>484</v>
      </c>
      <c r="D1169" s="262" t="s">
        <v>893</v>
      </c>
      <c r="E1169" s="263" t="s">
        <v>1503</v>
      </c>
      <c r="F1169" s="369">
        <v>1421519.38</v>
      </c>
      <c r="G1169" s="369">
        <v>1421519.38</v>
      </c>
      <c r="H1169" s="368">
        <f t="shared" si="38"/>
        <v>100</v>
      </c>
      <c r="I1169" s="147" t="str">
        <f t="shared" si="37"/>
        <v>07020340080000240</v>
      </c>
    </row>
    <row r="1170" spans="1:9">
      <c r="A1170" s="54" t="s">
        <v>1577</v>
      </c>
      <c r="B1170" s="262" t="s">
        <v>248</v>
      </c>
      <c r="C1170" s="262" t="s">
        <v>484</v>
      </c>
      <c r="D1170" s="262" t="s">
        <v>893</v>
      </c>
      <c r="E1170" s="263" t="s">
        <v>416</v>
      </c>
      <c r="F1170" s="369">
        <v>1421519.38</v>
      </c>
      <c r="G1170" s="369">
        <v>1421519.38</v>
      </c>
      <c r="H1170" s="368">
        <f t="shared" si="38"/>
        <v>100</v>
      </c>
      <c r="I1170" s="147" t="str">
        <f t="shared" si="37"/>
        <v>07020340080000244</v>
      </c>
    </row>
    <row r="1171" spans="1:9" ht="25.5">
      <c r="A1171" s="54" t="s">
        <v>576</v>
      </c>
      <c r="B1171" s="262" t="s">
        <v>248</v>
      </c>
      <c r="C1171" s="262" t="s">
        <v>484</v>
      </c>
      <c r="D1171" s="262" t="s">
        <v>1133</v>
      </c>
      <c r="E1171" s="263" t="s">
        <v>1468</v>
      </c>
      <c r="F1171" s="369">
        <v>12738</v>
      </c>
      <c r="G1171" s="369">
        <v>12738</v>
      </c>
      <c r="H1171" s="368">
        <f t="shared" si="38"/>
        <v>100</v>
      </c>
      <c r="I1171" s="147" t="str">
        <f t="shared" si="37"/>
        <v>07020900000000</v>
      </c>
    </row>
    <row r="1172" spans="1:9" ht="25.5">
      <c r="A1172" s="54" t="s">
        <v>581</v>
      </c>
      <c r="B1172" s="262" t="s">
        <v>248</v>
      </c>
      <c r="C1172" s="262" t="s">
        <v>484</v>
      </c>
      <c r="D1172" s="262" t="s">
        <v>1136</v>
      </c>
      <c r="E1172" s="263" t="s">
        <v>1468</v>
      </c>
      <c r="F1172" s="369">
        <v>12738</v>
      </c>
      <c r="G1172" s="369">
        <v>12738</v>
      </c>
      <c r="H1172" s="368">
        <f t="shared" si="38"/>
        <v>100</v>
      </c>
      <c r="I1172" s="147" t="str">
        <f t="shared" si="37"/>
        <v>07020930000000</v>
      </c>
    </row>
    <row r="1173" spans="1:9" ht="89.25">
      <c r="A1173" s="54" t="s">
        <v>1953</v>
      </c>
      <c r="B1173" s="262" t="s">
        <v>248</v>
      </c>
      <c r="C1173" s="262" t="s">
        <v>484</v>
      </c>
      <c r="D1173" s="262" t="s">
        <v>1940</v>
      </c>
      <c r="E1173" s="263" t="s">
        <v>1468</v>
      </c>
      <c r="F1173" s="369">
        <v>12738</v>
      </c>
      <c r="G1173" s="369">
        <v>12738</v>
      </c>
      <c r="H1173" s="368">
        <f t="shared" si="38"/>
        <v>100</v>
      </c>
      <c r="I1173" s="147" t="str">
        <f t="shared" si="37"/>
        <v>0702093R373980</v>
      </c>
    </row>
    <row r="1174" spans="1:9" ht="25.5">
      <c r="A1174" s="54" t="s">
        <v>1755</v>
      </c>
      <c r="B1174" s="262" t="s">
        <v>248</v>
      </c>
      <c r="C1174" s="262" t="s">
        <v>484</v>
      </c>
      <c r="D1174" s="262" t="s">
        <v>1940</v>
      </c>
      <c r="E1174" s="263" t="s">
        <v>1756</v>
      </c>
      <c r="F1174" s="369">
        <v>12738</v>
      </c>
      <c r="G1174" s="369">
        <v>12738</v>
      </c>
      <c r="H1174" s="368">
        <f t="shared" si="38"/>
        <v>100</v>
      </c>
      <c r="I1174" s="147" t="str">
        <f t="shared" si="37"/>
        <v>0702093R373980200</v>
      </c>
    </row>
    <row r="1175" spans="1:9" ht="38.25">
      <c r="A1175" s="54" t="s">
        <v>1502</v>
      </c>
      <c r="B1175" s="262" t="s">
        <v>248</v>
      </c>
      <c r="C1175" s="262" t="s">
        <v>484</v>
      </c>
      <c r="D1175" s="262" t="s">
        <v>1940</v>
      </c>
      <c r="E1175" s="263" t="s">
        <v>1503</v>
      </c>
      <c r="F1175" s="369">
        <v>12738</v>
      </c>
      <c r="G1175" s="369">
        <v>12738</v>
      </c>
      <c r="H1175" s="368">
        <f t="shared" si="38"/>
        <v>100</v>
      </c>
      <c r="I1175" s="147" t="str">
        <f t="shared" si="37"/>
        <v>0702093R373980240</v>
      </c>
    </row>
    <row r="1176" spans="1:9">
      <c r="A1176" s="54" t="s">
        <v>1577</v>
      </c>
      <c r="B1176" s="262" t="s">
        <v>248</v>
      </c>
      <c r="C1176" s="262" t="s">
        <v>484</v>
      </c>
      <c r="D1176" s="262" t="s">
        <v>1940</v>
      </c>
      <c r="E1176" s="263" t="s">
        <v>416</v>
      </c>
      <c r="F1176" s="369">
        <v>12738</v>
      </c>
      <c r="G1176" s="369">
        <v>12738</v>
      </c>
      <c r="H1176" s="368">
        <f t="shared" si="38"/>
        <v>100</v>
      </c>
      <c r="I1176" s="147" t="str">
        <f t="shared" si="37"/>
        <v>0702093R373980244</v>
      </c>
    </row>
    <row r="1177" spans="1:9">
      <c r="A1177" s="54" t="s">
        <v>1240</v>
      </c>
      <c r="B1177" s="262" t="s">
        <v>248</v>
      </c>
      <c r="C1177" s="262" t="s">
        <v>1241</v>
      </c>
      <c r="D1177" s="262" t="s">
        <v>1468</v>
      </c>
      <c r="E1177" s="263" t="s">
        <v>1468</v>
      </c>
      <c r="F1177" s="369">
        <v>46274859.25</v>
      </c>
      <c r="G1177" s="369">
        <v>43030876.509999998</v>
      </c>
      <c r="H1177" s="368">
        <f t="shared" si="38"/>
        <v>92.989751254618881</v>
      </c>
      <c r="I1177" s="147" t="str">
        <f t="shared" si="37"/>
        <v>0703</v>
      </c>
    </row>
    <row r="1178" spans="1:9" ht="25.5">
      <c r="A1178" s="54" t="s">
        <v>535</v>
      </c>
      <c r="B1178" s="262" t="s">
        <v>248</v>
      </c>
      <c r="C1178" s="262" t="s">
        <v>1241</v>
      </c>
      <c r="D1178" s="262" t="s">
        <v>1105</v>
      </c>
      <c r="E1178" s="263" t="s">
        <v>1468</v>
      </c>
      <c r="F1178" s="369">
        <v>46220555.549999997</v>
      </c>
      <c r="G1178" s="369">
        <v>42976572.810000002</v>
      </c>
      <c r="H1178" s="368">
        <f t="shared" si="38"/>
        <v>92.981515039362193</v>
      </c>
      <c r="I1178" s="147" t="str">
        <f t="shared" si="37"/>
        <v>07030100000000</v>
      </c>
    </row>
    <row r="1179" spans="1:9" ht="25.5">
      <c r="A1179" s="54" t="s">
        <v>536</v>
      </c>
      <c r="B1179" s="262" t="s">
        <v>248</v>
      </c>
      <c r="C1179" s="262" t="s">
        <v>1241</v>
      </c>
      <c r="D1179" s="262" t="s">
        <v>1106</v>
      </c>
      <c r="E1179" s="263" t="s">
        <v>1468</v>
      </c>
      <c r="F1179" s="369">
        <v>46220555.549999997</v>
      </c>
      <c r="G1179" s="369">
        <v>42976572.810000002</v>
      </c>
      <c r="H1179" s="368">
        <f t="shared" si="38"/>
        <v>92.981515039362193</v>
      </c>
      <c r="I1179" s="147" t="str">
        <f t="shared" si="37"/>
        <v>07030110000000</v>
      </c>
    </row>
    <row r="1180" spans="1:9" ht="140.25">
      <c r="A1180" s="54" t="s">
        <v>2021</v>
      </c>
      <c r="B1180" s="262" t="s">
        <v>248</v>
      </c>
      <c r="C1180" s="262" t="s">
        <v>1241</v>
      </c>
      <c r="D1180" s="262" t="s">
        <v>2022</v>
      </c>
      <c r="E1180" s="263" t="s">
        <v>1468</v>
      </c>
      <c r="F1180" s="369">
        <v>47500</v>
      </c>
      <c r="G1180" s="369">
        <v>45367.11</v>
      </c>
      <c r="H1180" s="368">
        <f t="shared" si="38"/>
        <v>95.509705263157898</v>
      </c>
      <c r="I1180" s="147" t="str">
        <f t="shared" si="37"/>
        <v>07030110010370</v>
      </c>
    </row>
    <row r="1181" spans="1:9" ht="63.75">
      <c r="A1181" s="54" t="s">
        <v>1754</v>
      </c>
      <c r="B1181" s="262" t="s">
        <v>248</v>
      </c>
      <c r="C1181" s="262" t="s">
        <v>1241</v>
      </c>
      <c r="D1181" s="262" t="s">
        <v>2022</v>
      </c>
      <c r="E1181" s="263" t="s">
        <v>322</v>
      </c>
      <c r="F1181" s="369">
        <v>47500</v>
      </c>
      <c r="G1181" s="369">
        <v>45367.11</v>
      </c>
      <c r="H1181" s="368">
        <f t="shared" si="38"/>
        <v>95.509705263157898</v>
      </c>
      <c r="I1181" s="147" t="str">
        <f t="shared" si="37"/>
        <v>07030110010370100</v>
      </c>
    </row>
    <row r="1182" spans="1:9" ht="25.5">
      <c r="A1182" s="54" t="s">
        <v>1487</v>
      </c>
      <c r="B1182" s="262" t="s">
        <v>248</v>
      </c>
      <c r="C1182" s="262" t="s">
        <v>1241</v>
      </c>
      <c r="D1182" s="262" t="s">
        <v>2022</v>
      </c>
      <c r="E1182" s="263" t="s">
        <v>165</v>
      </c>
      <c r="F1182" s="369">
        <v>47500</v>
      </c>
      <c r="G1182" s="369">
        <v>45367.11</v>
      </c>
      <c r="H1182" s="368">
        <f t="shared" si="38"/>
        <v>95.509705263157898</v>
      </c>
      <c r="I1182" s="147" t="str">
        <f t="shared" si="37"/>
        <v>07030110010370110</v>
      </c>
    </row>
    <row r="1183" spans="1:9">
      <c r="A1183" s="54" t="s">
        <v>1360</v>
      </c>
      <c r="B1183" s="262" t="s">
        <v>248</v>
      </c>
      <c r="C1183" s="262" t="s">
        <v>1241</v>
      </c>
      <c r="D1183" s="262" t="s">
        <v>2022</v>
      </c>
      <c r="E1183" s="263" t="s">
        <v>430</v>
      </c>
      <c r="F1183" s="369">
        <v>36600</v>
      </c>
      <c r="G1183" s="369">
        <v>35637.93</v>
      </c>
      <c r="H1183" s="368">
        <f t="shared" si="38"/>
        <v>97.37139344262296</v>
      </c>
      <c r="I1183" s="147" t="str">
        <f t="shared" si="37"/>
        <v>07030110010370111</v>
      </c>
    </row>
    <row r="1184" spans="1:9" ht="51">
      <c r="A1184" s="54" t="s">
        <v>1361</v>
      </c>
      <c r="B1184" s="262" t="s">
        <v>248</v>
      </c>
      <c r="C1184" s="262" t="s">
        <v>1241</v>
      </c>
      <c r="D1184" s="262" t="s">
        <v>2022</v>
      </c>
      <c r="E1184" s="263" t="s">
        <v>1197</v>
      </c>
      <c r="F1184" s="369">
        <v>10900</v>
      </c>
      <c r="G1184" s="369">
        <v>9729.18</v>
      </c>
      <c r="H1184" s="368">
        <f t="shared" si="38"/>
        <v>89.25853211009175</v>
      </c>
      <c r="I1184" s="147" t="str">
        <f t="shared" si="37"/>
        <v>07030110010370119</v>
      </c>
    </row>
    <row r="1185" spans="1:9" ht="165.75">
      <c r="A1185" s="54" t="s">
        <v>1862</v>
      </c>
      <c r="B1185" s="262" t="s">
        <v>248</v>
      </c>
      <c r="C1185" s="262" t="s">
        <v>1241</v>
      </c>
      <c r="D1185" s="262" t="s">
        <v>1863</v>
      </c>
      <c r="E1185" s="263" t="s">
        <v>1468</v>
      </c>
      <c r="F1185" s="369">
        <v>2215600</v>
      </c>
      <c r="G1185" s="369">
        <v>2191034.7599999998</v>
      </c>
      <c r="H1185" s="368">
        <f t="shared" si="38"/>
        <v>98.891260155262671</v>
      </c>
      <c r="I1185" s="147" t="str">
        <f t="shared" si="37"/>
        <v>07030110010480</v>
      </c>
    </row>
    <row r="1186" spans="1:9" ht="63.75">
      <c r="A1186" s="54" t="s">
        <v>1754</v>
      </c>
      <c r="B1186" s="262" t="s">
        <v>248</v>
      </c>
      <c r="C1186" s="262" t="s">
        <v>1241</v>
      </c>
      <c r="D1186" s="262" t="s">
        <v>1863</v>
      </c>
      <c r="E1186" s="263" t="s">
        <v>322</v>
      </c>
      <c r="F1186" s="369">
        <v>1715600</v>
      </c>
      <c r="G1186" s="369">
        <f>G1187</f>
        <v>1691034.76</v>
      </c>
      <c r="H1186" s="368">
        <f t="shared" si="38"/>
        <v>98.568125437164838</v>
      </c>
      <c r="I1186" s="147" t="str">
        <f t="shared" si="37"/>
        <v>07030110010480100</v>
      </c>
    </row>
    <row r="1187" spans="1:9" ht="25.5">
      <c r="A1187" s="54" t="s">
        <v>1487</v>
      </c>
      <c r="B1187" s="262" t="s">
        <v>248</v>
      </c>
      <c r="C1187" s="262" t="s">
        <v>1241</v>
      </c>
      <c r="D1187" s="262" t="s">
        <v>1863</v>
      </c>
      <c r="E1187" s="263" t="s">
        <v>165</v>
      </c>
      <c r="F1187" s="369">
        <v>1715600</v>
      </c>
      <c r="G1187" s="369">
        <f>G1188+G1189</f>
        <v>1691034.76</v>
      </c>
      <c r="H1187" s="368">
        <f t="shared" si="38"/>
        <v>98.568125437164838</v>
      </c>
      <c r="I1187" s="147" t="str">
        <f t="shared" si="37"/>
        <v>07030110010480110</v>
      </c>
    </row>
    <row r="1188" spans="1:9">
      <c r="A1188" s="54" t="s">
        <v>1360</v>
      </c>
      <c r="B1188" s="262" t="s">
        <v>248</v>
      </c>
      <c r="C1188" s="262" t="s">
        <v>1241</v>
      </c>
      <c r="D1188" s="262" t="s">
        <v>1863</v>
      </c>
      <c r="E1188" s="263" t="s">
        <v>430</v>
      </c>
      <c r="F1188" s="369">
        <v>1318600</v>
      </c>
      <c r="G1188" s="369">
        <v>1318600</v>
      </c>
      <c r="H1188" s="368">
        <f t="shared" si="38"/>
        <v>100</v>
      </c>
      <c r="I1188" s="147" t="str">
        <f t="shared" si="37"/>
        <v>07030110010480111</v>
      </c>
    </row>
    <row r="1189" spans="1:9" ht="51">
      <c r="A1189" s="54" t="s">
        <v>1361</v>
      </c>
      <c r="B1189" s="262" t="s">
        <v>248</v>
      </c>
      <c r="C1189" s="262" t="s">
        <v>1241</v>
      </c>
      <c r="D1189" s="262" t="s">
        <v>1863</v>
      </c>
      <c r="E1189" s="263" t="s">
        <v>1197</v>
      </c>
      <c r="F1189" s="369">
        <v>397000</v>
      </c>
      <c r="G1189" s="369">
        <v>372434.76</v>
      </c>
      <c r="H1189" s="368">
        <f t="shared" si="38"/>
        <v>93.81228211586901</v>
      </c>
      <c r="I1189" s="147" t="str">
        <f t="shared" si="37"/>
        <v>07030110010480119</v>
      </c>
    </row>
    <row r="1190" spans="1:9" ht="38.25">
      <c r="A1190" s="54" t="s">
        <v>1763</v>
      </c>
      <c r="B1190" s="262" t="s">
        <v>248</v>
      </c>
      <c r="C1190" s="262" t="s">
        <v>1241</v>
      </c>
      <c r="D1190" s="262" t="s">
        <v>1863</v>
      </c>
      <c r="E1190" s="263" t="s">
        <v>1764</v>
      </c>
      <c r="F1190" s="369">
        <v>500000</v>
      </c>
      <c r="G1190" s="369">
        <v>500000</v>
      </c>
      <c r="H1190" s="368">
        <f t="shared" si="38"/>
        <v>100</v>
      </c>
      <c r="I1190" s="147" t="str">
        <f t="shared" si="37"/>
        <v>07030110010480600</v>
      </c>
    </row>
    <row r="1191" spans="1:9">
      <c r="A1191" s="54" t="s">
        <v>1504</v>
      </c>
      <c r="B1191" s="262" t="s">
        <v>248</v>
      </c>
      <c r="C1191" s="262" t="s">
        <v>1241</v>
      </c>
      <c r="D1191" s="262" t="s">
        <v>1863</v>
      </c>
      <c r="E1191" s="263" t="s">
        <v>1505</v>
      </c>
      <c r="F1191" s="369">
        <v>500000</v>
      </c>
      <c r="G1191" s="369">
        <v>500000</v>
      </c>
      <c r="H1191" s="368">
        <f t="shared" si="38"/>
        <v>100</v>
      </c>
      <c r="I1191" s="147" t="str">
        <f t="shared" si="37"/>
        <v>07030110010480610</v>
      </c>
    </row>
    <row r="1192" spans="1:9" ht="51">
      <c r="A1192" s="54" t="s">
        <v>435</v>
      </c>
      <c r="B1192" s="262" t="s">
        <v>248</v>
      </c>
      <c r="C1192" s="262" t="s">
        <v>1241</v>
      </c>
      <c r="D1192" s="262" t="s">
        <v>1863</v>
      </c>
      <c r="E1192" s="263" t="s">
        <v>436</v>
      </c>
      <c r="F1192" s="369">
        <v>500000</v>
      </c>
      <c r="G1192" s="369">
        <v>500000</v>
      </c>
      <c r="H1192" s="368">
        <f t="shared" si="38"/>
        <v>100</v>
      </c>
      <c r="I1192" s="147" t="str">
        <f t="shared" si="37"/>
        <v>07030110010480611</v>
      </c>
    </row>
    <row r="1193" spans="1:9" ht="114.75">
      <c r="A1193" s="54" t="s">
        <v>503</v>
      </c>
      <c r="B1193" s="262" t="s">
        <v>248</v>
      </c>
      <c r="C1193" s="262" t="s">
        <v>1241</v>
      </c>
      <c r="D1193" s="262" t="s">
        <v>882</v>
      </c>
      <c r="E1193" s="263" t="s">
        <v>1468</v>
      </c>
      <c r="F1193" s="369">
        <v>31349832.760000002</v>
      </c>
      <c r="G1193" s="369">
        <v>28568542.350000001</v>
      </c>
      <c r="H1193" s="368">
        <f t="shared" si="38"/>
        <v>91.128212927666027</v>
      </c>
      <c r="I1193" s="147" t="str">
        <f t="shared" ref="I1193:I1256" si="39">CONCATENATE(C1193,D1193,E1193)</f>
        <v>07030110040030</v>
      </c>
    </row>
    <row r="1194" spans="1:9" ht="63.75">
      <c r="A1194" s="54" t="s">
        <v>1754</v>
      </c>
      <c r="B1194" s="262" t="s">
        <v>248</v>
      </c>
      <c r="C1194" s="262" t="s">
        <v>1241</v>
      </c>
      <c r="D1194" s="262" t="s">
        <v>882</v>
      </c>
      <c r="E1194" s="263" t="s">
        <v>322</v>
      </c>
      <c r="F1194" s="369">
        <v>17179743.030000001</v>
      </c>
      <c r="G1194" s="369">
        <f>G1195</f>
        <v>14679472.690000001</v>
      </c>
      <c r="H1194" s="368">
        <f t="shared" si="38"/>
        <v>85.446404316793789</v>
      </c>
      <c r="I1194" s="147" t="str">
        <f t="shared" si="39"/>
        <v>07030110040030100</v>
      </c>
    </row>
    <row r="1195" spans="1:9" ht="25.5">
      <c r="A1195" s="54" t="s">
        <v>1487</v>
      </c>
      <c r="B1195" s="262" t="s">
        <v>248</v>
      </c>
      <c r="C1195" s="262" t="s">
        <v>1241</v>
      </c>
      <c r="D1195" s="262" t="s">
        <v>882</v>
      </c>
      <c r="E1195" s="263" t="s">
        <v>165</v>
      </c>
      <c r="F1195" s="369">
        <v>17179743.030000001</v>
      </c>
      <c r="G1195" s="369">
        <f>G1196+G1197+G1198</f>
        <v>14679472.690000001</v>
      </c>
      <c r="H1195" s="368">
        <f t="shared" si="38"/>
        <v>85.446404316793789</v>
      </c>
      <c r="I1195" s="147" t="str">
        <f t="shared" si="39"/>
        <v>07030110040030110</v>
      </c>
    </row>
    <row r="1196" spans="1:9">
      <c r="A1196" s="54" t="s">
        <v>1360</v>
      </c>
      <c r="B1196" s="262" t="s">
        <v>248</v>
      </c>
      <c r="C1196" s="262" t="s">
        <v>1241</v>
      </c>
      <c r="D1196" s="262" t="s">
        <v>882</v>
      </c>
      <c r="E1196" s="263" t="s">
        <v>430</v>
      </c>
      <c r="F1196" s="369">
        <v>12993069.130000001</v>
      </c>
      <c r="G1196" s="369">
        <v>11007174.41</v>
      </c>
      <c r="H1196" s="368">
        <f t="shared" si="38"/>
        <v>84.715738059033939</v>
      </c>
      <c r="I1196" s="147" t="str">
        <f t="shared" si="39"/>
        <v>07030110040030111</v>
      </c>
    </row>
    <row r="1197" spans="1:9" ht="25.5">
      <c r="A1197" s="54" t="s">
        <v>1369</v>
      </c>
      <c r="B1197" s="262" t="s">
        <v>248</v>
      </c>
      <c r="C1197" s="262" t="s">
        <v>1241</v>
      </c>
      <c r="D1197" s="262" t="s">
        <v>882</v>
      </c>
      <c r="E1197" s="263" t="s">
        <v>479</v>
      </c>
      <c r="F1197" s="369">
        <v>242480</v>
      </c>
      <c r="G1197" s="369">
        <v>189922.74</v>
      </c>
      <c r="H1197" s="368">
        <f t="shared" si="38"/>
        <v>78.325115473441116</v>
      </c>
      <c r="I1197" s="147" t="str">
        <f t="shared" si="39"/>
        <v>07030110040030112</v>
      </c>
    </row>
    <row r="1198" spans="1:9" ht="51">
      <c r="A1198" s="54" t="s">
        <v>1361</v>
      </c>
      <c r="B1198" s="262" t="s">
        <v>248</v>
      </c>
      <c r="C1198" s="262" t="s">
        <v>1241</v>
      </c>
      <c r="D1198" s="262" t="s">
        <v>882</v>
      </c>
      <c r="E1198" s="263" t="s">
        <v>1197</v>
      </c>
      <c r="F1198" s="369">
        <v>3944193.9</v>
      </c>
      <c r="G1198" s="369">
        <v>3482375.54</v>
      </c>
      <c r="H1198" s="368">
        <f t="shared" si="38"/>
        <v>88.291185177280468</v>
      </c>
      <c r="I1198" s="147" t="str">
        <f t="shared" si="39"/>
        <v>07030110040030119</v>
      </c>
    </row>
    <row r="1199" spans="1:9" ht="25.5">
      <c r="A1199" s="54" t="s">
        <v>1755</v>
      </c>
      <c r="B1199" s="262" t="s">
        <v>248</v>
      </c>
      <c r="C1199" s="262" t="s">
        <v>1241</v>
      </c>
      <c r="D1199" s="262" t="s">
        <v>882</v>
      </c>
      <c r="E1199" s="263" t="s">
        <v>1756</v>
      </c>
      <c r="F1199" s="369">
        <v>1178021</v>
      </c>
      <c r="G1199" s="369">
        <v>1168332.26</v>
      </c>
      <c r="H1199" s="368">
        <f t="shared" si="38"/>
        <v>99.177540977622641</v>
      </c>
      <c r="I1199" s="147" t="str">
        <f t="shared" si="39"/>
        <v>07030110040030200</v>
      </c>
    </row>
    <row r="1200" spans="1:9" ht="38.25">
      <c r="A1200" s="54" t="s">
        <v>1502</v>
      </c>
      <c r="B1200" s="262" t="s">
        <v>248</v>
      </c>
      <c r="C1200" s="262" t="s">
        <v>1241</v>
      </c>
      <c r="D1200" s="262" t="s">
        <v>882</v>
      </c>
      <c r="E1200" s="263" t="s">
        <v>1503</v>
      </c>
      <c r="F1200" s="369">
        <v>1178021</v>
      </c>
      <c r="G1200" s="369">
        <v>1168332.26</v>
      </c>
      <c r="H1200" s="368">
        <f t="shared" si="38"/>
        <v>99.177540977622641</v>
      </c>
      <c r="I1200" s="147" t="str">
        <f t="shared" si="39"/>
        <v>07030110040030240</v>
      </c>
    </row>
    <row r="1201" spans="1:9">
      <c r="A1201" s="54" t="s">
        <v>1577</v>
      </c>
      <c r="B1201" s="262" t="s">
        <v>248</v>
      </c>
      <c r="C1201" s="262" t="s">
        <v>1241</v>
      </c>
      <c r="D1201" s="262" t="s">
        <v>882</v>
      </c>
      <c r="E1201" s="263" t="s">
        <v>416</v>
      </c>
      <c r="F1201" s="369">
        <v>1178021</v>
      </c>
      <c r="G1201" s="369">
        <v>1168332.26</v>
      </c>
      <c r="H1201" s="368">
        <f t="shared" si="38"/>
        <v>99.177540977622641</v>
      </c>
      <c r="I1201" s="147" t="str">
        <f t="shared" si="39"/>
        <v>07030110040030244</v>
      </c>
    </row>
    <row r="1202" spans="1:9" ht="38.25">
      <c r="A1202" s="54" t="s">
        <v>1763</v>
      </c>
      <c r="B1202" s="262" t="s">
        <v>248</v>
      </c>
      <c r="C1202" s="262" t="s">
        <v>1241</v>
      </c>
      <c r="D1202" s="262" t="s">
        <v>882</v>
      </c>
      <c r="E1202" s="263" t="s">
        <v>1764</v>
      </c>
      <c r="F1202" s="369">
        <v>12978118.73</v>
      </c>
      <c r="G1202" s="369">
        <v>12707949.449999999</v>
      </c>
      <c r="H1202" s="368">
        <f t="shared" si="38"/>
        <v>97.918270855578754</v>
      </c>
      <c r="I1202" s="147" t="str">
        <f t="shared" si="39"/>
        <v>07030110040030600</v>
      </c>
    </row>
    <row r="1203" spans="1:9">
      <c r="A1203" s="54" t="s">
        <v>1504</v>
      </c>
      <c r="B1203" s="262" t="s">
        <v>248</v>
      </c>
      <c r="C1203" s="262" t="s">
        <v>1241</v>
      </c>
      <c r="D1203" s="262" t="s">
        <v>882</v>
      </c>
      <c r="E1203" s="263" t="s">
        <v>1505</v>
      </c>
      <c r="F1203" s="369">
        <v>12978118.73</v>
      </c>
      <c r="G1203" s="369">
        <v>12707949.449999999</v>
      </c>
      <c r="H1203" s="368">
        <f t="shared" si="38"/>
        <v>97.918270855578754</v>
      </c>
      <c r="I1203" s="147" t="str">
        <f t="shared" si="39"/>
        <v>07030110040030610</v>
      </c>
    </row>
    <row r="1204" spans="1:9" ht="51">
      <c r="A1204" s="54" t="s">
        <v>435</v>
      </c>
      <c r="B1204" s="262" t="s">
        <v>248</v>
      </c>
      <c r="C1204" s="262" t="s">
        <v>1241</v>
      </c>
      <c r="D1204" s="262" t="s">
        <v>882</v>
      </c>
      <c r="E1204" s="263" t="s">
        <v>436</v>
      </c>
      <c r="F1204" s="369">
        <v>12978118.73</v>
      </c>
      <c r="G1204" s="369">
        <v>12707949.449999999</v>
      </c>
      <c r="H1204" s="368">
        <f t="shared" si="38"/>
        <v>97.918270855578754</v>
      </c>
      <c r="I1204" s="147" t="str">
        <f t="shared" si="39"/>
        <v>07030110040030611</v>
      </c>
    </row>
    <row r="1205" spans="1:9">
      <c r="A1205" s="54" t="s">
        <v>1757</v>
      </c>
      <c r="B1205" s="262" t="s">
        <v>248</v>
      </c>
      <c r="C1205" s="262" t="s">
        <v>1241</v>
      </c>
      <c r="D1205" s="262" t="s">
        <v>882</v>
      </c>
      <c r="E1205" s="263" t="s">
        <v>1758</v>
      </c>
      <c r="F1205" s="369">
        <v>13950</v>
      </c>
      <c r="G1205" s="369">
        <f>G1206</f>
        <v>12787.95</v>
      </c>
      <c r="H1205" s="368">
        <f t="shared" si="38"/>
        <v>91.669892473118281</v>
      </c>
      <c r="I1205" s="147" t="str">
        <f t="shared" si="39"/>
        <v>07030110040030800</v>
      </c>
    </row>
    <row r="1206" spans="1:9">
      <c r="A1206" s="54" t="s">
        <v>1507</v>
      </c>
      <c r="B1206" s="262" t="s">
        <v>248</v>
      </c>
      <c r="C1206" s="262" t="s">
        <v>1241</v>
      </c>
      <c r="D1206" s="262" t="s">
        <v>882</v>
      </c>
      <c r="E1206" s="263" t="s">
        <v>1508</v>
      </c>
      <c r="F1206" s="369">
        <v>13950</v>
      </c>
      <c r="G1206" s="369">
        <f>G1207+G1208</f>
        <v>12787.95</v>
      </c>
      <c r="H1206" s="368">
        <f t="shared" si="38"/>
        <v>91.669892473118281</v>
      </c>
      <c r="I1206" s="147" t="str">
        <f t="shared" si="39"/>
        <v>07030110040030850</v>
      </c>
    </row>
    <row r="1207" spans="1:9">
      <c r="A1207" s="54" t="s">
        <v>1082</v>
      </c>
      <c r="B1207" s="262" t="s">
        <v>248</v>
      </c>
      <c r="C1207" s="262" t="s">
        <v>1241</v>
      </c>
      <c r="D1207" s="262" t="s">
        <v>882</v>
      </c>
      <c r="E1207" s="263" t="s">
        <v>591</v>
      </c>
      <c r="F1207" s="369">
        <v>12950</v>
      </c>
      <c r="G1207" s="369">
        <v>11800</v>
      </c>
      <c r="H1207" s="368">
        <f t="shared" si="38"/>
        <v>91.119691119691112</v>
      </c>
      <c r="I1207" s="147" t="str">
        <f t="shared" si="39"/>
        <v>07030110040030852</v>
      </c>
    </row>
    <row r="1208" spans="1:9">
      <c r="A1208" s="54" t="s">
        <v>1198</v>
      </c>
      <c r="B1208" s="262" t="s">
        <v>248</v>
      </c>
      <c r="C1208" s="262" t="s">
        <v>1241</v>
      </c>
      <c r="D1208" s="262" t="s">
        <v>882</v>
      </c>
      <c r="E1208" s="263" t="s">
        <v>1199</v>
      </c>
      <c r="F1208" s="369">
        <v>1000</v>
      </c>
      <c r="G1208" s="369">
        <v>987.95</v>
      </c>
      <c r="H1208" s="368">
        <f t="shared" si="38"/>
        <v>98.795000000000002</v>
      </c>
      <c r="I1208" s="147" t="str">
        <f t="shared" si="39"/>
        <v>07030110040030853</v>
      </c>
    </row>
    <row r="1209" spans="1:9" ht="165.75">
      <c r="A1209" s="54" t="s">
        <v>685</v>
      </c>
      <c r="B1209" s="262" t="s">
        <v>248</v>
      </c>
      <c r="C1209" s="262" t="s">
        <v>1241</v>
      </c>
      <c r="D1209" s="262" t="s">
        <v>883</v>
      </c>
      <c r="E1209" s="263" t="s">
        <v>1468</v>
      </c>
      <c r="F1209" s="369">
        <v>5577524</v>
      </c>
      <c r="G1209" s="369">
        <v>5416187.5099999998</v>
      </c>
      <c r="H1209" s="368">
        <f t="shared" si="38"/>
        <v>97.107381519111343</v>
      </c>
      <c r="I1209" s="147" t="str">
        <f t="shared" si="39"/>
        <v>07030110041030</v>
      </c>
    </row>
    <row r="1210" spans="1:9" ht="63.75">
      <c r="A1210" s="54" t="s">
        <v>1754</v>
      </c>
      <c r="B1210" s="262" t="s">
        <v>248</v>
      </c>
      <c r="C1210" s="262" t="s">
        <v>1241</v>
      </c>
      <c r="D1210" s="262" t="s">
        <v>883</v>
      </c>
      <c r="E1210" s="263" t="s">
        <v>322</v>
      </c>
      <c r="F1210" s="369">
        <v>3521700</v>
      </c>
      <c r="G1210" s="369">
        <f>G1211</f>
        <v>3378324.43</v>
      </c>
      <c r="H1210" s="368">
        <f t="shared" si="38"/>
        <v>95.928796603912886</v>
      </c>
      <c r="I1210" s="147" t="str">
        <f t="shared" si="39"/>
        <v>07030110041030100</v>
      </c>
    </row>
    <row r="1211" spans="1:9" ht="25.5">
      <c r="A1211" s="54" t="s">
        <v>1487</v>
      </c>
      <c r="B1211" s="262" t="s">
        <v>248</v>
      </c>
      <c r="C1211" s="262" t="s">
        <v>1241</v>
      </c>
      <c r="D1211" s="262" t="s">
        <v>883</v>
      </c>
      <c r="E1211" s="263" t="s">
        <v>165</v>
      </c>
      <c r="F1211" s="369">
        <v>3521700</v>
      </c>
      <c r="G1211" s="369">
        <f>G1212+G1213</f>
        <v>3378324.43</v>
      </c>
      <c r="H1211" s="368">
        <f t="shared" si="38"/>
        <v>95.928796603912886</v>
      </c>
      <c r="I1211" s="147" t="str">
        <f t="shared" si="39"/>
        <v>07030110041030110</v>
      </c>
    </row>
    <row r="1212" spans="1:9">
      <c r="A1212" s="54" t="s">
        <v>1360</v>
      </c>
      <c r="B1212" s="262" t="s">
        <v>248</v>
      </c>
      <c r="C1212" s="262" t="s">
        <v>1241</v>
      </c>
      <c r="D1212" s="262" t="s">
        <v>883</v>
      </c>
      <c r="E1212" s="263" t="s">
        <v>430</v>
      </c>
      <c r="F1212" s="369">
        <v>2703000</v>
      </c>
      <c r="G1212" s="369">
        <v>2631023.06</v>
      </c>
      <c r="H1212" s="368">
        <f t="shared" si="38"/>
        <v>97.337146133925273</v>
      </c>
      <c r="I1212" s="147" t="str">
        <f t="shared" si="39"/>
        <v>07030110041030111</v>
      </c>
    </row>
    <row r="1213" spans="1:9" ht="51">
      <c r="A1213" s="54" t="s">
        <v>1361</v>
      </c>
      <c r="B1213" s="262" t="s">
        <v>248</v>
      </c>
      <c r="C1213" s="262" t="s">
        <v>1241</v>
      </c>
      <c r="D1213" s="262" t="s">
        <v>883</v>
      </c>
      <c r="E1213" s="263" t="s">
        <v>1197</v>
      </c>
      <c r="F1213" s="369">
        <v>818700</v>
      </c>
      <c r="G1213" s="369">
        <v>747301.37</v>
      </c>
      <c r="H1213" s="368">
        <f t="shared" si="38"/>
        <v>91.27902406253817</v>
      </c>
      <c r="I1213" s="147" t="str">
        <f t="shared" si="39"/>
        <v>07030110041030119</v>
      </c>
    </row>
    <row r="1214" spans="1:9" ht="38.25">
      <c r="A1214" s="54" t="s">
        <v>1763</v>
      </c>
      <c r="B1214" s="262" t="s">
        <v>248</v>
      </c>
      <c r="C1214" s="262" t="s">
        <v>1241</v>
      </c>
      <c r="D1214" s="262" t="s">
        <v>883</v>
      </c>
      <c r="E1214" s="263" t="s">
        <v>1764</v>
      </c>
      <c r="F1214" s="369">
        <v>2055824</v>
      </c>
      <c r="G1214" s="369">
        <v>2037863.08</v>
      </c>
      <c r="H1214" s="368">
        <f t="shared" si="38"/>
        <v>99.126339608838109</v>
      </c>
      <c r="I1214" s="147" t="str">
        <f t="shared" si="39"/>
        <v>07030110041030600</v>
      </c>
    </row>
    <row r="1215" spans="1:9">
      <c r="A1215" s="54" t="s">
        <v>1504</v>
      </c>
      <c r="B1215" s="262" t="s">
        <v>248</v>
      </c>
      <c r="C1215" s="262" t="s">
        <v>1241</v>
      </c>
      <c r="D1215" s="262" t="s">
        <v>883</v>
      </c>
      <c r="E1215" s="263" t="s">
        <v>1505</v>
      </c>
      <c r="F1215" s="369">
        <v>2055824</v>
      </c>
      <c r="G1215" s="369">
        <v>2037863.08</v>
      </c>
      <c r="H1215" s="368">
        <f t="shared" si="38"/>
        <v>99.126339608838109</v>
      </c>
      <c r="I1215" s="147" t="str">
        <f t="shared" si="39"/>
        <v>07030110041030610</v>
      </c>
    </row>
    <row r="1216" spans="1:9" ht="51">
      <c r="A1216" s="54" t="s">
        <v>435</v>
      </c>
      <c r="B1216" s="262" t="s">
        <v>248</v>
      </c>
      <c r="C1216" s="262" t="s">
        <v>1241</v>
      </c>
      <c r="D1216" s="262" t="s">
        <v>883</v>
      </c>
      <c r="E1216" s="263" t="s">
        <v>436</v>
      </c>
      <c r="F1216" s="369">
        <v>2055824</v>
      </c>
      <c r="G1216" s="369">
        <v>2037863.08</v>
      </c>
      <c r="H1216" s="368">
        <f t="shared" si="38"/>
        <v>99.126339608838109</v>
      </c>
      <c r="I1216" s="147" t="str">
        <f t="shared" si="39"/>
        <v>07030110041030611</v>
      </c>
    </row>
    <row r="1217" spans="1:9" ht="140.25">
      <c r="A1217" s="54" t="s">
        <v>2081</v>
      </c>
      <c r="B1217" s="262" t="s">
        <v>248</v>
      </c>
      <c r="C1217" s="262" t="s">
        <v>1241</v>
      </c>
      <c r="D1217" s="262" t="s">
        <v>2082</v>
      </c>
      <c r="E1217" s="263" t="s">
        <v>1468</v>
      </c>
      <c r="F1217" s="369">
        <v>7500</v>
      </c>
      <c r="G1217" s="369">
        <v>7500</v>
      </c>
      <c r="H1217" s="368">
        <f t="shared" si="38"/>
        <v>100</v>
      </c>
      <c r="I1217" s="147" t="str">
        <f t="shared" si="39"/>
        <v>07030110043030</v>
      </c>
    </row>
    <row r="1218" spans="1:9" ht="25.5">
      <c r="A1218" s="54" t="s">
        <v>1755</v>
      </c>
      <c r="B1218" s="262" t="s">
        <v>248</v>
      </c>
      <c r="C1218" s="262" t="s">
        <v>1241</v>
      </c>
      <c r="D1218" s="262" t="s">
        <v>2082</v>
      </c>
      <c r="E1218" s="263" t="s">
        <v>1756</v>
      </c>
      <c r="F1218" s="369">
        <v>7500</v>
      </c>
      <c r="G1218" s="369">
        <v>7500</v>
      </c>
      <c r="H1218" s="368">
        <f t="shared" si="38"/>
        <v>100</v>
      </c>
      <c r="I1218" s="147" t="str">
        <f t="shared" si="39"/>
        <v>07030110043030200</v>
      </c>
    </row>
    <row r="1219" spans="1:9" ht="38.25">
      <c r="A1219" s="54" t="s">
        <v>1502</v>
      </c>
      <c r="B1219" s="262" t="s">
        <v>248</v>
      </c>
      <c r="C1219" s="262" t="s">
        <v>1241</v>
      </c>
      <c r="D1219" s="262" t="s">
        <v>2082</v>
      </c>
      <c r="E1219" s="263" t="s">
        <v>1503</v>
      </c>
      <c r="F1219" s="369">
        <v>7500</v>
      </c>
      <c r="G1219" s="369">
        <v>7500</v>
      </c>
      <c r="H1219" s="368">
        <f t="shared" si="38"/>
        <v>100</v>
      </c>
      <c r="I1219" s="147" t="str">
        <f t="shared" si="39"/>
        <v>07030110043030240</v>
      </c>
    </row>
    <row r="1220" spans="1:9">
      <c r="A1220" s="54" t="s">
        <v>1577</v>
      </c>
      <c r="B1220" s="262" t="s">
        <v>248</v>
      </c>
      <c r="C1220" s="262" t="s">
        <v>1241</v>
      </c>
      <c r="D1220" s="262" t="s">
        <v>2082</v>
      </c>
      <c r="E1220" s="263" t="s">
        <v>416</v>
      </c>
      <c r="F1220" s="369">
        <v>7500</v>
      </c>
      <c r="G1220" s="369">
        <v>7500</v>
      </c>
      <c r="H1220" s="368">
        <f t="shared" si="38"/>
        <v>100</v>
      </c>
      <c r="I1220" s="147" t="str">
        <f t="shared" si="39"/>
        <v>07030110043030244</v>
      </c>
    </row>
    <row r="1221" spans="1:9" ht="127.5">
      <c r="A1221" s="54" t="s">
        <v>686</v>
      </c>
      <c r="B1221" s="262" t="s">
        <v>248</v>
      </c>
      <c r="C1221" s="262" t="s">
        <v>1241</v>
      </c>
      <c r="D1221" s="262" t="s">
        <v>884</v>
      </c>
      <c r="E1221" s="263" t="s">
        <v>1468</v>
      </c>
      <c r="F1221" s="369">
        <v>92246.97</v>
      </c>
      <c r="G1221" s="369">
        <v>91148.79</v>
      </c>
      <c r="H1221" s="368">
        <f t="shared" si="38"/>
        <v>98.809521873726581</v>
      </c>
      <c r="I1221" s="147" t="str">
        <f t="shared" si="39"/>
        <v>07030110045030</v>
      </c>
    </row>
    <row r="1222" spans="1:9" ht="63.75">
      <c r="A1222" s="54" t="s">
        <v>1754</v>
      </c>
      <c r="B1222" s="262" t="s">
        <v>248</v>
      </c>
      <c r="C1222" s="262" t="s">
        <v>1241</v>
      </c>
      <c r="D1222" s="262" t="s">
        <v>884</v>
      </c>
      <c r="E1222" s="263" t="s">
        <v>322</v>
      </c>
      <c r="F1222" s="369">
        <v>37046.97</v>
      </c>
      <c r="G1222" s="369">
        <f>G1223</f>
        <v>35948.79</v>
      </c>
      <c r="H1222" s="368">
        <f t="shared" si="38"/>
        <v>97.03570899320512</v>
      </c>
      <c r="I1222" s="147" t="str">
        <f t="shared" si="39"/>
        <v>07030110045030100</v>
      </c>
    </row>
    <row r="1223" spans="1:9" ht="25.5">
      <c r="A1223" s="54" t="s">
        <v>1487</v>
      </c>
      <c r="B1223" s="262" t="s">
        <v>248</v>
      </c>
      <c r="C1223" s="262" t="s">
        <v>1241</v>
      </c>
      <c r="D1223" s="262" t="s">
        <v>884</v>
      </c>
      <c r="E1223" s="263" t="s">
        <v>165</v>
      </c>
      <c r="F1223" s="369">
        <v>37046.97</v>
      </c>
      <c r="G1223" s="369">
        <f>G1224+G1225</f>
        <v>35948.79</v>
      </c>
      <c r="H1223" s="368">
        <f t="shared" si="38"/>
        <v>97.03570899320512</v>
      </c>
      <c r="I1223" s="147" t="str">
        <f t="shared" si="39"/>
        <v>07030110045030110</v>
      </c>
    </row>
    <row r="1224" spans="1:9">
      <c r="A1224" s="54" t="s">
        <v>1360</v>
      </c>
      <c r="B1224" s="262" t="s">
        <v>248</v>
      </c>
      <c r="C1224" s="262" t="s">
        <v>1241</v>
      </c>
      <c r="D1224" s="262" t="s">
        <v>884</v>
      </c>
      <c r="E1224" s="263" t="s">
        <v>430</v>
      </c>
      <c r="F1224" s="369">
        <v>28443.37</v>
      </c>
      <c r="G1224" s="369">
        <v>28010.26</v>
      </c>
      <c r="H1224" s="368">
        <f t="shared" ref="H1224:H1287" si="40">G1224/F1224*100</f>
        <v>98.477290138264209</v>
      </c>
      <c r="I1224" s="147" t="str">
        <f t="shared" si="39"/>
        <v>07030110045030111</v>
      </c>
    </row>
    <row r="1225" spans="1:9" ht="51">
      <c r="A1225" s="54" t="s">
        <v>1361</v>
      </c>
      <c r="B1225" s="262" t="s">
        <v>248</v>
      </c>
      <c r="C1225" s="262" t="s">
        <v>1241</v>
      </c>
      <c r="D1225" s="262" t="s">
        <v>884</v>
      </c>
      <c r="E1225" s="263" t="s">
        <v>1197</v>
      </c>
      <c r="F1225" s="369">
        <v>8603.6</v>
      </c>
      <c r="G1225" s="369">
        <v>7938.53</v>
      </c>
      <c r="H1225" s="368">
        <f t="shared" si="40"/>
        <v>92.269863777953404</v>
      </c>
      <c r="I1225" s="147" t="str">
        <f t="shared" si="39"/>
        <v>07030110045030119</v>
      </c>
    </row>
    <row r="1226" spans="1:9" ht="38.25">
      <c r="A1226" s="54" t="s">
        <v>1763</v>
      </c>
      <c r="B1226" s="262" t="s">
        <v>248</v>
      </c>
      <c r="C1226" s="262" t="s">
        <v>1241</v>
      </c>
      <c r="D1226" s="262" t="s">
        <v>884</v>
      </c>
      <c r="E1226" s="263" t="s">
        <v>1764</v>
      </c>
      <c r="F1226" s="369">
        <v>55200</v>
      </c>
      <c r="G1226" s="369">
        <v>55200</v>
      </c>
      <c r="H1226" s="368">
        <f t="shared" si="40"/>
        <v>100</v>
      </c>
      <c r="I1226" s="147" t="str">
        <f t="shared" si="39"/>
        <v>07030110045030600</v>
      </c>
    </row>
    <row r="1227" spans="1:9">
      <c r="A1227" s="54" t="s">
        <v>1504</v>
      </c>
      <c r="B1227" s="262" t="s">
        <v>248</v>
      </c>
      <c r="C1227" s="262" t="s">
        <v>1241</v>
      </c>
      <c r="D1227" s="262" t="s">
        <v>884</v>
      </c>
      <c r="E1227" s="263" t="s">
        <v>1505</v>
      </c>
      <c r="F1227" s="369">
        <v>55200</v>
      </c>
      <c r="G1227" s="369">
        <v>55200</v>
      </c>
      <c r="H1227" s="368">
        <f t="shared" si="40"/>
        <v>100</v>
      </c>
      <c r="I1227" s="147" t="str">
        <f t="shared" si="39"/>
        <v>07030110045030610</v>
      </c>
    </row>
    <row r="1228" spans="1:9" ht="51">
      <c r="A1228" s="54" t="s">
        <v>435</v>
      </c>
      <c r="B1228" s="262" t="s">
        <v>248</v>
      </c>
      <c r="C1228" s="262" t="s">
        <v>1241</v>
      </c>
      <c r="D1228" s="262" t="s">
        <v>884</v>
      </c>
      <c r="E1228" s="263" t="s">
        <v>436</v>
      </c>
      <c r="F1228" s="370">
        <v>55200</v>
      </c>
      <c r="G1228" s="370">
        <v>55200</v>
      </c>
      <c r="H1228" s="368">
        <f t="shared" si="40"/>
        <v>100</v>
      </c>
      <c r="I1228" s="147" t="str">
        <f t="shared" si="39"/>
        <v>07030110045030611</v>
      </c>
    </row>
    <row r="1229" spans="1:9" ht="114.75">
      <c r="A1229" s="54" t="s">
        <v>688</v>
      </c>
      <c r="B1229" s="262" t="s">
        <v>248</v>
      </c>
      <c r="C1229" s="262" t="s">
        <v>1241</v>
      </c>
      <c r="D1229" s="262" t="s">
        <v>887</v>
      </c>
      <c r="E1229" s="263" t="s">
        <v>1468</v>
      </c>
      <c r="F1229" s="370">
        <v>538635.84</v>
      </c>
      <c r="G1229" s="370">
        <v>538635.84</v>
      </c>
      <c r="H1229" s="368">
        <f t="shared" si="40"/>
        <v>100</v>
      </c>
      <c r="I1229" s="147" t="str">
        <f t="shared" si="39"/>
        <v>07030110047030</v>
      </c>
    </row>
    <row r="1230" spans="1:9" ht="63.75">
      <c r="A1230" s="54" t="s">
        <v>1754</v>
      </c>
      <c r="B1230" s="262" t="s">
        <v>248</v>
      </c>
      <c r="C1230" s="262" t="s">
        <v>1241</v>
      </c>
      <c r="D1230" s="262" t="s">
        <v>887</v>
      </c>
      <c r="E1230" s="263" t="s">
        <v>322</v>
      </c>
      <c r="F1230" s="370">
        <v>379211.54</v>
      </c>
      <c r="G1230" s="370">
        <v>379211.54</v>
      </c>
      <c r="H1230" s="368">
        <f t="shared" si="40"/>
        <v>100</v>
      </c>
      <c r="I1230" s="147" t="str">
        <f t="shared" si="39"/>
        <v>07030110047030100</v>
      </c>
    </row>
    <row r="1231" spans="1:9" ht="25.5">
      <c r="A1231" s="54" t="s">
        <v>1487</v>
      </c>
      <c r="B1231" s="262" t="s">
        <v>248</v>
      </c>
      <c r="C1231" s="262" t="s">
        <v>1241</v>
      </c>
      <c r="D1231" s="262" t="s">
        <v>887</v>
      </c>
      <c r="E1231" s="263" t="s">
        <v>165</v>
      </c>
      <c r="F1231" s="370">
        <v>379211.54</v>
      </c>
      <c r="G1231" s="370">
        <v>379211.54</v>
      </c>
      <c r="H1231" s="368">
        <f t="shared" si="40"/>
        <v>100</v>
      </c>
      <c r="I1231" s="147" t="str">
        <f t="shared" si="39"/>
        <v>07030110047030110</v>
      </c>
    </row>
    <row r="1232" spans="1:9" ht="25.5">
      <c r="A1232" s="54" t="s">
        <v>1369</v>
      </c>
      <c r="B1232" s="262" t="s">
        <v>248</v>
      </c>
      <c r="C1232" s="262" t="s">
        <v>1241</v>
      </c>
      <c r="D1232" s="262" t="s">
        <v>887</v>
      </c>
      <c r="E1232" s="263" t="s">
        <v>479</v>
      </c>
      <c r="F1232" s="370">
        <v>379211.54</v>
      </c>
      <c r="G1232" s="370">
        <v>379211.54</v>
      </c>
      <c r="H1232" s="368">
        <f t="shared" si="40"/>
        <v>100</v>
      </c>
      <c r="I1232" s="147" t="str">
        <f t="shared" si="39"/>
        <v>07030110047030112</v>
      </c>
    </row>
    <row r="1233" spans="1:9" ht="38.25">
      <c r="A1233" s="54" t="s">
        <v>1763</v>
      </c>
      <c r="B1233" s="262" t="s">
        <v>248</v>
      </c>
      <c r="C1233" s="262" t="s">
        <v>1241</v>
      </c>
      <c r="D1233" s="262" t="s">
        <v>887</v>
      </c>
      <c r="E1233" s="263" t="s">
        <v>1764</v>
      </c>
      <c r="F1233" s="370">
        <v>159424.29999999999</v>
      </c>
      <c r="G1233" s="370">
        <v>159424.29999999999</v>
      </c>
      <c r="H1233" s="368">
        <f t="shared" si="40"/>
        <v>100</v>
      </c>
      <c r="I1233" s="147" t="str">
        <f t="shared" si="39"/>
        <v>07030110047030600</v>
      </c>
    </row>
    <row r="1234" spans="1:9">
      <c r="A1234" s="54" t="s">
        <v>1504</v>
      </c>
      <c r="B1234" s="262" t="s">
        <v>248</v>
      </c>
      <c r="C1234" s="262" t="s">
        <v>1241</v>
      </c>
      <c r="D1234" s="262" t="s">
        <v>887</v>
      </c>
      <c r="E1234" s="263" t="s">
        <v>1505</v>
      </c>
      <c r="F1234" s="370">
        <v>159424.29999999999</v>
      </c>
      <c r="G1234" s="370">
        <v>159424.29999999999</v>
      </c>
      <c r="H1234" s="368">
        <f t="shared" si="40"/>
        <v>100</v>
      </c>
      <c r="I1234" s="147" t="str">
        <f t="shared" si="39"/>
        <v>07030110047030610</v>
      </c>
    </row>
    <row r="1235" spans="1:9">
      <c r="A1235" s="54" t="s">
        <v>454</v>
      </c>
      <c r="B1235" s="262" t="s">
        <v>248</v>
      </c>
      <c r="C1235" s="262" t="s">
        <v>1241</v>
      </c>
      <c r="D1235" s="262" t="s">
        <v>887</v>
      </c>
      <c r="E1235" s="263" t="s">
        <v>455</v>
      </c>
      <c r="F1235" s="370">
        <v>159424.29999999999</v>
      </c>
      <c r="G1235" s="370">
        <v>159424.29999999999</v>
      </c>
      <c r="H1235" s="368">
        <f t="shared" si="40"/>
        <v>100</v>
      </c>
      <c r="I1235" s="147" t="str">
        <f t="shared" si="39"/>
        <v>07030110047030612</v>
      </c>
    </row>
    <row r="1236" spans="1:9" ht="127.5">
      <c r="A1236" s="54" t="s">
        <v>690</v>
      </c>
      <c r="B1236" s="262" t="s">
        <v>248</v>
      </c>
      <c r="C1236" s="262" t="s">
        <v>1241</v>
      </c>
      <c r="D1236" s="262" t="s">
        <v>888</v>
      </c>
      <c r="E1236" s="263" t="s">
        <v>1468</v>
      </c>
      <c r="F1236" s="370">
        <v>2029396.85</v>
      </c>
      <c r="G1236" s="370">
        <v>1963697.39</v>
      </c>
      <c r="H1236" s="368">
        <f t="shared" si="40"/>
        <v>96.762611511888366</v>
      </c>
      <c r="I1236" s="147" t="str">
        <f t="shared" si="39"/>
        <v>0703011004Г030</v>
      </c>
    </row>
    <row r="1237" spans="1:9" ht="25.5">
      <c r="A1237" s="54" t="s">
        <v>1755</v>
      </c>
      <c r="B1237" s="262" t="s">
        <v>248</v>
      </c>
      <c r="C1237" s="262" t="s">
        <v>1241</v>
      </c>
      <c r="D1237" s="262" t="s">
        <v>888</v>
      </c>
      <c r="E1237" s="263" t="s">
        <v>1756</v>
      </c>
      <c r="F1237" s="370">
        <v>1316609</v>
      </c>
      <c r="G1237" s="370">
        <v>1250909.54</v>
      </c>
      <c r="H1237" s="368">
        <f t="shared" si="40"/>
        <v>95.009949043337855</v>
      </c>
      <c r="I1237" s="147" t="str">
        <f t="shared" si="39"/>
        <v>0703011004Г030200</v>
      </c>
    </row>
    <row r="1238" spans="1:9" ht="38.25">
      <c r="A1238" s="54" t="s">
        <v>1502</v>
      </c>
      <c r="B1238" s="262" t="s">
        <v>248</v>
      </c>
      <c r="C1238" s="262" t="s">
        <v>1241</v>
      </c>
      <c r="D1238" s="262" t="s">
        <v>888</v>
      </c>
      <c r="E1238" s="263" t="s">
        <v>1503</v>
      </c>
      <c r="F1238" s="370">
        <v>1316609</v>
      </c>
      <c r="G1238" s="370">
        <v>1250909.54</v>
      </c>
      <c r="H1238" s="368">
        <f t="shared" si="40"/>
        <v>95.009949043337855</v>
      </c>
      <c r="I1238" s="147" t="str">
        <f t="shared" si="39"/>
        <v>0703011004Г030240</v>
      </c>
    </row>
    <row r="1239" spans="1:9">
      <c r="A1239" s="54" t="s">
        <v>1577</v>
      </c>
      <c r="B1239" s="262" t="s">
        <v>248</v>
      </c>
      <c r="C1239" s="262" t="s">
        <v>1241</v>
      </c>
      <c r="D1239" s="262" t="s">
        <v>888</v>
      </c>
      <c r="E1239" s="263" t="s">
        <v>416</v>
      </c>
      <c r="F1239" s="370">
        <v>1316609</v>
      </c>
      <c r="G1239" s="370">
        <v>1250909.54</v>
      </c>
      <c r="H1239" s="368">
        <f t="shared" si="40"/>
        <v>95.009949043337855</v>
      </c>
      <c r="I1239" s="147" t="str">
        <f t="shared" si="39"/>
        <v>0703011004Г030244</v>
      </c>
    </row>
    <row r="1240" spans="1:9" ht="38.25">
      <c r="A1240" s="54" t="s">
        <v>1763</v>
      </c>
      <c r="B1240" s="262" t="s">
        <v>248</v>
      </c>
      <c r="C1240" s="262" t="s">
        <v>1241</v>
      </c>
      <c r="D1240" s="262" t="s">
        <v>888</v>
      </c>
      <c r="E1240" s="263" t="s">
        <v>1764</v>
      </c>
      <c r="F1240" s="370">
        <v>712787.85</v>
      </c>
      <c r="G1240" s="370">
        <v>712787.85</v>
      </c>
      <c r="H1240" s="368">
        <f t="shared" si="40"/>
        <v>100</v>
      </c>
      <c r="I1240" s="147" t="str">
        <f t="shared" si="39"/>
        <v>0703011004Г030600</v>
      </c>
    </row>
    <row r="1241" spans="1:9">
      <c r="A1241" s="54" t="s">
        <v>1504</v>
      </c>
      <c r="B1241" s="262" t="s">
        <v>248</v>
      </c>
      <c r="C1241" s="262" t="s">
        <v>1241</v>
      </c>
      <c r="D1241" s="262" t="s">
        <v>888</v>
      </c>
      <c r="E1241" s="263" t="s">
        <v>1505</v>
      </c>
      <c r="F1241" s="370">
        <v>712787.85</v>
      </c>
      <c r="G1241" s="370">
        <v>712787.85</v>
      </c>
      <c r="H1241" s="368">
        <f t="shared" si="40"/>
        <v>100</v>
      </c>
      <c r="I1241" s="147" t="str">
        <f t="shared" si="39"/>
        <v>0703011004Г030610</v>
      </c>
    </row>
    <row r="1242" spans="1:9" ht="51">
      <c r="A1242" s="54" t="s">
        <v>435</v>
      </c>
      <c r="B1242" s="262" t="s">
        <v>248</v>
      </c>
      <c r="C1242" s="262" t="s">
        <v>1241</v>
      </c>
      <c r="D1242" s="262" t="s">
        <v>888</v>
      </c>
      <c r="E1242" s="263" t="s">
        <v>436</v>
      </c>
      <c r="F1242" s="370">
        <v>712787.85</v>
      </c>
      <c r="G1242" s="370">
        <v>712787.85</v>
      </c>
      <c r="H1242" s="368">
        <f t="shared" si="40"/>
        <v>100</v>
      </c>
      <c r="I1242" s="147" t="str">
        <f t="shared" si="39"/>
        <v>0703011004Г030611</v>
      </c>
    </row>
    <row r="1243" spans="1:9" ht="76.5">
      <c r="A1243" s="54" t="s">
        <v>1860</v>
      </c>
      <c r="B1243" s="262" t="s">
        <v>248</v>
      </c>
      <c r="C1243" s="262" t="s">
        <v>1241</v>
      </c>
      <c r="D1243" s="262" t="s">
        <v>1861</v>
      </c>
      <c r="E1243" s="263" t="s">
        <v>1468</v>
      </c>
      <c r="F1243" s="370">
        <v>43947</v>
      </c>
      <c r="G1243" s="370">
        <v>43947</v>
      </c>
      <c r="H1243" s="368">
        <f t="shared" si="40"/>
        <v>100</v>
      </c>
      <c r="I1243" s="147" t="str">
        <f t="shared" si="39"/>
        <v>0703011004Ф000</v>
      </c>
    </row>
    <row r="1244" spans="1:9" ht="25.5">
      <c r="A1244" s="54" t="s">
        <v>1755</v>
      </c>
      <c r="B1244" s="262" t="s">
        <v>248</v>
      </c>
      <c r="C1244" s="262" t="s">
        <v>1241</v>
      </c>
      <c r="D1244" s="262" t="s">
        <v>1861</v>
      </c>
      <c r="E1244" s="263" t="s">
        <v>1756</v>
      </c>
      <c r="F1244" s="370">
        <v>43947</v>
      </c>
      <c r="G1244" s="370">
        <v>43947</v>
      </c>
      <c r="H1244" s="368">
        <f t="shared" si="40"/>
        <v>100</v>
      </c>
      <c r="I1244" s="147" t="str">
        <f t="shared" si="39"/>
        <v>0703011004Ф000200</v>
      </c>
    </row>
    <row r="1245" spans="1:9" ht="38.25">
      <c r="A1245" s="54" t="s">
        <v>1502</v>
      </c>
      <c r="B1245" s="262" t="s">
        <v>248</v>
      </c>
      <c r="C1245" s="262" t="s">
        <v>1241</v>
      </c>
      <c r="D1245" s="262" t="s">
        <v>1861</v>
      </c>
      <c r="E1245" s="263" t="s">
        <v>1503</v>
      </c>
      <c r="F1245" s="370">
        <v>43947</v>
      </c>
      <c r="G1245" s="370">
        <v>43947</v>
      </c>
      <c r="H1245" s="368">
        <f t="shared" si="40"/>
        <v>100</v>
      </c>
      <c r="I1245" s="147" t="str">
        <f t="shared" si="39"/>
        <v>0703011004Ф000240</v>
      </c>
    </row>
    <row r="1246" spans="1:9">
      <c r="A1246" s="54" t="s">
        <v>1577</v>
      </c>
      <c r="B1246" s="262" t="s">
        <v>248</v>
      </c>
      <c r="C1246" s="262" t="s">
        <v>1241</v>
      </c>
      <c r="D1246" s="262" t="s">
        <v>1861</v>
      </c>
      <c r="E1246" s="263" t="s">
        <v>416</v>
      </c>
      <c r="F1246" s="370">
        <v>43947</v>
      </c>
      <c r="G1246" s="370">
        <v>43947</v>
      </c>
      <c r="H1246" s="368">
        <f t="shared" si="40"/>
        <v>100</v>
      </c>
      <c r="I1246" s="147" t="str">
        <f t="shared" si="39"/>
        <v>0703011004Ф000244</v>
      </c>
    </row>
    <row r="1247" spans="1:9" ht="114.75">
      <c r="A1247" s="54" t="s">
        <v>1099</v>
      </c>
      <c r="B1247" s="262" t="s">
        <v>248</v>
      </c>
      <c r="C1247" s="262" t="s">
        <v>1241</v>
      </c>
      <c r="D1247" s="262" t="s">
        <v>1100</v>
      </c>
      <c r="E1247" s="263" t="s">
        <v>1468</v>
      </c>
      <c r="F1247" s="370">
        <v>374880.13</v>
      </c>
      <c r="G1247" s="370">
        <v>321875.08</v>
      </c>
      <c r="H1247" s="368">
        <f t="shared" si="40"/>
        <v>85.860800357703681</v>
      </c>
      <c r="I1247" s="147" t="str">
        <f t="shared" si="39"/>
        <v>0703011004Э030</v>
      </c>
    </row>
    <row r="1248" spans="1:9" ht="25.5">
      <c r="A1248" s="54" t="s">
        <v>1755</v>
      </c>
      <c r="B1248" s="262" t="s">
        <v>248</v>
      </c>
      <c r="C1248" s="262" t="s">
        <v>1241</v>
      </c>
      <c r="D1248" s="262" t="s">
        <v>1100</v>
      </c>
      <c r="E1248" s="263" t="s">
        <v>1756</v>
      </c>
      <c r="F1248" s="370">
        <v>306743</v>
      </c>
      <c r="G1248" s="370">
        <v>253737.95</v>
      </c>
      <c r="H1248" s="368">
        <f t="shared" si="40"/>
        <v>82.720045771215638</v>
      </c>
      <c r="I1248" s="147" t="str">
        <f t="shared" si="39"/>
        <v>0703011004Э030200</v>
      </c>
    </row>
    <row r="1249" spans="1:9" ht="38.25">
      <c r="A1249" s="54" t="s">
        <v>1502</v>
      </c>
      <c r="B1249" s="262" t="s">
        <v>248</v>
      </c>
      <c r="C1249" s="262" t="s">
        <v>1241</v>
      </c>
      <c r="D1249" s="262" t="s">
        <v>1100</v>
      </c>
      <c r="E1249" s="263" t="s">
        <v>1503</v>
      </c>
      <c r="F1249" s="370">
        <v>306743</v>
      </c>
      <c r="G1249" s="370">
        <v>253737.95</v>
      </c>
      <c r="H1249" s="368">
        <f t="shared" si="40"/>
        <v>82.720045771215638</v>
      </c>
      <c r="I1249" s="147" t="str">
        <f t="shared" si="39"/>
        <v>0703011004Э030240</v>
      </c>
    </row>
    <row r="1250" spans="1:9">
      <c r="A1250" s="54" t="s">
        <v>1577</v>
      </c>
      <c r="B1250" s="262" t="s">
        <v>248</v>
      </c>
      <c r="C1250" s="262" t="s">
        <v>1241</v>
      </c>
      <c r="D1250" s="262" t="s">
        <v>1100</v>
      </c>
      <c r="E1250" s="263" t="s">
        <v>416</v>
      </c>
      <c r="F1250" s="370">
        <v>306743</v>
      </c>
      <c r="G1250" s="370">
        <v>253737.95</v>
      </c>
      <c r="H1250" s="368">
        <f t="shared" si="40"/>
        <v>82.720045771215638</v>
      </c>
      <c r="I1250" s="147" t="str">
        <f t="shared" si="39"/>
        <v>0703011004Э030244</v>
      </c>
    </row>
    <row r="1251" spans="1:9" ht="38.25">
      <c r="A1251" s="54" t="s">
        <v>1763</v>
      </c>
      <c r="B1251" s="262" t="s">
        <v>248</v>
      </c>
      <c r="C1251" s="262" t="s">
        <v>1241</v>
      </c>
      <c r="D1251" s="262" t="s">
        <v>1100</v>
      </c>
      <c r="E1251" s="263" t="s">
        <v>1764</v>
      </c>
      <c r="F1251" s="370">
        <v>68137.13</v>
      </c>
      <c r="G1251" s="370">
        <v>68137.13</v>
      </c>
      <c r="H1251" s="368">
        <f t="shared" si="40"/>
        <v>100</v>
      </c>
      <c r="I1251" s="147" t="str">
        <f t="shared" si="39"/>
        <v>0703011004Э030600</v>
      </c>
    </row>
    <row r="1252" spans="1:9">
      <c r="A1252" s="54" t="s">
        <v>1504</v>
      </c>
      <c r="B1252" s="262" t="s">
        <v>248</v>
      </c>
      <c r="C1252" s="262" t="s">
        <v>1241</v>
      </c>
      <c r="D1252" s="262" t="s">
        <v>1100</v>
      </c>
      <c r="E1252" s="263" t="s">
        <v>1505</v>
      </c>
      <c r="F1252" s="370">
        <v>68137.13</v>
      </c>
      <c r="G1252" s="370">
        <v>68137.13</v>
      </c>
      <c r="H1252" s="368">
        <f t="shared" si="40"/>
        <v>100</v>
      </c>
      <c r="I1252" s="147" t="str">
        <f t="shared" si="39"/>
        <v>0703011004Э030610</v>
      </c>
    </row>
    <row r="1253" spans="1:9" ht="51">
      <c r="A1253" s="54" t="s">
        <v>435</v>
      </c>
      <c r="B1253" s="262" t="s">
        <v>248</v>
      </c>
      <c r="C1253" s="262" t="s">
        <v>1241</v>
      </c>
      <c r="D1253" s="262" t="s">
        <v>1100</v>
      </c>
      <c r="E1253" s="263" t="s">
        <v>436</v>
      </c>
      <c r="F1253" s="370">
        <v>68137.13</v>
      </c>
      <c r="G1253" s="370">
        <v>68137.13</v>
      </c>
      <c r="H1253" s="368">
        <f t="shared" si="40"/>
        <v>100</v>
      </c>
      <c r="I1253" s="147" t="str">
        <f t="shared" si="39"/>
        <v>0703011004Э030611</v>
      </c>
    </row>
    <row r="1254" spans="1:9" ht="165.75">
      <c r="A1254" s="54" t="s">
        <v>501</v>
      </c>
      <c r="B1254" s="262" t="s">
        <v>248</v>
      </c>
      <c r="C1254" s="262" t="s">
        <v>1241</v>
      </c>
      <c r="D1254" s="262" t="s">
        <v>875</v>
      </c>
      <c r="E1254" s="263" t="s">
        <v>1468</v>
      </c>
      <c r="F1254" s="370">
        <v>2427200</v>
      </c>
      <c r="G1254" s="370">
        <v>2423291.5099999998</v>
      </c>
      <c r="H1254" s="368">
        <f t="shared" si="40"/>
        <v>99.838971242584037</v>
      </c>
      <c r="I1254" s="147" t="str">
        <f t="shared" si="39"/>
        <v>07030110075640</v>
      </c>
    </row>
    <row r="1255" spans="1:9" ht="63.75">
      <c r="A1255" s="54" t="s">
        <v>1754</v>
      </c>
      <c r="B1255" s="262" t="s">
        <v>248</v>
      </c>
      <c r="C1255" s="262" t="s">
        <v>1241</v>
      </c>
      <c r="D1255" s="262" t="s">
        <v>875</v>
      </c>
      <c r="E1255" s="263" t="s">
        <v>322</v>
      </c>
      <c r="F1255" s="370">
        <v>735993.86</v>
      </c>
      <c r="G1255" s="370">
        <f>G1256</f>
        <v>732085.37</v>
      </c>
      <c r="H1255" s="368">
        <f t="shared" si="40"/>
        <v>99.468950732822691</v>
      </c>
      <c r="I1255" s="147" t="str">
        <f t="shared" si="39"/>
        <v>07030110075640100</v>
      </c>
    </row>
    <row r="1256" spans="1:9" ht="25.5">
      <c r="A1256" s="54" t="s">
        <v>1487</v>
      </c>
      <c r="B1256" s="262" t="s">
        <v>248</v>
      </c>
      <c r="C1256" s="262" t="s">
        <v>1241</v>
      </c>
      <c r="D1256" s="262" t="s">
        <v>875</v>
      </c>
      <c r="E1256" s="263" t="s">
        <v>165</v>
      </c>
      <c r="F1256" s="370">
        <v>735993.86</v>
      </c>
      <c r="G1256" s="370">
        <f>G1257+G1258</f>
        <v>732085.37</v>
      </c>
      <c r="H1256" s="368">
        <f t="shared" si="40"/>
        <v>99.468950732822691</v>
      </c>
      <c r="I1256" s="147" t="str">
        <f t="shared" si="39"/>
        <v>07030110075640110</v>
      </c>
    </row>
    <row r="1257" spans="1:9">
      <c r="A1257" s="54" t="s">
        <v>1360</v>
      </c>
      <c r="B1257" s="262" t="s">
        <v>248</v>
      </c>
      <c r="C1257" s="262" t="s">
        <v>1241</v>
      </c>
      <c r="D1257" s="262" t="s">
        <v>875</v>
      </c>
      <c r="E1257" s="263" t="s">
        <v>430</v>
      </c>
      <c r="F1257" s="370">
        <v>565341</v>
      </c>
      <c r="G1257" s="370">
        <v>565090.28</v>
      </c>
      <c r="H1257" s="368">
        <f t="shared" si="40"/>
        <v>99.955651544819858</v>
      </c>
      <c r="I1257" s="147" t="str">
        <f t="shared" ref="I1257:I1320" si="41">CONCATENATE(C1257,D1257,E1257)</f>
        <v>07030110075640111</v>
      </c>
    </row>
    <row r="1258" spans="1:9" ht="51">
      <c r="A1258" s="54" t="s">
        <v>1361</v>
      </c>
      <c r="B1258" s="262" t="s">
        <v>248</v>
      </c>
      <c r="C1258" s="262" t="s">
        <v>1241</v>
      </c>
      <c r="D1258" s="262" t="s">
        <v>875</v>
      </c>
      <c r="E1258" s="263" t="s">
        <v>1197</v>
      </c>
      <c r="F1258" s="370">
        <v>170652.86</v>
      </c>
      <c r="G1258" s="370">
        <v>166995.09</v>
      </c>
      <c r="H1258" s="368">
        <f t="shared" si="40"/>
        <v>97.856601993075316</v>
      </c>
      <c r="I1258" s="147" t="str">
        <f t="shared" si="41"/>
        <v>07030110075640119</v>
      </c>
    </row>
    <row r="1259" spans="1:9" ht="25.5">
      <c r="A1259" s="54" t="s">
        <v>1755</v>
      </c>
      <c r="B1259" s="262" t="s">
        <v>248</v>
      </c>
      <c r="C1259" s="262" t="s">
        <v>1241</v>
      </c>
      <c r="D1259" s="262" t="s">
        <v>875</v>
      </c>
      <c r="E1259" s="263" t="s">
        <v>1756</v>
      </c>
      <c r="F1259" s="370">
        <v>1691206.14</v>
      </c>
      <c r="G1259" s="370">
        <v>1691206.14</v>
      </c>
      <c r="H1259" s="368">
        <f t="shared" si="40"/>
        <v>100</v>
      </c>
      <c r="I1259" s="147" t="str">
        <f t="shared" si="41"/>
        <v>07030110075640200</v>
      </c>
    </row>
    <row r="1260" spans="1:9" ht="38.25">
      <c r="A1260" s="54" t="s">
        <v>1502</v>
      </c>
      <c r="B1260" s="262" t="s">
        <v>248</v>
      </c>
      <c r="C1260" s="262" t="s">
        <v>1241</v>
      </c>
      <c r="D1260" s="262" t="s">
        <v>875</v>
      </c>
      <c r="E1260" s="263" t="s">
        <v>1503</v>
      </c>
      <c r="F1260" s="370">
        <v>1691206.14</v>
      </c>
      <c r="G1260" s="370">
        <v>1691206.14</v>
      </c>
      <c r="H1260" s="368">
        <f t="shared" si="40"/>
        <v>100</v>
      </c>
      <c r="I1260" s="147" t="str">
        <f t="shared" si="41"/>
        <v>07030110075640240</v>
      </c>
    </row>
    <row r="1261" spans="1:9">
      <c r="A1261" s="54" t="s">
        <v>1577</v>
      </c>
      <c r="B1261" s="262" t="s">
        <v>248</v>
      </c>
      <c r="C1261" s="262" t="s">
        <v>1241</v>
      </c>
      <c r="D1261" s="262" t="s">
        <v>875</v>
      </c>
      <c r="E1261" s="263" t="s">
        <v>416</v>
      </c>
      <c r="F1261" s="370">
        <v>1691206.14</v>
      </c>
      <c r="G1261" s="370">
        <v>1691206.14</v>
      </c>
      <c r="H1261" s="368">
        <f t="shared" si="40"/>
        <v>100</v>
      </c>
      <c r="I1261" s="147" t="str">
        <f t="shared" si="41"/>
        <v>07030110075640244</v>
      </c>
    </row>
    <row r="1262" spans="1:9" ht="63.75">
      <c r="A1262" s="54" t="s">
        <v>500</v>
      </c>
      <c r="B1262" s="262" t="s">
        <v>248</v>
      </c>
      <c r="C1262" s="262" t="s">
        <v>1241</v>
      </c>
      <c r="D1262" s="262" t="s">
        <v>889</v>
      </c>
      <c r="E1262" s="263" t="s">
        <v>1468</v>
      </c>
      <c r="F1262" s="370">
        <v>1345340</v>
      </c>
      <c r="G1262" s="370">
        <v>1194393.47</v>
      </c>
      <c r="H1262" s="368">
        <f t="shared" si="40"/>
        <v>88.780045936343228</v>
      </c>
      <c r="I1262" s="147" t="str">
        <f t="shared" si="41"/>
        <v>07030110080020</v>
      </c>
    </row>
    <row r="1263" spans="1:9" ht="63.75">
      <c r="A1263" s="54" t="s">
        <v>1754</v>
      </c>
      <c r="B1263" s="262" t="s">
        <v>248</v>
      </c>
      <c r="C1263" s="262" t="s">
        <v>1241</v>
      </c>
      <c r="D1263" s="262" t="s">
        <v>889</v>
      </c>
      <c r="E1263" s="263" t="s">
        <v>322</v>
      </c>
      <c r="F1263" s="370">
        <v>172677.63</v>
      </c>
      <c r="G1263" s="370">
        <f>G1264</f>
        <v>21731.5</v>
      </c>
      <c r="H1263" s="368">
        <f t="shared" si="40"/>
        <v>12.585011735451779</v>
      </c>
      <c r="I1263" s="147" t="str">
        <f t="shared" si="41"/>
        <v>07030110080020100</v>
      </c>
    </row>
    <row r="1264" spans="1:9" ht="25.5">
      <c r="A1264" s="54" t="s">
        <v>1487</v>
      </c>
      <c r="B1264" s="262" t="s">
        <v>248</v>
      </c>
      <c r="C1264" s="262" t="s">
        <v>1241</v>
      </c>
      <c r="D1264" s="262" t="s">
        <v>889</v>
      </c>
      <c r="E1264" s="263" t="s">
        <v>165</v>
      </c>
      <c r="F1264" s="370">
        <v>172677.63</v>
      </c>
      <c r="G1264" s="370">
        <f>G1265</f>
        <v>21731.5</v>
      </c>
      <c r="H1264" s="368">
        <f t="shared" si="40"/>
        <v>12.585011735451779</v>
      </c>
      <c r="I1264" s="147" t="str">
        <f t="shared" si="41"/>
        <v>07030110080020110</v>
      </c>
    </row>
    <row r="1265" spans="1:9" ht="25.5">
      <c r="A1265" s="54" t="s">
        <v>1369</v>
      </c>
      <c r="B1265" s="262" t="s">
        <v>248</v>
      </c>
      <c r="C1265" s="262" t="s">
        <v>1241</v>
      </c>
      <c r="D1265" s="262" t="s">
        <v>889</v>
      </c>
      <c r="E1265" s="263" t="s">
        <v>479</v>
      </c>
      <c r="F1265" s="370">
        <v>172677.63</v>
      </c>
      <c r="G1265" s="370">
        <v>21731.5</v>
      </c>
      <c r="H1265" s="368">
        <f t="shared" si="40"/>
        <v>12.585011735451779</v>
      </c>
      <c r="I1265" s="147" t="str">
        <f t="shared" si="41"/>
        <v>07030110080020112</v>
      </c>
    </row>
    <row r="1266" spans="1:9" ht="25.5">
      <c r="A1266" s="54" t="s">
        <v>1755</v>
      </c>
      <c r="B1266" s="262" t="s">
        <v>248</v>
      </c>
      <c r="C1266" s="262" t="s">
        <v>1241</v>
      </c>
      <c r="D1266" s="262" t="s">
        <v>889</v>
      </c>
      <c r="E1266" s="263" t="s">
        <v>1756</v>
      </c>
      <c r="F1266" s="370">
        <v>635662.37</v>
      </c>
      <c r="G1266" s="370">
        <v>635661.97</v>
      </c>
      <c r="H1266" s="368">
        <f t="shared" si="40"/>
        <v>99.999937073512783</v>
      </c>
      <c r="I1266" s="147" t="str">
        <f t="shared" si="41"/>
        <v>07030110080020200</v>
      </c>
    </row>
    <row r="1267" spans="1:9" ht="38.25">
      <c r="A1267" s="54" t="s">
        <v>1502</v>
      </c>
      <c r="B1267" s="262" t="s">
        <v>248</v>
      </c>
      <c r="C1267" s="262" t="s">
        <v>1241</v>
      </c>
      <c r="D1267" s="262" t="s">
        <v>889</v>
      </c>
      <c r="E1267" s="263" t="s">
        <v>1503</v>
      </c>
      <c r="F1267" s="370">
        <v>635662.37</v>
      </c>
      <c r="G1267" s="370">
        <v>635661.97</v>
      </c>
      <c r="H1267" s="368">
        <f t="shared" si="40"/>
        <v>99.999937073512783</v>
      </c>
      <c r="I1267" s="147" t="str">
        <f t="shared" si="41"/>
        <v>07030110080020240</v>
      </c>
    </row>
    <row r="1268" spans="1:9">
      <c r="A1268" s="54" t="s">
        <v>1577</v>
      </c>
      <c r="B1268" s="262" t="s">
        <v>248</v>
      </c>
      <c r="C1268" s="262" t="s">
        <v>1241</v>
      </c>
      <c r="D1268" s="262" t="s">
        <v>889</v>
      </c>
      <c r="E1268" s="263" t="s">
        <v>416</v>
      </c>
      <c r="F1268" s="370">
        <v>635662.37</v>
      </c>
      <c r="G1268" s="370">
        <v>635661.97</v>
      </c>
      <c r="H1268" s="368">
        <f t="shared" si="40"/>
        <v>99.999937073512783</v>
      </c>
      <c r="I1268" s="147" t="str">
        <f t="shared" si="41"/>
        <v>07030110080020244</v>
      </c>
    </row>
    <row r="1269" spans="1:9" ht="38.25">
      <c r="A1269" s="54" t="s">
        <v>1763</v>
      </c>
      <c r="B1269" s="262" t="s">
        <v>248</v>
      </c>
      <c r="C1269" s="262" t="s">
        <v>1241</v>
      </c>
      <c r="D1269" s="262" t="s">
        <v>889</v>
      </c>
      <c r="E1269" s="263" t="s">
        <v>1764</v>
      </c>
      <c r="F1269" s="370">
        <v>537000</v>
      </c>
      <c r="G1269" s="370">
        <v>537000</v>
      </c>
      <c r="H1269" s="368">
        <f t="shared" si="40"/>
        <v>100</v>
      </c>
      <c r="I1269" s="147" t="str">
        <f t="shared" si="41"/>
        <v>07030110080020600</v>
      </c>
    </row>
    <row r="1270" spans="1:9">
      <c r="A1270" s="54" t="s">
        <v>1504</v>
      </c>
      <c r="B1270" s="262" t="s">
        <v>248</v>
      </c>
      <c r="C1270" s="262" t="s">
        <v>1241</v>
      </c>
      <c r="D1270" s="262" t="s">
        <v>889</v>
      </c>
      <c r="E1270" s="263" t="s">
        <v>1505</v>
      </c>
      <c r="F1270" s="370">
        <v>537000</v>
      </c>
      <c r="G1270" s="370">
        <v>537000</v>
      </c>
      <c r="H1270" s="368">
        <f t="shared" si="40"/>
        <v>100</v>
      </c>
      <c r="I1270" s="147" t="str">
        <f t="shared" si="41"/>
        <v>07030110080020610</v>
      </c>
    </row>
    <row r="1271" spans="1:9">
      <c r="A1271" s="54" t="s">
        <v>454</v>
      </c>
      <c r="B1271" s="262" t="s">
        <v>248</v>
      </c>
      <c r="C1271" s="262" t="s">
        <v>1241</v>
      </c>
      <c r="D1271" s="262" t="s">
        <v>889</v>
      </c>
      <c r="E1271" s="263" t="s">
        <v>455</v>
      </c>
      <c r="F1271" s="370">
        <v>537000</v>
      </c>
      <c r="G1271" s="370">
        <v>537000</v>
      </c>
      <c r="H1271" s="368">
        <f t="shared" si="40"/>
        <v>100</v>
      </c>
      <c r="I1271" s="147" t="str">
        <f t="shared" si="41"/>
        <v>07030110080020612</v>
      </c>
    </row>
    <row r="1272" spans="1:9" ht="63.75">
      <c r="A1272" s="54" t="s">
        <v>2023</v>
      </c>
      <c r="B1272" s="262" t="s">
        <v>248</v>
      </c>
      <c r="C1272" s="262" t="s">
        <v>1241</v>
      </c>
      <c r="D1272" s="262" t="s">
        <v>2024</v>
      </c>
      <c r="E1272" s="263" t="s">
        <v>1468</v>
      </c>
      <c r="F1272" s="370">
        <v>170952</v>
      </c>
      <c r="G1272" s="370">
        <v>170952</v>
      </c>
      <c r="H1272" s="368">
        <f t="shared" si="40"/>
        <v>100</v>
      </c>
      <c r="I1272" s="147" t="str">
        <f t="shared" si="41"/>
        <v>0703011008Ф000</v>
      </c>
    </row>
    <row r="1273" spans="1:9" ht="25.5">
      <c r="A1273" s="54" t="s">
        <v>1755</v>
      </c>
      <c r="B1273" s="262" t="s">
        <v>248</v>
      </c>
      <c r="C1273" s="262" t="s">
        <v>1241</v>
      </c>
      <c r="D1273" s="262" t="s">
        <v>2024</v>
      </c>
      <c r="E1273" s="263" t="s">
        <v>1756</v>
      </c>
      <c r="F1273" s="370">
        <v>170952</v>
      </c>
      <c r="G1273" s="370">
        <v>170952</v>
      </c>
      <c r="H1273" s="368">
        <f t="shared" si="40"/>
        <v>100</v>
      </c>
      <c r="I1273" s="147" t="str">
        <f t="shared" si="41"/>
        <v>0703011008Ф000200</v>
      </c>
    </row>
    <row r="1274" spans="1:9" ht="38.25">
      <c r="A1274" s="54" t="s">
        <v>1502</v>
      </c>
      <c r="B1274" s="262" t="s">
        <v>248</v>
      </c>
      <c r="C1274" s="262" t="s">
        <v>1241</v>
      </c>
      <c r="D1274" s="262" t="s">
        <v>2024</v>
      </c>
      <c r="E1274" s="263" t="s">
        <v>1503</v>
      </c>
      <c r="F1274" s="370">
        <v>170952</v>
      </c>
      <c r="G1274" s="370">
        <v>170952</v>
      </c>
      <c r="H1274" s="368">
        <f t="shared" si="40"/>
        <v>100</v>
      </c>
      <c r="I1274" s="147" t="str">
        <f t="shared" si="41"/>
        <v>0703011008Ф000240</v>
      </c>
    </row>
    <row r="1275" spans="1:9">
      <c r="A1275" s="54" t="s">
        <v>1577</v>
      </c>
      <c r="B1275" s="262" t="s">
        <v>248</v>
      </c>
      <c r="C1275" s="262" t="s">
        <v>1241</v>
      </c>
      <c r="D1275" s="262" t="s">
        <v>2024</v>
      </c>
      <c r="E1275" s="263" t="s">
        <v>416</v>
      </c>
      <c r="F1275" s="370">
        <v>170952</v>
      </c>
      <c r="G1275" s="370">
        <v>170952</v>
      </c>
      <c r="H1275" s="368">
        <f t="shared" si="40"/>
        <v>100</v>
      </c>
      <c r="I1275" s="147" t="str">
        <f t="shared" si="41"/>
        <v>0703011008Ф000244</v>
      </c>
    </row>
    <row r="1276" spans="1:9" ht="25.5">
      <c r="A1276" s="54" t="s">
        <v>576</v>
      </c>
      <c r="B1276" s="262" t="s">
        <v>248</v>
      </c>
      <c r="C1276" s="262" t="s">
        <v>1241</v>
      </c>
      <c r="D1276" s="262" t="s">
        <v>1133</v>
      </c>
      <c r="E1276" s="263" t="s">
        <v>1468</v>
      </c>
      <c r="F1276" s="370">
        <v>54303.7</v>
      </c>
      <c r="G1276" s="370">
        <v>54303.7</v>
      </c>
      <c r="H1276" s="368">
        <f t="shared" si="40"/>
        <v>100</v>
      </c>
      <c r="I1276" s="147" t="str">
        <f t="shared" si="41"/>
        <v>07030900000000</v>
      </c>
    </row>
    <row r="1277" spans="1:9" ht="25.5">
      <c r="A1277" s="54" t="s">
        <v>581</v>
      </c>
      <c r="B1277" s="262" t="s">
        <v>248</v>
      </c>
      <c r="C1277" s="262" t="s">
        <v>1241</v>
      </c>
      <c r="D1277" s="262" t="s">
        <v>1136</v>
      </c>
      <c r="E1277" s="263" t="s">
        <v>1468</v>
      </c>
      <c r="F1277" s="370">
        <v>54303.7</v>
      </c>
      <c r="G1277" s="370">
        <v>54303.7</v>
      </c>
      <c r="H1277" s="368">
        <f t="shared" si="40"/>
        <v>100</v>
      </c>
      <c r="I1277" s="147" t="str">
        <f t="shared" si="41"/>
        <v>07030930000000</v>
      </c>
    </row>
    <row r="1278" spans="1:9" ht="51">
      <c r="A1278" s="54" t="s">
        <v>496</v>
      </c>
      <c r="B1278" s="262" t="s">
        <v>248</v>
      </c>
      <c r="C1278" s="262" t="s">
        <v>1241</v>
      </c>
      <c r="D1278" s="262" t="s">
        <v>894</v>
      </c>
      <c r="E1278" s="263" t="s">
        <v>1468</v>
      </c>
      <c r="F1278" s="370">
        <v>54303.7</v>
      </c>
      <c r="G1278" s="370">
        <v>54303.7</v>
      </c>
      <c r="H1278" s="368">
        <f t="shared" si="40"/>
        <v>100</v>
      </c>
      <c r="I1278" s="147" t="str">
        <f t="shared" si="41"/>
        <v>07030930080010</v>
      </c>
    </row>
    <row r="1279" spans="1:9" ht="63.75">
      <c r="A1279" s="54" t="s">
        <v>1754</v>
      </c>
      <c r="B1279" s="262" t="s">
        <v>248</v>
      </c>
      <c r="C1279" s="262" t="s">
        <v>1241</v>
      </c>
      <c r="D1279" s="262" t="s">
        <v>894</v>
      </c>
      <c r="E1279" s="263" t="s">
        <v>322</v>
      </c>
      <c r="F1279" s="370">
        <v>7638.4</v>
      </c>
      <c r="G1279" s="370">
        <v>7638.4</v>
      </c>
      <c r="H1279" s="368">
        <f t="shared" si="40"/>
        <v>100</v>
      </c>
      <c r="I1279" s="147" t="str">
        <f t="shared" si="41"/>
        <v>07030930080010100</v>
      </c>
    </row>
    <row r="1280" spans="1:9" ht="25.5">
      <c r="A1280" s="54" t="s">
        <v>1487</v>
      </c>
      <c r="B1280" s="262" t="s">
        <v>248</v>
      </c>
      <c r="C1280" s="262" t="s">
        <v>1241</v>
      </c>
      <c r="D1280" s="262" t="s">
        <v>894</v>
      </c>
      <c r="E1280" s="263" t="s">
        <v>165</v>
      </c>
      <c r="F1280" s="370">
        <v>7638.4</v>
      </c>
      <c r="G1280" s="370">
        <v>7638.4</v>
      </c>
      <c r="H1280" s="368">
        <f t="shared" si="40"/>
        <v>100</v>
      </c>
      <c r="I1280" s="147" t="str">
        <f t="shared" si="41"/>
        <v>07030930080010110</v>
      </c>
    </row>
    <row r="1281" spans="1:9" ht="51">
      <c r="A1281" s="54" t="s">
        <v>1371</v>
      </c>
      <c r="B1281" s="262" t="s">
        <v>248</v>
      </c>
      <c r="C1281" s="262" t="s">
        <v>1241</v>
      </c>
      <c r="D1281" s="262" t="s">
        <v>894</v>
      </c>
      <c r="E1281" s="263" t="s">
        <v>1200</v>
      </c>
      <c r="F1281" s="370">
        <v>7638.4</v>
      </c>
      <c r="G1281" s="370">
        <v>7638.4</v>
      </c>
      <c r="H1281" s="368">
        <f t="shared" si="40"/>
        <v>100</v>
      </c>
      <c r="I1281" s="147" t="str">
        <f t="shared" si="41"/>
        <v>07030930080010113</v>
      </c>
    </row>
    <row r="1282" spans="1:9" ht="25.5">
      <c r="A1282" s="54" t="s">
        <v>1755</v>
      </c>
      <c r="B1282" s="262" t="s">
        <v>248</v>
      </c>
      <c r="C1282" s="262" t="s">
        <v>1241</v>
      </c>
      <c r="D1282" s="262" t="s">
        <v>894</v>
      </c>
      <c r="E1282" s="263" t="s">
        <v>1756</v>
      </c>
      <c r="F1282" s="370">
        <v>46665.3</v>
      </c>
      <c r="G1282" s="370">
        <v>46665.3</v>
      </c>
      <c r="H1282" s="368">
        <f t="shared" si="40"/>
        <v>100</v>
      </c>
      <c r="I1282" s="147" t="str">
        <f t="shared" si="41"/>
        <v>07030930080010200</v>
      </c>
    </row>
    <row r="1283" spans="1:9" ht="38.25">
      <c r="A1283" s="54" t="s">
        <v>1502</v>
      </c>
      <c r="B1283" s="262" t="s">
        <v>248</v>
      </c>
      <c r="C1283" s="262" t="s">
        <v>1241</v>
      </c>
      <c r="D1283" s="262" t="s">
        <v>894</v>
      </c>
      <c r="E1283" s="263" t="s">
        <v>1503</v>
      </c>
      <c r="F1283" s="370">
        <v>46665.3</v>
      </c>
      <c r="G1283" s="370">
        <v>46665.3</v>
      </c>
      <c r="H1283" s="368">
        <f t="shared" si="40"/>
        <v>100</v>
      </c>
      <c r="I1283" s="147" t="str">
        <f t="shared" si="41"/>
        <v>07030930080010240</v>
      </c>
    </row>
    <row r="1284" spans="1:9">
      <c r="A1284" s="54" t="s">
        <v>1577</v>
      </c>
      <c r="B1284" s="262" t="s">
        <v>248</v>
      </c>
      <c r="C1284" s="262" t="s">
        <v>1241</v>
      </c>
      <c r="D1284" s="262" t="s">
        <v>894</v>
      </c>
      <c r="E1284" s="263" t="s">
        <v>416</v>
      </c>
      <c r="F1284" s="370">
        <v>46665.3</v>
      </c>
      <c r="G1284" s="370">
        <v>46665.3</v>
      </c>
      <c r="H1284" s="368">
        <f t="shared" si="40"/>
        <v>100</v>
      </c>
      <c r="I1284" s="147" t="str">
        <f t="shared" si="41"/>
        <v>07030930080010244</v>
      </c>
    </row>
    <row r="1285" spans="1:9">
      <c r="A1285" s="54" t="s">
        <v>1238</v>
      </c>
      <c r="B1285" s="262" t="s">
        <v>248</v>
      </c>
      <c r="C1285" s="262" t="s">
        <v>453</v>
      </c>
      <c r="D1285" s="262" t="s">
        <v>1468</v>
      </c>
      <c r="E1285" s="263" t="s">
        <v>1468</v>
      </c>
      <c r="F1285" s="370">
        <v>18865082.469999999</v>
      </c>
      <c r="G1285" s="370">
        <v>17235758.449999999</v>
      </c>
      <c r="H1285" s="368">
        <f t="shared" si="40"/>
        <v>91.363281752989863</v>
      </c>
      <c r="I1285" s="147" t="str">
        <f t="shared" si="41"/>
        <v>0707</v>
      </c>
    </row>
    <row r="1286" spans="1:9" ht="25.5">
      <c r="A1286" s="54" t="s">
        <v>535</v>
      </c>
      <c r="B1286" s="262" t="s">
        <v>248</v>
      </c>
      <c r="C1286" s="262" t="s">
        <v>453</v>
      </c>
      <c r="D1286" s="262" t="s">
        <v>1105</v>
      </c>
      <c r="E1286" s="263" t="s">
        <v>1468</v>
      </c>
      <c r="F1286" s="370">
        <v>18865082.469999999</v>
      </c>
      <c r="G1286" s="370">
        <v>17235758.449999999</v>
      </c>
      <c r="H1286" s="368">
        <f t="shared" si="40"/>
        <v>91.363281752989863</v>
      </c>
      <c r="I1286" s="147" t="str">
        <f t="shared" si="41"/>
        <v>07070100000000</v>
      </c>
    </row>
    <row r="1287" spans="1:9" ht="25.5">
      <c r="A1287" s="54" t="s">
        <v>536</v>
      </c>
      <c r="B1287" s="262" t="s">
        <v>248</v>
      </c>
      <c r="C1287" s="262" t="s">
        <v>453</v>
      </c>
      <c r="D1287" s="262" t="s">
        <v>1106</v>
      </c>
      <c r="E1287" s="263" t="s">
        <v>1468</v>
      </c>
      <c r="F1287" s="370">
        <v>18602632.469999999</v>
      </c>
      <c r="G1287" s="370">
        <v>16975428.449999999</v>
      </c>
      <c r="H1287" s="368">
        <f t="shared" si="40"/>
        <v>91.252829283037499</v>
      </c>
      <c r="I1287" s="147" t="str">
        <f t="shared" si="41"/>
        <v>07070110000000</v>
      </c>
    </row>
    <row r="1288" spans="1:9" ht="114.75">
      <c r="A1288" s="54" t="s">
        <v>506</v>
      </c>
      <c r="B1288" s="262" t="s">
        <v>248</v>
      </c>
      <c r="C1288" s="262" t="s">
        <v>453</v>
      </c>
      <c r="D1288" s="262" t="s">
        <v>895</v>
      </c>
      <c r="E1288" s="263" t="s">
        <v>1468</v>
      </c>
      <c r="F1288" s="370">
        <v>921400</v>
      </c>
      <c r="G1288" s="370">
        <v>921400</v>
      </c>
      <c r="H1288" s="368">
        <f t="shared" ref="H1288:H1351" si="42">G1288/F1288*100</f>
        <v>100</v>
      </c>
      <c r="I1288" s="147" t="str">
        <f t="shared" si="41"/>
        <v>07070110040040</v>
      </c>
    </row>
    <row r="1289" spans="1:9" ht="38.25">
      <c r="A1289" s="54" t="s">
        <v>1763</v>
      </c>
      <c r="B1289" s="262" t="s">
        <v>248</v>
      </c>
      <c r="C1289" s="262" t="s">
        <v>453</v>
      </c>
      <c r="D1289" s="262" t="s">
        <v>895</v>
      </c>
      <c r="E1289" s="263" t="s">
        <v>1764</v>
      </c>
      <c r="F1289" s="370">
        <v>921400</v>
      </c>
      <c r="G1289" s="370">
        <v>921400</v>
      </c>
      <c r="H1289" s="368">
        <f t="shared" si="42"/>
        <v>100</v>
      </c>
      <c r="I1289" s="147" t="str">
        <f t="shared" si="41"/>
        <v>07070110040040600</v>
      </c>
    </row>
    <row r="1290" spans="1:9">
      <c r="A1290" s="54" t="s">
        <v>1504</v>
      </c>
      <c r="B1290" s="262" t="s">
        <v>248</v>
      </c>
      <c r="C1290" s="262" t="s">
        <v>453</v>
      </c>
      <c r="D1290" s="262" t="s">
        <v>895</v>
      </c>
      <c r="E1290" s="263" t="s">
        <v>1505</v>
      </c>
      <c r="F1290" s="370">
        <v>921400</v>
      </c>
      <c r="G1290" s="370">
        <v>921400</v>
      </c>
      <c r="H1290" s="368">
        <f t="shared" si="42"/>
        <v>100</v>
      </c>
      <c r="I1290" s="147" t="str">
        <f t="shared" si="41"/>
        <v>07070110040040610</v>
      </c>
    </row>
    <row r="1291" spans="1:9" ht="51">
      <c r="A1291" s="54" t="s">
        <v>435</v>
      </c>
      <c r="B1291" s="262" t="s">
        <v>248</v>
      </c>
      <c r="C1291" s="262" t="s">
        <v>453</v>
      </c>
      <c r="D1291" s="262" t="s">
        <v>895</v>
      </c>
      <c r="E1291" s="263" t="s">
        <v>436</v>
      </c>
      <c r="F1291" s="370">
        <v>921400</v>
      </c>
      <c r="G1291" s="370">
        <v>921400</v>
      </c>
      <c r="H1291" s="368">
        <f t="shared" si="42"/>
        <v>100</v>
      </c>
      <c r="I1291" s="147" t="str">
        <f t="shared" si="41"/>
        <v>07070110040040611</v>
      </c>
    </row>
    <row r="1292" spans="1:9" ht="165.75">
      <c r="A1292" s="54" t="s">
        <v>507</v>
      </c>
      <c r="B1292" s="262" t="s">
        <v>248</v>
      </c>
      <c r="C1292" s="262" t="s">
        <v>453</v>
      </c>
      <c r="D1292" s="262" t="s">
        <v>896</v>
      </c>
      <c r="E1292" s="263" t="s">
        <v>1468</v>
      </c>
      <c r="F1292" s="370">
        <v>1590600</v>
      </c>
      <c r="G1292" s="370">
        <v>1118529.8400000001</v>
      </c>
      <c r="H1292" s="368">
        <f t="shared" si="42"/>
        <v>70.321252357600912</v>
      </c>
      <c r="I1292" s="147" t="str">
        <f t="shared" si="41"/>
        <v>07070110041040</v>
      </c>
    </row>
    <row r="1293" spans="1:9" ht="38.25">
      <c r="A1293" s="54" t="s">
        <v>1763</v>
      </c>
      <c r="B1293" s="262" t="s">
        <v>248</v>
      </c>
      <c r="C1293" s="262" t="s">
        <v>453</v>
      </c>
      <c r="D1293" s="262" t="s">
        <v>896</v>
      </c>
      <c r="E1293" s="263" t="s">
        <v>1764</v>
      </c>
      <c r="F1293" s="370">
        <v>1590600</v>
      </c>
      <c r="G1293" s="370">
        <v>1118529.8400000001</v>
      </c>
      <c r="H1293" s="368">
        <f t="shared" si="42"/>
        <v>70.321252357600912</v>
      </c>
      <c r="I1293" s="147" t="str">
        <f t="shared" si="41"/>
        <v>07070110041040600</v>
      </c>
    </row>
    <row r="1294" spans="1:9">
      <c r="A1294" s="54" t="s">
        <v>1504</v>
      </c>
      <c r="B1294" s="262" t="s">
        <v>248</v>
      </c>
      <c r="C1294" s="262" t="s">
        <v>453</v>
      </c>
      <c r="D1294" s="262" t="s">
        <v>896</v>
      </c>
      <c r="E1294" s="263" t="s">
        <v>1505</v>
      </c>
      <c r="F1294" s="370">
        <v>1590600</v>
      </c>
      <c r="G1294" s="370">
        <v>1118529.8400000001</v>
      </c>
      <c r="H1294" s="368">
        <f t="shared" si="42"/>
        <v>70.321252357600912</v>
      </c>
      <c r="I1294" s="147" t="str">
        <f t="shared" si="41"/>
        <v>07070110041040610</v>
      </c>
    </row>
    <row r="1295" spans="1:9" ht="51">
      <c r="A1295" s="54" t="s">
        <v>435</v>
      </c>
      <c r="B1295" s="262" t="s">
        <v>248</v>
      </c>
      <c r="C1295" s="262" t="s">
        <v>453</v>
      </c>
      <c r="D1295" s="262" t="s">
        <v>896</v>
      </c>
      <c r="E1295" s="263" t="s">
        <v>436</v>
      </c>
      <c r="F1295" s="370">
        <v>1590600</v>
      </c>
      <c r="G1295" s="370">
        <v>1118529.8400000001</v>
      </c>
      <c r="H1295" s="368">
        <f t="shared" si="42"/>
        <v>70.321252357600912</v>
      </c>
      <c r="I1295" s="147" t="str">
        <f t="shared" si="41"/>
        <v>07070110041040611</v>
      </c>
    </row>
    <row r="1296" spans="1:9" ht="114.75">
      <c r="A1296" s="54" t="s">
        <v>897</v>
      </c>
      <c r="B1296" s="262" t="s">
        <v>248</v>
      </c>
      <c r="C1296" s="262" t="s">
        <v>453</v>
      </c>
      <c r="D1296" s="262" t="s">
        <v>898</v>
      </c>
      <c r="E1296" s="263" t="s">
        <v>1468</v>
      </c>
      <c r="F1296" s="370">
        <v>68519.47</v>
      </c>
      <c r="G1296" s="370">
        <v>68519.47</v>
      </c>
      <c r="H1296" s="368">
        <f t="shared" si="42"/>
        <v>100</v>
      </c>
      <c r="I1296" s="147" t="str">
        <f t="shared" si="41"/>
        <v>07070110047040</v>
      </c>
    </row>
    <row r="1297" spans="1:9" ht="38.25">
      <c r="A1297" s="54" t="s">
        <v>1763</v>
      </c>
      <c r="B1297" s="262" t="s">
        <v>248</v>
      </c>
      <c r="C1297" s="262" t="s">
        <v>453</v>
      </c>
      <c r="D1297" s="262" t="s">
        <v>898</v>
      </c>
      <c r="E1297" s="263" t="s">
        <v>1764</v>
      </c>
      <c r="F1297" s="370">
        <v>68519.47</v>
      </c>
      <c r="G1297" s="370">
        <v>68519.47</v>
      </c>
      <c r="H1297" s="368">
        <f t="shared" si="42"/>
        <v>100</v>
      </c>
      <c r="I1297" s="147" t="str">
        <f t="shared" si="41"/>
        <v>07070110047040600</v>
      </c>
    </row>
    <row r="1298" spans="1:9">
      <c r="A1298" s="54" t="s">
        <v>1504</v>
      </c>
      <c r="B1298" s="262" t="s">
        <v>248</v>
      </c>
      <c r="C1298" s="262" t="s">
        <v>453</v>
      </c>
      <c r="D1298" s="262" t="s">
        <v>898</v>
      </c>
      <c r="E1298" s="263" t="s">
        <v>1505</v>
      </c>
      <c r="F1298" s="370">
        <v>68519.47</v>
      </c>
      <c r="G1298" s="370">
        <v>68519.47</v>
      </c>
      <c r="H1298" s="368">
        <f t="shared" si="42"/>
        <v>100</v>
      </c>
      <c r="I1298" s="147" t="str">
        <f t="shared" si="41"/>
        <v>07070110047040610</v>
      </c>
    </row>
    <row r="1299" spans="1:9">
      <c r="A1299" s="54" t="s">
        <v>454</v>
      </c>
      <c r="B1299" s="262" t="s">
        <v>248</v>
      </c>
      <c r="C1299" s="262" t="s">
        <v>453</v>
      </c>
      <c r="D1299" s="262" t="s">
        <v>898</v>
      </c>
      <c r="E1299" s="263" t="s">
        <v>455</v>
      </c>
      <c r="F1299" s="370">
        <v>68519.47</v>
      </c>
      <c r="G1299" s="370">
        <v>68519.47</v>
      </c>
      <c r="H1299" s="368">
        <f t="shared" si="42"/>
        <v>100</v>
      </c>
      <c r="I1299" s="147" t="str">
        <f t="shared" si="41"/>
        <v>07070110047040612</v>
      </c>
    </row>
    <row r="1300" spans="1:9" ht="127.5">
      <c r="A1300" s="54" t="s">
        <v>1372</v>
      </c>
      <c r="B1300" s="262" t="s">
        <v>248</v>
      </c>
      <c r="C1300" s="262" t="s">
        <v>453</v>
      </c>
      <c r="D1300" s="262" t="s">
        <v>1373</v>
      </c>
      <c r="E1300" s="263" t="s">
        <v>1468</v>
      </c>
      <c r="F1300" s="370">
        <v>149888</v>
      </c>
      <c r="G1300" s="370">
        <v>149888</v>
      </c>
      <c r="H1300" s="368">
        <f t="shared" si="42"/>
        <v>100</v>
      </c>
      <c r="I1300" s="147" t="str">
        <f t="shared" si="41"/>
        <v>0707011004Г040</v>
      </c>
    </row>
    <row r="1301" spans="1:9" ht="38.25">
      <c r="A1301" s="54" t="s">
        <v>1763</v>
      </c>
      <c r="B1301" s="262" t="s">
        <v>248</v>
      </c>
      <c r="C1301" s="262" t="s">
        <v>453</v>
      </c>
      <c r="D1301" s="262" t="s">
        <v>1373</v>
      </c>
      <c r="E1301" s="263" t="s">
        <v>1764</v>
      </c>
      <c r="F1301" s="370">
        <v>149888</v>
      </c>
      <c r="G1301" s="370">
        <v>149888</v>
      </c>
      <c r="H1301" s="368">
        <f t="shared" si="42"/>
        <v>100</v>
      </c>
      <c r="I1301" s="147" t="str">
        <f t="shared" si="41"/>
        <v>0707011004Г040600</v>
      </c>
    </row>
    <row r="1302" spans="1:9">
      <c r="A1302" s="54" t="s">
        <v>1504</v>
      </c>
      <c r="B1302" s="262" t="s">
        <v>248</v>
      </c>
      <c r="C1302" s="262" t="s">
        <v>453</v>
      </c>
      <c r="D1302" s="262" t="s">
        <v>1373</v>
      </c>
      <c r="E1302" s="263" t="s">
        <v>1505</v>
      </c>
      <c r="F1302" s="370">
        <v>149888</v>
      </c>
      <c r="G1302" s="370">
        <v>149888</v>
      </c>
      <c r="H1302" s="368">
        <f t="shared" si="42"/>
        <v>100</v>
      </c>
      <c r="I1302" s="147" t="str">
        <f t="shared" si="41"/>
        <v>0707011004Г040610</v>
      </c>
    </row>
    <row r="1303" spans="1:9" ht="51">
      <c r="A1303" s="54" t="s">
        <v>435</v>
      </c>
      <c r="B1303" s="262" t="s">
        <v>248</v>
      </c>
      <c r="C1303" s="262" t="s">
        <v>453</v>
      </c>
      <c r="D1303" s="262" t="s">
        <v>1373</v>
      </c>
      <c r="E1303" s="263" t="s">
        <v>436</v>
      </c>
      <c r="F1303" s="370">
        <v>149888</v>
      </c>
      <c r="G1303" s="370">
        <v>149888</v>
      </c>
      <c r="H1303" s="368">
        <f t="shared" si="42"/>
        <v>100</v>
      </c>
      <c r="I1303" s="147" t="str">
        <f t="shared" si="41"/>
        <v>0707011004Г040611</v>
      </c>
    </row>
    <row r="1304" spans="1:9" ht="114.75">
      <c r="A1304" s="54" t="s">
        <v>1374</v>
      </c>
      <c r="B1304" s="262" t="s">
        <v>248</v>
      </c>
      <c r="C1304" s="262" t="s">
        <v>453</v>
      </c>
      <c r="D1304" s="262" t="s">
        <v>1375</v>
      </c>
      <c r="E1304" s="263" t="s">
        <v>1468</v>
      </c>
      <c r="F1304" s="370">
        <v>222365</v>
      </c>
      <c r="G1304" s="370">
        <v>187777.44</v>
      </c>
      <c r="H1304" s="368">
        <f t="shared" si="42"/>
        <v>84.445591707328035</v>
      </c>
      <c r="I1304" s="147" t="str">
        <f t="shared" si="41"/>
        <v>0707011004Э040</v>
      </c>
    </row>
    <row r="1305" spans="1:9" ht="38.25">
      <c r="A1305" s="54" t="s">
        <v>1763</v>
      </c>
      <c r="B1305" s="262" t="s">
        <v>248</v>
      </c>
      <c r="C1305" s="262" t="s">
        <v>453</v>
      </c>
      <c r="D1305" s="262" t="s">
        <v>1375</v>
      </c>
      <c r="E1305" s="263" t="s">
        <v>1764</v>
      </c>
      <c r="F1305" s="370">
        <v>222365</v>
      </c>
      <c r="G1305" s="370">
        <v>187777.44</v>
      </c>
      <c r="H1305" s="368">
        <f t="shared" si="42"/>
        <v>84.445591707328035</v>
      </c>
      <c r="I1305" s="147" t="str">
        <f t="shared" si="41"/>
        <v>0707011004Э040600</v>
      </c>
    </row>
    <row r="1306" spans="1:9">
      <c r="A1306" s="54" t="s">
        <v>1504</v>
      </c>
      <c r="B1306" s="262" t="s">
        <v>248</v>
      </c>
      <c r="C1306" s="262" t="s">
        <v>453</v>
      </c>
      <c r="D1306" s="262" t="s">
        <v>1375</v>
      </c>
      <c r="E1306" s="263" t="s">
        <v>1505</v>
      </c>
      <c r="F1306" s="370">
        <v>222365</v>
      </c>
      <c r="G1306" s="370">
        <v>187777.44</v>
      </c>
      <c r="H1306" s="368">
        <f t="shared" si="42"/>
        <v>84.445591707328035</v>
      </c>
      <c r="I1306" s="147" t="str">
        <f t="shared" si="41"/>
        <v>0707011004Э040610</v>
      </c>
    </row>
    <row r="1307" spans="1:9" ht="51">
      <c r="A1307" s="54" t="s">
        <v>435</v>
      </c>
      <c r="B1307" s="262" t="s">
        <v>248</v>
      </c>
      <c r="C1307" s="262" t="s">
        <v>453</v>
      </c>
      <c r="D1307" s="262" t="s">
        <v>1375</v>
      </c>
      <c r="E1307" s="263" t="s">
        <v>436</v>
      </c>
      <c r="F1307" s="370">
        <v>222365</v>
      </c>
      <c r="G1307" s="370">
        <v>187777.44</v>
      </c>
      <c r="H1307" s="368">
        <f t="shared" si="42"/>
        <v>84.445591707328035</v>
      </c>
      <c r="I1307" s="147" t="str">
        <f t="shared" si="41"/>
        <v>0707011004Э040611</v>
      </c>
    </row>
    <row r="1308" spans="1:9" ht="63.75">
      <c r="A1308" s="54" t="s">
        <v>1212</v>
      </c>
      <c r="B1308" s="262" t="s">
        <v>248</v>
      </c>
      <c r="C1308" s="262" t="s">
        <v>453</v>
      </c>
      <c r="D1308" s="262" t="s">
        <v>1213</v>
      </c>
      <c r="E1308" s="263" t="s">
        <v>1468</v>
      </c>
      <c r="F1308" s="370">
        <v>317600</v>
      </c>
      <c r="G1308" s="370">
        <v>149724.39000000001</v>
      </c>
      <c r="H1308" s="368">
        <f t="shared" si="42"/>
        <v>47.142440176322417</v>
      </c>
      <c r="I1308" s="147" t="str">
        <f t="shared" si="41"/>
        <v>07070110073970</v>
      </c>
    </row>
    <row r="1309" spans="1:9" ht="38.25">
      <c r="A1309" s="54" t="s">
        <v>1763</v>
      </c>
      <c r="B1309" s="262" t="s">
        <v>248</v>
      </c>
      <c r="C1309" s="262" t="s">
        <v>453</v>
      </c>
      <c r="D1309" s="262" t="s">
        <v>1213</v>
      </c>
      <c r="E1309" s="263" t="s">
        <v>1764</v>
      </c>
      <c r="F1309" s="370">
        <v>317600</v>
      </c>
      <c r="G1309" s="370">
        <v>149724.39000000001</v>
      </c>
      <c r="H1309" s="368">
        <f t="shared" si="42"/>
        <v>47.142440176322417</v>
      </c>
      <c r="I1309" s="147" t="str">
        <f t="shared" si="41"/>
        <v>07070110073970600</v>
      </c>
    </row>
    <row r="1310" spans="1:9">
      <c r="A1310" s="54" t="s">
        <v>1504</v>
      </c>
      <c r="B1310" s="262" t="s">
        <v>248</v>
      </c>
      <c r="C1310" s="262" t="s">
        <v>453</v>
      </c>
      <c r="D1310" s="262" t="s">
        <v>1213</v>
      </c>
      <c r="E1310" s="263" t="s">
        <v>1505</v>
      </c>
      <c r="F1310" s="370">
        <v>317600</v>
      </c>
      <c r="G1310" s="370">
        <v>149724.39000000001</v>
      </c>
      <c r="H1310" s="368">
        <f t="shared" si="42"/>
        <v>47.142440176322417</v>
      </c>
      <c r="I1310" s="147" t="str">
        <f t="shared" si="41"/>
        <v>07070110073970610</v>
      </c>
    </row>
    <row r="1311" spans="1:9" ht="51">
      <c r="A1311" s="54" t="s">
        <v>435</v>
      </c>
      <c r="B1311" s="262" t="s">
        <v>248</v>
      </c>
      <c r="C1311" s="262" t="s">
        <v>453</v>
      </c>
      <c r="D1311" s="262" t="s">
        <v>1213</v>
      </c>
      <c r="E1311" s="263" t="s">
        <v>436</v>
      </c>
      <c r="F1311" s="370">
        <v>317600</v>
      </c>
      <c r="G1311" s="370">
        <v>149724.39000000001</v>
      </c>
      <c r="H1311" s="368">
        <f t="shared" si="42"/>
        <v>47.142440176322417</v>
      </c>
      <c r="I1311" s="147" t="str">
        <f t="shared" si="41"/>
        <v>07070110073970611</v>
      </c>
    </row>
    <row r="1312" spans="1:9" ht="102">
      <c r="A1312" s="54" t="s">
        <v>1941</v>
      </c>
      <c r="B1312" s="262" t="s">
        <v>248</v>
      </c>
      <c r="C1312" s="262" t="s">
        <v>453</v>
      </c>
      <c r="D1312" s="262" t="s">
        <v>1942</v>
      </c>
      <c r="E1312" s="263" t="s">
        <v>1468</v>
      </c>
      <c r="F1312" s="370">
        <v>2708700</v>
      </c>
      <c r="G1312" s="370">
        <v>2519091</v>
      </c>
      <c r="H1312" s="368">
        <f t="shared" si="42"/>
        <v>93</v>
      </c>
      <c r="I1312" s="147" t="str">
        <f t="shared" si="41"/>
        <v>07070110075530</v>
      </c>
    </row>
    <row r="1313" spans="1:9" ht="38.25">
      <c r="A1313" s="54" t="s">
        <v>1763</v>
      </c>
      <c r="B1313" s="262" t="s">
        <v>248</v>
      </c>
      <c r="C1313" s="262" t="s">
        <v>453</v>
      </c>
      <c r="D1313" s="262" t="s">
        <v>1942</v>
      </c>
      <c r="E1313" s="263" t="s">
        <v>1764</v>
      </c>
      <c r="F1313" s="370">
        <v>2708700</v>
      </c>
      <c r="G1313" s="370">
        <v>2519091</v>
      </c>
      <c r="H1313" s="368">
        <f t="shared" si="42"/>
        <v>93</v>
      </c>
      <c r="I1313" s="147" t="str">
        <f t="shared" si="41"/>
        <v>07070110075530600</v>
      </c>
    </row>
    <row r="1314" spans="1:9">
      <c r="A1314" s="54" t="s">
        <v>1504</v>
      </c>
      <c r="B1314" s="262" t="s">
        <v>248</v>
      </c>
      <c r="C1314" s="262" t="s">
        <v>453</v>
      </c>
      <c r="D1314" s="262" t="s">
        <v>1942</v>
      </c>
      <c r="E1314" s="263" t="s">
        <v>1505</v>
      </c>
      <c r="F1314" s="370">
        <v>2708700</v>
      </c>
      <c r="G1314" s="370">
        <v>2519091</v>
      </c>
      <c r="H1314" s="368">
        <f t="shared" si="42"/>
        <v>93</v>
      </c>
      <c r="I1314" s="147" t="str">
        <f t="shared" si="41"/>
        <v>07070110075530610</v>
      </c>
    </row>
    <row r="1315" spans="1:9">
      <c r="A1315" s="54" t="s">
        <v>454</v>
      </c>
      <c r="B1315" s="262" t="s">
        <v>248</v>
      </c>
      <c r="C1315" s="262" t="s">
        <v>453</v>
      </c>
      <c r="D1315" s="262" t="s">
        <v>1942</v>
      </c>
      <c r="E1315" s="263" t="s">
        <v>455</v>
      </c>
      <c r="F1315" s="370">
        <v>2708700</v>
      </c>
      <c r="G1315" s="370">
        <v>2519091</v>
      </c>
      <c r="H1315" s="368">
        <f t="shared" si="42"/>
        <v>93</v>
      </c>
      <c r="I1315" s="147" t="str">
        <f t="shared" si="41"/>
        <v>07070110075530612</v>
      </c>
    </row>
    <row r="1316" spans="1:9" ht="76.5">
      <c r="A1316" s="54" t="s">
        <v>1485</v>
      </c>
      <c r="B1316" s="262" t="s">
        <v>248</v>
      </c>
      <c r="C1316" s="262" t="s">
        <v>453</v>
      </c>
      <c r="D1316" s="262" t="s">
        <v>1486</v>
      </c>
      <c r="E1316" s="263" t="s">
        <v>1468</v>
      </c>
      <c r="F1316" s="370">
        <v>8806200</v>
      </c>
      <c r="G1316" s="370">
        <v>8653400</v>
      </c>
      <c r="H1316" s="368">
        <f t="shared" si="42"/>
        <v>98.264858849446981</v>
      </c>
      <c r="I1316" s="147" t="str">
        <f t="shared" si="41"/>
        <v>07070110076490</v>
      </c>
    </row>
    <row r="1317" spans="1:9" ht="25.5">
      <c r="A1317" s="54" t="s">
        <v>1755</v>
      </c>
      <c r="B1317" s="262" t="s">
        <v>248</v>
      </c>
      <c r="C1317" s="262" t="s">
        <v>453</v>
      </c>
      <c r="D1317" s="262" t="s">
        <v>1486</v>
      </c>
      <c r="E1317" s="263" t="s">
        <v>1756</v>
      </c>
      <c r="F1317" s="370">
        <v>5301900</v>
      </c>
      <c r="G1317" s="370">
        <v>5301900</v>
      </c>
      <c r="H1317" s="368">
        <f t="shared" si="42"/>
        <v>100</v>
      </c>
      <c r="I1317" s="147" t="str">
        <f t="shared" si="41"/>
        <v>07070110076490200</v>
      </c>
    </row>
    <row r="1318" spans="1:9" ht="38.25">
      <c r="A1318" s="54" t="s">
        <v>1502</v>
      </c>
      <c r="B1318" s="262" t="s">
        <v>248</v>
      </c>
      <c r="C1318" s="262" t="s">
        <v>453</v>
      </c>
      <c r="D1318" s="262" t="s">
        <v>1486</v>
      </c>
      <c r="E1318" s="263" t="s">
        <v>1503</v>
      </c>
      <c r="F1318" s="370">
        <v>5301900</v>
      </c>
      <c r="G1318" s="370">
        <v>5301900</v>
      </c>
      <c r="H1318" s="368">
        <f t="shared" si="42"/>
        <v>100</v>
      </c>
      <c r="I1318" s="147" t="str">
        <f t="shared" si="41"/>
        <v>07070110076490240</v>
      </c>
    </row>
    <row r="1319" spans="1:9">
      <c r="A1319" s="54" t="s">
        <v>1577</v>
      </c>
      <c r="B1319" s="262" t="s">
        <v>248</v>
      </c>
      <c r="C1319" s="262" t="s">
        <v>453</v>
      </c>
      <c r="D1319" s="262" t="s">
        <v>1486</v>
      </c>
      <c r="E1319" s="263" t="s">
        <v>416</v>
      </c>
      <c r="F1319" s="370">
        <v>5301900</v>
      </c>
      <c r="G1319" s="370">
        <v>5301900</v>
      </c>
      <c r="H1319" s="368">
        <f t="shared" si="42"/>
        <v>100</v>
      </c>
      <c r="I1319" s="147" t="str">
        <f t="shared" si="41"/>
        <v>07070110076490244</v>
      </c>
    </row>
    <row r="1320" spans="1:9" ht="38.25">
      <c r="A1320" s="54" t="s">
        <v>1763</v>
      </c>
      <c r="B1320" s="262" t="s">
        <v>248</v>
      </c>
      <c r="C1320" s="262" t="s">
        <v>453</v>
      </c>
      <c r="D1320" s="262" t="s">
        <v>1486</v>
      </c>
      <c r="E1320" s="263" t="s">
        <v>1764</v>
      </c>
      <c r="F1320" s="370">
        <v>3504300</v>
      </c>
      <c r="G1320" s="370">
        <v>3351500</v>
      </c>
      <c r="H1320" s="368">
        <f t="shared" si="42"/>
        <v>95.639642724652575</v>
      </c>
      <c r="I1320" s="147" t="str">
        <f t="shared" si="41"/>
        <v>07070110076490600</v>
      </c>
    </row>
    <row r="1321" spans="1:9">
      <c r="A1321" s="54" t="s">
        <v>1504</v>
      </c>
      <c r="B1321" s="262" t="s">
        <v>248</v>
      </c>
      <c r="C1321" s="262" t="s">
        <v>453</v>
      </c>
      <c r="D1321" s="262" t="s">
        <v>1486</v>
      </c>
      <c r="E1321" s="263" t="s">
        <v>1505</v>
      </c>
      <c r="F1321" s="370">
        <v>3504300</v>
      </c>
      <c r="G1321" s="370">
        <v>3351500</v>
      </c>
      <c r="H1321" s="368">
        <f t="shared" si="42"/>
        <v>95.639642724652575</v>
      </c>
      <c r="I1321" s="147" t="str">
        <f t="shared" ref="I1321:I1384" si="43">CONCATENATE(C1321,D1321,E1321)</f>
        <v>07070110076490610</v>
      </c>
    </row>
    <row r="1322" spans="1:9" ht="51">
      <c r="A1322" s="54" t="s">
        <v>435</v>
      </c>
      <c r="B1322" s="262" t="s">
        <v>248</v>
      </c>
      <c r="C1322" s="262" t="s">
        <v>453</v>
      </c>
      <c r="D1322" s="262" t="s">
        <v>1486</v>
      </c>
      <c r="E1322" s="263" t="s">
        <v>436</v>
      </c>
      <c r="F1322" s="370">
        <v>3504300</v>
      </c>
      <c r="G1322" s="370">
        <v>3351500</v>
      </c>
      <c r="H1322" s="368">
        <f t="shared" si="42"/>
        <v>95.639642724652575</v>
      </c>
      <c r="I1322" s="147" t="str">
        <f t="shared" si="43"/>
        <v>07070110076490611</v>
      </c>
    </row>
    <row r="1323" spans="1:9" ht="63.75">
      <c r="A1323" s="54" t="s">
        <v>482</v>
      </c>
      <c r="B1323" s="262" t="s">
        <v>248</v>
      </c>
      <c r="C1323" s="262" t="s">
        <v>453</v>
      </c>
      <c r="D1323" s="262" t="s">
        <v>904</v>
      </c>
      <c r="E1323" s="263" t="s">
        <v>1468</v>
      </c>
      <c r="F1323" s="370">
        <v>3565012</v>
      </c>
      <c r="G1323" s="370">
        <v>2954750.31</v>
      </c>
      <c r="H1323" s="368">
        <f t="shared" si="42"/>
        <v>82.881917648524052</v>
      </c>
      <c r="I1323" s="147" t="str">
        <f t="shared" si="43"/>
        <v>07070110080030</v>
      </c>
    </row>
    <row r="1324" spans="1:9" ht="25.5">
      <c r="A1324" s="54" t="s">
        <v>1755</v>
      </c>
      <c r="B1324" s="262" t="s">
        <v>248</v>
      </c>
      <c r="C1324" s="262" t="s">
        <v>453</v>
      </c>
      <c r="D1324" s="262" t="s">
        <v>904</v>
      </c>
      <c r="E1324" s="263" t="s">
        <v>1756</v>
      </c>
      <c r="F1324" s="370">
        <v>2272283</v>
      </c>
      <c r="G1324" s="370">
        <v>2272282.56</v>
      </c>
      <c r="H1324" s="368">
        <f t="shared" si="42"/>
        <v>99.999980636214772</v>
      </c>
      <c r="I1324" s="147" t="str">
        <f t="shared" si="43"/>
        <v>07070110080030200</v>
      </c>
    </row>
    <row r="1325" spans="1:9" ht="38.25">
      <c r="A1325" s="54" t="s">
        <v>1502</v>
      </c>
      <c r="B1325" s="262" t="s">
        <v>248</v>
      </c>
      <c r="C1325" s="262" t="s">
        <v>453</v>
      </c>
      <c r="D1325" s="262" t="s">
        <v>904</v>
      </c>
      <c r="E1325" s="263" t="s">
        <v>1503</v>
      </c>
      <c r="F1325" s="370">
        <v>2272283</v>
      </c>
      <c r="G1325" s="370">
        <v>2272282.56</v>
      </c>
      <c r="H1325" s="368">
        <f t="shared" si="42"/>
        <v>99.999980636214772</v>
      </c>
      <c r="I1325" s="147" t="str">
        <f t="shared" si="43"/>
        <v>07070110080030240</v>
      </c>
    </row>
    <row r="1326" spans="1:9">
      <c r="A1326" s="54" t="s">
        <v>1577</v>
      </c>
      <c r="B1326" s="262" t="s">
        <v>248</v>
      </c>
      <c r="C1326" s="262" t="s">
        <v>453</v>
      </c>
      <c r="D1326" s="262" t="s">
        <v>904</v>
      </c>
      <c r="E1326" s="263" t="s">
        <v>416</v>
      </c>
      <c r="F1326" s="370">
        <v>2272283</v>
      </c>
      <c r="G1326" s="370">
        <v>2272282.56</v>
      </c>
      <c r="H1326" s="368">
        <f t="shared" si="42"/>
        <v>99.999980636214772</v>
      </c>
      <c r="I1326" s="147" t="str">
        <f t="shared" si="43"/>
        <v>07070110080030244</v>
      </c>
    </row>
    <row r="1327" spans="1:9" ht="38.25">
      <c r="A1327" s="54" t="s">
        <v>1763</v>
      </c>
      <c r="B1327" s="262" t="s">
        <v>248</v>
      </c>
      <c r="C1327" s="262" t="s">
        <v>453</v>
      </c>
      <c r="D1327" s="262" t="s">
        <v>904</v>
      </c>
      <c r="E1327" s="263" t="s">
        <v>1764</v>
      </c>
      <c r="F1327" s="370">
        <v>1292729</v>
      </c>
      <c r="G1327" s="370">
        <v>682467.75</v>
      </c>
      <c r="H1327" s="368">
        <f t="shared" si="42"/>
        <v>52.792793385156521</v>
      </c>
      <c r="I1327" s="147" t="str">
        <f t="shared" si="43"/>
        <v>07070110080030600</v>
      </c>
    </row>
    <row r="1328" spans="1:9">
      <c r="A1328" s="54" t="s">
        <v>1504</v>
      </c>
      <c r="B1328" s="262" t="s">
        <v>248</v>
      </c>
      <c r="C1328" s="262" t="s">
        <v>453</v>
      </c>
      <c r="D1328" s="262" t="s">
        <v>904</v>
      </c>
      <c r="E1328" s="263" t="s">
        <v>1505</v>
      </c>
      <c r="F1328" s="370">
        <v>1292729</v>
      </c>
      <c r="G1328" s="370">
        <v>682467.75</v>
      </c>
      <c r="H1328" s="368">
        <f t="shared" si="42"/>
        <v>52.792793385156521</v>
      </c>
      <c r="I1328" s="147" t="str">
        <f t="shared" si="43"/>
        <v>07070110080030610</v>
      </c>
    </row>
    <row r="1329" spans="1:9" ht="51">
      <c r="A1329" s="54" t="s">
        <v>435</v>
      </c>
      <c r="B1329" s="262" t="s">
        <v>248</v>
      </c>
      <c r="C1329" s="262" t="s">
        <v>453</v>
      </c>
      <c r="D1329" s="262" t="s">
        <v>904</v>
      </c>
      <c r="E1329" s="263" t="s">
        <v>436</v>
      </c>
      <c r="F1329" s="370">
        <v>1292729</v>
      </c>
      <c r="G1329" s="370">
        <v>682467.75</v>
      </c>
      <c r="H1329" s="368">
        <f t="shared" si="42"/>
        <v>52.792793385156521</v>
      </c>
      <c r="I1329" s="147" t="str">
        <f t="shared" si="43"/>
        <v>07070110080030611</v>
      </c>
    </row>
    <row r="1330" spans="1:9" ht="76.5">
      <c r="A1330" s="54" t="s">
        <v>901</v>
      </c>
      <c r="B1330" s="262" t="s">
        <v>248</v>
      </c>
      <c r="C1330" s="262" t="s">
        <v>453</v>
      </c>
      <c r="D1330" s="262" t="s">
        <v>902</v>
      </c>
      <c r="E1330" s="263" t="s">
        <v>1468</v>
      </c>
      <c r="F1330" s="370">
        <v>318</v>
      </c>
      <c r="G1330" s="370">
        <v>318</v>
      </c>
      <c r="H1330" s="368">
        <f t="shared" si="42"/>
        <v>100</v>
      </c>
      <c r="I1330" s="147" t="str">
        <f t="shared" si="43"/>
        <v>070701100S3970</v>
      </c>
    </row>
    <row r="1331" spans="1:9" ht="38.25">
      <c r="A1331" s="54" t="s">
        <v>1763</v>
      </c>
      <c r="B1331" s="262" t="s">
        <v>248</v>
      </c>
      <c r="C1331" s="262" t="s">
        <v>453</v>
      </c>
      <c r="D1331" s="262" t="s">
        <v>902</v>
      </c>
      <c r="E1331" s="263" t="s">
        <v>1764</v>
      </c>
      <c r="F1331" s="370">
        <v>318</v>
      </c>
      <c r="G1331" s="370">
        <v>318</v>
      </c>
      <c r="H1331" s="368">
        <f t="shared" si="42"/>
        <v>100</v>
      </c>
      <c r="I1331" s="147" t="str">
        <f t="shared" si="43"/>
        <v>070701100S3970600</v>
      </c>
    </row>
    <row r="1332" spans="1:9">
      <c r="A1332" s="54" t="s">
        <v>1504</v>
      </c>
      <c r="B1332" s="262" t="s">
        <v>248</v>
      </c>
      <c r="C1332" s="262" t="s">
        <v>453</v>
      </c>
      <c r="D1332" s="262" t="s">
        <v>902</v>
      </c>
      <c r="E1332" s="263" t="s">
        <v>1505</v>
      </c>
      <c r="F1332" s="370">
        <v>318</v>
      </c>
      <c r="G1332" s="370">
        <v>318</v>
      </c>
      <c r="H1332" s="368">
        <f t="shared" si="42"/>
        <v>100</v>
      </c>
      <c r="I1332" s="147" t="str">
        <f t="shared" si="43"/>
        <v>070701100S3970610</v>
      </c>
    </row>
    <row r="1333" spans="1:9" ht="51">
      <c r="A1333" s="54" t="s">
        <v>435</v>
      </c>
      <c r="B1333" s="262" t="s">
        <v>248</v>
      </c>
      <c r="C1333" s="262" t="s">
        <v>453</v>
      </c>
      <c r="D1333" s="262" t="s">
        <v>902</v>
      </c>
      <c r="E1333" s="263" t="s">
        <v>436</v>
      </c>
      <c r="F1333" s="370">
        <v>318</v>
      </c>
      <c r="G1333" s="370">
        <v>318</v>
      </c>
      <c r="H1333" s="368">
        <f t="shared" si="42"/>
        <v>100</v>
      </c>
      <c r="I1333" s="147" t="str">
        <f t="shared" si="43"/>
        <v>070701100S3970611</v>
      </c>
    </row>
    <row r="1334" spans="1:9" ht="102">
      <c r="A1334" s="54" t="s">
        <v>2037</v>
      </c>
      <c r="B1334" s="262" t="s">
        <v>248</v>
      </c>
      <c r="C1334" s="262" t="s">
        <v>453</v>
      </c>
      <c r="D1334" s="262" t="s">
        <v>2048</v>
      </c>
      <c r="E1334" s="263" t="s">
        <v>1468</v>
      </c>
      <c r="F1334" s="370">
        <v>252030</v>
      </c>
      <c r="G1334" s="370">
        <v>252030</v>
      </c>
      <c r="H1334" s="368">
        <f t="shared" si="42"/>
        <v>100</v>
      </c>
      <c r="I1334" s="147" t="str">
        <f t="shared" si="43"/>
        <v>070701100S5530</v>
      </c>
    </row>
    <row r="1335" spans="1:9" ht="38.25">
      <c r="A1335" s="54" t="s">
        <v>1763</v>
      </c>
      <c r="B1335" s="262" t="s">
        <v>248</v>
      </c>
      <c r="C1335" s="262" t="s">
        <v>453</v>
      </c>
      <c r="D1335" s="262" t="s">
        <v>2048</v>
      </c>
      <c r="E1335" s="263" t="s">
        <v>1764</v>
      </c>
      <c r="F1335" s="370">
        <v>252030</v>
      </c>
      <c r="G1335" s="370">
        <v>252030</v>
      </c>
      <c r="H1335" s="368">
        <f t="shared" si="42"/>
        <v>100</v>
      </c>
      <c r="I1335" s="147" t="str">
        <f t="shared" si="43"/>
        <v>070701100S5530600</v>
      </c>
    </row>
    <row r="1336" spans="1:9">
      <c r="A1336" s="54" t="s">
        <v>1504</v>
      </c>
      <c r="B1336" s="262" t="s">
        <v>248</v>
      </c>
      <c r="C1336" s="262" t="s">
        <v>453</v>
      </c>
      <c r="D1336" s="262" t="s">
        <v>2048</v>
      </c>
      <c r="E1336" s="263" t="s">
        <v>1505</v>
      </c>
      <c r="F1336" s="370">
        <v>252030</v>
      </c>
      <c r="G1336" s="370">
        <v>252030</v>
      </c>
      <c r="H1336" s="368">
        <f t="shared" si="42"/>
        <v>100</v>
      </c>
      <c r="I1336" s="147" t="str">
        <f t="shared" si="43"/>
        <v>070701100S5530610</v>
      </c>
    </row>
    <row r="1337" spans="1:9">
      <c r="A1337" s="54" t="s">
        <v>454</v>
      </c>
      <c r="B1337" s="262" t="s">
        <v>248</v>
      </c>
      <c r="C1337" s="262" t="s">
        <v>453</v>
      </c>
      <c r="D1337" s="262" t="s">
        <v>2048</v>
      </c>
      <c r="E1337" s="263" t="s">
        <v>455</v>
      </c>
      <c r="F1337" s="370">
        <v>252030</v>
      </c>
      <c r="G1337" s="370">
        <v>252030</v>
      </c>
      <c r="H1337" s="368">
        <f t="shared" si="42"/>
        <v>100</v>
      </c>
      <c r="I1337" s="147" t="str">
        <f t="shared" si="43"/>
        <v>070701100S5530612</v>
      </c>
    </row>
    <row r="1338" spans="1:9" ht="38.25">
      <c r="A1338" s="54" t="s">
        <v>725</v>
      </c>
      <c r="B1338" s="262" t="s">
        <v>248</v>
      </c>
      <c r="C1338" s="262" t="s">
        <v>453</v>
      </c>
      <c r="D1338" s="262" t="s">
        <v>1107</v>
      </c>
      <c r="E1338" s="263" t="s">
        <v>1468</v>
      </c>
      <c r="F1338" s="370">
        <v>262450</v>
      </c>
      <c r="G1338" s="370">
        <v>260330</v>
      </c>
      <c r="H1338" s="368">
        <f t="shared" si="42"/>
        <v>99.192227090874454</v>
      </c>
      <c r="I1338" s="147" t="str">
        <f t="shared" si="43"/>
        <v>07070130000000</v>
      </c>
    </row>
    <row r="1339" spans="1:9" ht="76.5">
      <c r="A1339" s="54" t="s">
        <v>717</v>
      </c>
      <c r="B1339" s="262" t="s">
        <v>248</v>
      </c>
      <c r="C1339" s="262" t="s">
        <v>453</v>
      </c>
      <c r="D1339" s="262" t="s">
        <v>1347</v>
      </c>
      <c r="E1339" s="263" t="s">
        <v>1468</v>
      </c>
      <c r="F1339" s="370">
        <v>62450</v>
      </c>
      <c r="G1339" s="370">
        <v>60330</v>
      </c>
      <c r="H1339" s="368">
        <f t="shared" si="42"/>
        <v>96.605284227381901</v>
      </c>
      <c r="I1339" s="147" t="str">
        <f t="shared" si="43"/>
        <v>07070130080000</v>
      </c>
    </row>
    <row r="1340" spans="1:9" ht="25.5">
      <c r="A1340" s="54" t="s">
        <v>1755</v>
      </c>
      <c r="B1340" s="262" t="s">
        <v>248</v>
      </c>
      <c r="C1340" s="262" t="s">
        <v>453</v>
      </c>
      <c r="D1340" s="262" t="s">
        <v>1347</v>
      </c>
      <c r="E1340" s="263" t="s">
        <v>1756</v>
      </c>
      <c r="F1340" s="370">
        <v>62450</v>
      </c>
      <c r="G1340" s="370">
        <v>60330</v>
      </c>
      <c r="H1340" s="368">
        <f t="shared" si="42"/>
        <v>96.605284227381901</v>
      </c>
      <c r="I1340" s="147" t="str">
        <f t="shared" si="43"/>
        <v>07070130080000200</v>
      </c>
    </row>
    <row r="1341" spans="1:9" ht="38.25">
      <c r="A1341" s="54" t="s">
        <v>1502</v>
      </c>
      <c r="B1341" s="262" t="s">
        <v>248</v>
      </c>
      <c r="C1341" s="262" t="s">
        <v>453</v>
      </c>
      <c r="D1341" s="262" t="s">
        <v>1347</v>
      </c>
      <c r="E1341" s="263" t="s">
        <v>1503</v>
      </c>
      <c r="F1341" s="370">
        <v>62450</v>
      </c>
      <c r="G1341" s="370">
        <v>60330</v>
      </c>
      <c r="H1341" s="368">
        <f t="shared" si="42"/>
        <v>96.605284227381901</v>
      </c>
      <c r="I1341" s="147" t="str">
        <f t="shared" si="43"/>
        <v>07070130080000240</v>
      </c>
    </row>
    <row r="1342" spans="1:9">
      <c r="A1342" s="54" t="s">
        <v>1577</v>
      </c>
      <c r="B1342" s="262" t="s">
        <v>248</v>
      </c>
      <c r="C1342" s="262" t="s">
        <v>453</v>
      </c>
      <c r="D1342" s="262" t="s">
        <v>1347</v>
      </c>
      <c r="E1342" s="263" t="s">
        <v>416</v>
      </c>
      <c r="F1342" s="370">
        <v>62450</v>
      </c>
      <c r="G1342" s="370">
        <v>60330</v>
      </c>
      <c r="H1342" s="368">
        <f t="shared" si="42"/>
        <v>96.605284227381901</v>
      </c>
      <c r="I1342" s="147" t="str">
        <f t="shared" si="43"/>
        <v>07070130080000244</v>
      </c>
    </row>
    <row r="1343" spans="1:9" ht="76.5">
      <c r="A1343" s="54" t="s">
        <v>718</v>
      </c>
      <c r="B1343" s="262" t="s">
        <v>248</v>
      </c>
      <c r="C1343" s="262" t="s">
        <v>453</v>
      </c>
      <c r="D1343" s="262" t="s">
        <v>1348</v>
      </c>
      <c r="E1343" s="263" t="s">
        <v>1468</v>
      </c>
      <c r="F1343" s="370">
        <v>200000</v>
      </c>
      <c r="G1343" s="370">
        <v>200000</v>
      </c>
      <c r="H1343" s="368">
        <f t="shared" si="42"/>
        <v>100</v>
      </c>
      <c r="I1343" s="147" t="str">
        <f t="shared" si="43"/>
        <v>0707013008П000</v>
      </c>
    </row>
    <row r="1344" spans="1:9" ht="25.5">
      <c r="A1344" s="54" t="s">
        <v>1755</v>
      </c>
      <c r="B1344" s="262" t="s">
        <v>248</v>
      </c>
      <c r="C1344" s="262" t="s">
        <v>453</v>
      </c>
      <c r="D1344" s="262" t="s">
        <v>1348</v>
      </c>
      <c r="E1344" s="263" t="s">
        <v>1756</v>
      </c>
      <c r="F1344" s="370">
        <v>200000</v>
      </c>
      <c r="G1344" s="370">
        <v>200000</v>
      </c>
      <c r="H1344" s="368">
        <f t="shared" si="42"/>
        <v>100</v>
      </c>
      <c r="I1344" s="147" t="str">
        <f t="shared" si="43"/>
        <v>0707013008П000200</v>
      </c>
    </row>
    <row r="1345" spans="1:9" ht="38.25">
      <c r="A1345" s="54" t="s">
        <v>1502</v>
      </c>
      <c r="B1345" s="262" t="s">
        <v>248</v>
      </c>
      <c r="C1345" s="262" t="s">
        <v>453</v>
      </c>
      <c r="D1345" s="262" t="s">
        <v>1348</v>
      </c>
      <c r="E1345" s="263" t="s">
        <v>1503</v>
      </c>
      <c r="F1345" s="370">
        <v>200000</v>
      </c>
      <c r="G1345" s="370">
        <v>200000</v>
      </c>
      <c r="H1345" s="368">
        <f t="shared" si="42"/>
        <v>100</v>
      </c>
      <c r="I1345" s="147" t="str">
        <f t="shared" si="43"/>
        <v>0707013008П000240</v>
      </c>
    </row>
    <row r="1346" spans="1:9">
      <c r="A1346" s="54" t="s">
        <v>1577</v>
      </c>
      <c r="B1346" s="262" t="s">
        <v>248</v>
      </c>
      <c r="C1346" s="262" t="s">
        <v>453</v>
      </c>
      <c r="D1346" s="262" t="s">
        <v>1348</v>
      </c>
      <c r="E1346" s="263" t="s">
        <v>416</v>
      </c>
      <c r="F1346" s="370">
        <v>200000</v>
      </c>
      <c r="G1346" s="370">
        <v>200000</v>
      </c>
      <c r="H1346" s="368">
        <f t="shared" si="42"/>
        <v>100</v>
      </c>
      <c r="I1346" s="147" t="str">
        <f t="shared" si="43"/>
        <v>0707013008П000244</v>
      </c>
    </row>
    <row r="1347" spans="1:9">
      <c r="A1347" s="54" t="s">
        <v>4</v>
      </c>
      <c r="B1347" s="262" t="s">
        <v>248</v>
      </c>
      <c r="C1347" s="262" t="s">
        <v>509</v>
      </c>
      <c r="D1347" s="262" t="s">
        <v>1468</v>
      </c>
      <c r="E1347" s="263" t="s">
        <v>1468</v>
      </c>
      <c r="F1347" s="370">
        <v>78997921.5</v>
      </c>
      <c r="G1347" s="370">
        <v>75867807.120000005</v>
      </c>
      <c r="H1347" s="368">
        <f t="shared" si="42"/>
        <v>96.037725650794499</v>
      </c>
      <c r="I1347" s="147" t="str">
        <f t="shared" si="43"/>
        <v>0709</v>
      </c>
    </row>
    <row r="1348" spans="1:9" ht="25.5">
      <c r="A1348" s="54" t="s">
        <v>535</v>
      </c>
      <c r="B1348" s="262" t="s">
        <v>248</v>
      </c>
      <c r="C1348" s="262" t="s">
        <v>509</v>
      </c>
      <c r="D1348" s="262" t="s">
        <v>1105</v>
      </c>
      <c r="E1348" s="263" t="s">
        <v>1468</v>
      </c>
      <c r="F1348" s="370">
        <v>78997921.5</v>
      </c>
      <c r="G1348" s="370">
        <v>75867807.120000005</v>
      </c>
      <c r="H1348" s="368">
        <f t="shared" si="42"/>
        <v>96.037725650794499</v>
      </c>
      <c r="I1348" s="147" t="str">
        <f t="shared" si="43"/>
        <v>07090100000000</v>
      </c>
    </row>
    <row r="1349" spans="1:9" ht="38.25">
      <c r="A1349" s="54" t="s">
        <v>538</v>
      </c>
      <c r="B1349" s="262" t="s">
        <v>248</v>
      </c>
      <c r="C1349" s="262" t="s">
        <v>509</v>
      </c>
      <c r="D1349" s="262" t="s">
        <v>1356</v>
      </c>
      <c r="E1349" s="263" t="s">
        <v>1468</v>
      </c>
      <c r="F1349" s="370">
        <v>4940480</v>
      </c>
      <c r="G1349" s="370">
        <v>4610795.05</v>
      </c>
      <c r="H1349" s="368">
        <f t="shared" si="42"/>
        <v>93.326863988924146</v>
      </c>
      <c r="I1349" s="147" t="str">
        <f t="shared" si="43"/>
        <v>07090120000000</v>
      </c>
    </row>
    <row r="1350" spans="1:9" ht="102">
      <c r="A1350" s="54" t="s">
        <v>510</v>
      </c>
      <c r="B1350" s="262" t="s">
        <v>248</v>
      </c>
      <c r="C1350" s="262" t="s">
        <v>509</v>
      </c>
      <c r="D1350" s="262" t="s">
        <v>1346</v>
      </c>
      <c r="E1350" s="263" t="s">
        <v>1468</v>
      </c>
      <c r="F1350" s="370">
        <v>4940480</v>
      </c>
      <c r="G1350" s="370">
        <v>4610795.05</v>
      </c>
      <c r="H1350" s="368">
        <f t="shared" si="42"/>
        <v>93.326863988924146</v>
      </c>
      <c r="I1350" s="147" t="str">
        <f t="shared" si="43"/>
        <v>07090120075520</v>
      </c>
    </row>
    <row r="1351" spans="1:9" ht="63.75">
      <c r="A1351" s="54" t="s">
        <v>1754</v>
      </c>
      <c r="B1351" s="262" t="s">
        <v>248</v>
      </c>
      <c r="C1351" s="262" t="s">
        <v>509</v>
      </c>
      <c r="D1351" s="262" t="s">
        <v>1346</v>
      </c>
      <c r="E1351" s="263" t="s">
        <v>322</v>
      </c>
      <c r="F1351" s="370">
        <v>3865661</v>
      </c>
      <c r="G1351" s="370">
        <f>G1352</f>
        <v>3595246.7699999996</v>
      </c>
      <c r="H1351" s="368">
        <f t="shared" si="42"/>
        <v>93.004709155820947</v>
      </c>
      <c r="I1351" s="147" t="str">
        <f t="shared" si="43"/>
        <v>07090120075520100</v>
      </c>
    </row>
    <row r="1352" spans="1:9" ht="25.5">
      <c r="A1352" s="54" t="s">
        <v>1509</v>
      </c>
      <c r="B1352" s="262" t="s">
        <v>248</v>
      </c>
      <c r="C1352" s="262" t="s">
        <v>509</v>
      </c>
      <c r="D1352" s="262" t="s">
        <v>1346</v>
      </c>
      <c r="E1352" s="263" t="s">
        <v>37</v>
      </c>
      <c r="F1352" s="370">
        <v>3865661</v>
      </c>
      <c r="G1352" s="370">
        <f>G1353+G1354+G1355</f>
        <v>3595246.7699999996</v>
      </c>
      <c r="H1352" s="368">
        <f t="shared" ref="H1352:H1415" si="44">G1352/F1352*100</f>
        <v>93.004709155820947</v>
      </c>
      <c r="I1352" s="147" t="str">
        <f t="shared" si="43"/>
        <v>07090120075520120</v>
      </c>
    </row>
    <row r="1353" spans="1:9" ht="25.5">
      <c r="A1353" s="54" t="s">
        <v>1081</v>
      </c>
      <c r="B1353" s="262" t="s">
        <v>248</v>
      </c>
      <c r="C1353" s="262" t="s">
        <v>509</v>
      </c>
      <c r="D1353" s="262" t="s">
        <v>1346</v>
      </c>
      <c r="E1353" s="263" t="s">
        <v>411</v>
      </c>
      <c r="F1353" s="370">
        <v>2807798</v>
      </c>
      <c r="G1353" s="370">
        <v>2744193.96</v>
      </c>
      <c r="H1353" s="368">
        <f t="shared" si="44"/>
        <v>97.734735903366271</v>
      </c>
      <c r="I1353" s="147" t="str">
        <f t="shared" si="43"/>
        <v>07090120075520121</v>
      </c>
    </row>
    <row r="1354" spans="1:9" ht="38.25">
      <c r="A1354" s="54" t="s">
        <v>412</v>
      </c>
      <c r="B1354" s="262" t="s">
        <v>248</v>
      </c>
      <c r="C1354" s="262" t="s">
        <v>509</v>
      </c>
      <c r="D1354" s="262" t="s">
        <v>1346</v>
      </c>
      <c r="E1354" s="263" t="s">
        <v>413</v>
      </c>
      <c r="F1354" s="370">
        <v>209908</v>
      </c>
      <c r="G1354" s="370">
        <v>46634.3</v>
      </c>
      <c r="H1354" s="368">
        <f t="shared" si="44"/>
        <v>22.216542485279266</v>
      </c>
      <c r="I1354" s="147" t="str">
        <f t="shared" si="43"/>
        <v>07090120075520122</v>
      </c>
    </row>
    <row r="1355" spans="1:9" ht="51">
      <c r="A1355" s="54" t="s">
        <v>1195</v>
      </c>
      <c r="B1355" s="262" t="s">
        <v>248</v>
      </c>
      <c r="C1355" s="262" t="s">
        <v>509</v>
      </c>
      <c r="D1355" s="262" t="s">
        <v>1346</v>
      </c>
      <c r="E1355" s="263" t="s">
        <v>1196</v>
      </c>
      <c r="F1355" s="370">
        <v>847955</v>
      </c>
      <c r="G1355" s="370">
        <v>804418.51</v>
      </c>
      <c r="H1355" s="368">
        <f t="shared" si="44"/>
        <v>94.865707496270431</v>
      </c>
      <c r="I1355" s="147" t="str">
        <f t="shared" si="43"/>
        <v>07090120075520129</v>
      </c>
    </row>
    <row r="1356" spans="1:9" ht="25.5">
      <c r="A1356" s="54" t="s">
        <v>1755</v>
      </c>
      <c r="B1356" s="262" t="s">
        <v>248</v>
      </c>
      <c r="C1356" s="262" t="s">
        <v>509</v>
      </c>
      <c r="D1356" s="262" t="s">
        <v>1346</v>
      </c>
      <c r="E1356" s="263" t="s">
        <v>1756</v>
      </c>
      <c r="F1356" s="370">
        <v>1074819</v>
      </c>
      <c r="G1356" s="370">
        <v>1015548.28</v>
      </c>
      <c r="H1356" s="368">
        <f t="shared" si="44"/>
        <v>94.485516165977714</v>
      </c>
      <c r="I1356" s="147" t="str">
        <f t="shared" si="43"/>
        <v>07090120075520200</v>
      </c>
    </row>
    <row r="1357" spans="1:9" ht="38.25">
      <c r="A1357" s="54" t="s">
        <v>1502</v>
      </c>
      <c r="B1357" s="262" t="s">
        <v>248</v>
      </c>
      <c r="C1357" s="262" t="s">
        <v>509</v>
      </c>
      <c r="D1357" s="262" t="s">
        <v>1346</v>
      </c>
      <c r="E1357" s="263" t="s">
        <v>1503</v>
      </c>
      <c r="F1357" s="370">
        <v>1074819</v>
      </c>
      <c r="G1357" s="370">
        <v>1015548.28</v>
      </c>
      <c r="H1357" s="368">
        <f t="shared" si="44"/>
        <v>94.485516165977714</v>
      </c>
      <c r="I1357" s="147" t="str">
        <f t="shared" si="43"/>
        <v>07090120075520240</v>
      </c>
    </row>
    <row r="1358" spans="1:9">
      <c r="A1358" s="54" t="s">
        <v>1577</v>
      </c>
      <c r="B1358" s="262" t="s">
        <v>248</v>
      </c>
      <c r="C1358" s="262" t="s">
        <v>509</v>
      </c>
      <c r="D1358" s="262" t="s">
        <v>1346</v>
      </c>
      <c r="E1358" s="263" t="s">
        <v>416</v>
      </c>
      <c r="F1358" s="370">
        <v>1074819</v>
      </c>
      <c r="G1358" s="370">
        <v>1015548.28</v>
      </c>
      <c r="H1358" s="368">
        <f t="shared" si="44"/>
        <v>94.485516165977714</v>
      </c>
      <c r="I1358" s="147" t="str">
        <f t="shared" si="43"/>
        <v>07090120075520244</v>
      </c>
    </row>
    <row r="1359" spans="1:9" ht="38.25">
      <c r="A1359" s="54" t="s">
        <v>725</v>
      </c>
      <c r="B1359" s="262" t="s">
        <v>248</v>
      </c>
      <c r="C1359" s="262" t="s">
        <v>509</v>
      </c>
      <c r="D1359" s="262" t="s">
        <v>1107</v>
      </c>
      <c r="E1359" s="263" t="s">
        <v>1468</v>
      </c>
      <c r="F1359" s="370">
        <v>74057441.5</v>
      </c>
      <c r="G1359" s="370">
        <v>71257012.069999993</v>
      </c>
      <c r="H1359" s="368">
        <f t="shared" si="44"/>
        <v>96.21857118842</v>
      </c>
      <c r="I1359" s="147" t="str">
        <f t="shared" si="43"/>
        <v>07090130000000</v>
      </c>
    </row>
    <row r="1360" spans="1:9" ht="76.5">
      <c r="A1360" s="54" t="s">
        <v>719</v>
      </c>
      <c r="B1360" s="262" t="s">
        <v>248</v>
      </c>
      <c r="C1360" s="262" t="s">
        <v>509</v>
      </c>
      <c r="D1360" s="262" t="s">
        <v>1349</v>
      </c>
      <c r="E1360" s="263" t="s">
        <v>1468</v>
      </c>
      <c r="F1360" s="370">
        <v>42304582.189999998</v>
      </c>
      <c r="G1360" s="370">
        <v>41782208.560000002</v>
      </c>
      <c r="H1360" s="368">
        <f t="shared" si="44"/>
        <v>98.765207920849122</v>
      </c>
      <c r="I1360" s="147" t="str">
        <f t="shared" si="43"/>
        <v>07090130040000</v>
      </c>
    </row>
    <row r="1361" spans="1:9" ht="63.75">
      <c r="A1361" s="54" t="s">
        <v>1754</v>
      </c>
      <c r="B1361" s="262" t="s">
        <v>248</v>
      </c>
      <c r="C1361" s="262" t="s">
        <v>509</v>
      </c>
      <c r="D1361" s="262" t="s">
        <v>1349</v>
      </c>
      <c r="E1361" s="263" t="s">
        <v>322</v>
      </c>
      <c r="F1361" s="370">
        <v>38359248.990000002</v>
      </c>
      <c r="G1361" s="370">
        <f>G1362</f>
        <v>38148895.329999998</v>
      </c>
      <c r="H1361" s="368">
        <f t="shared" si="44"/>
        <v>99.451622058464068</v>
      </c>
      <c r="I1361" s="147" t="str">
        <f t="shared" si="43"/>
        <v>07090130040000100</v>
      </c>
    </row>
    <row r="1362" spans="1:9" ht="25.5">
      <c r="A1362" s="54" t="s">
        <v>1487</v>
      </c>
      <c r="B1362" s="262" t="s">
        <v>248</v>
      </c>
      <c r="C1362" s="262" t="s">
        <v>509</v>
      </c>
      <c r="D1362" s="262" t="s">
        <v>1349</v>
      </c>
      <c r="E1362" s="263" t="s">
        <v>165</v>
      </c>
      <c r="F1362" s="370">
        <v>38359248.990000002</v>
      </c>
      <c r="G1362" s="370">
        <f>G1363+G1364+G1365</f>
        <v>38148895.329999998</v>
      </c>
      <c r="H1362" s="368">
        <f t="shared" si="44"/>
        <v>99.451622058464068</v>
      </c>
      <c r="I1362" s="147" t="str">
        <f t="shared" si="43"/>
        <v>07090130040000110</v>
      </c>
    </row>
    <row r="1363" spans="1:9">
      <c r="A1363" s="54" t="s">
        <v>1360</v>
      </c>
      <c r="B1363" s="262" t="s">
        <v>248</v>
      </c>
      <c r="C1363" s="262" t="s">
        <v>509</v>
      </c>
      <c r="D1363" s="262" t="s">
        <v>1349</v>
      </c>
      <c r="E1363" s="263" t="s">
        <v>430</v>
      </c>
      <c r="F1363" s="370">
        <v>28994332.48</v>
      </c>
      <c r="G1363" s="370">
        <v>28981209.809999999</v>
      </c>
      <c r="H1363" s="368">
        <f t="shared" si="44"/>
        <v>99.954740568664405</v>
      </c>
      <c r="I1363" s="147" t="str">
        <f t="shared" si="43"/>
        <v>07090130040000111</v>
      </c>
    </row>
    <row r="1364" spans="1:9" ht="25.5">
      <c r="A1364" s="54" t="s">
        <v>1369</v>
      </c>
      <c r="B1364" s="262" t="s">
        <v>248</v>
      </c>
      <c r="C1364" s="262" t="s">
        <v>509</v>
      </c>
      <c r="D1364" s="262" t="s">
        <v>1349</v>
      </c>
      <c r="E1364" s="263" t="s">
        <v>479</v>
      </c>
      <c r="F1364" s="370">
        <v>337688.7</v>
      </c>
      <c r="G1364" s="370">
        <v>321191.07</v>
      </c>
      <c r="H1364" s="368">
        <f t="shared" si="44"/>
        <v>95.114544845593002</v>
      </c>
      <c r="I1364" s="147" t="str">
        <f t="shared" si="43"/>
        <v>07090130040000112</v>
      </c>
    </row>
    <row r="1365" spans="1:9" ht="51">
      <c r="A1365" s="54" t="s">
        <v>1361</v>
      </c>
      <c r="B1365" s="262" t="s">
        <v>248</v>
      </c>
      <c r="C1365" s="262" t="s">
        <v>509</v>
      </c>
      <c r="D1365" s="262" t="s">
        <v>1349</v>
      </c>
      <c r="E1365" s="263" t="s">
        <v>1197</v>
      </c>
      <c r="F1365" s="370">
        <v>9027227.8100000005</v>
      </c>
      <c r="G1365" s="370">
        <v>8846494.4499999993</v>
      </c>
      <c r="H1365" s="368">
        <f t="shared" si="44"/>
        <v>97.997908507418046</v>
      </c>
      <c r="I1365" s="147" t="str">
        <f t="shared" si="43"/>
        <v>07090130040000119</v>
      </c>
    </row>
    <row r="1366" spans="1:9" ht="25.5">
      <c r="A1366" s="54" t="s">
        <v>1755</v>
      </c>
      <c r="B1366" s="262" t="s">
        <v>248</v>
      </c>
      <c r="C1366" s="262" t="s">
        <v>509</v>
      </c>
      <c r="D1366" s="262" t="s">
        <v>1349</v>
      </c>
      <c r="E1366" s="263" t="s">
        <v>1756</v>
      </c>
      <c r="F1366" s="370">
        <v>3941112.01</v>
      </c>
      <c r="G1366" s="370">
        <v>3629592.04</v>
      </c>
      <c r="H1366" s="368">
        <f t="shared" si="44"/>
        <v>92.095632673987367</v>
      </c>
      <c r="I1366" s="147" t="str">
        <f t="shared" si="43"/>
        <v>07090130040000200</v>
      </c>
    </row>
    <row r="1367" spans="1:9" ht="38.25">
      <c r="A1367" s="54" t="s">
        <v>1502</v>
      </c>
      <c r="B1367" s="262" t="s">
        <v>248</v>
      </c>
      <c r="C1367" s="262" t="s">
        <v>509</v>
      </c>
      <c r="D1367" s="262" t="s">
        <v>1349</v>
      </c>
      <c r="E1367" s="263" t="s">
        <v>1503</v>
      </c>
      <c r="F1367" s="370">
        <v>3941112.01</v>
      </c>
      <c r="G1367" s="370">
        <v>3629592.04</v>
      </c>
      <c r="H1367" s="368">
        <f t="shared" si="44"/>
        <v>92.095632673987367</v>
      </c>
      <c r="I1367" s="147" t="str">
        <f t="shared" si="43"/>
        <v>07090130040000240</v>
      </c>
    </row>
    <row r="1368" spans="1:9">
      <c r="A1368" s="54" t="s">
        <v>1577</v>
      </c>
      <c r="B1368" s="262" t="s">
        <v>248</v>
      </c>
      <c r="C1368" s="262" t="s">
        <v>509</v>
      </c>
      <c r="D1368" s="262" t="s">
        <v>1349</v>
      </c>
      <c r="E1368" s="263" t="s">
        <v>416</v>
      </c>
      <c r="F1368" s="370">
        <v>3941112.01</v>
      </c>
      <c r="G1368" s="370">
        <v>3629592.04</v>
      </c>
      <c r="H1368" s="368">
        <f t="shared" si="44"/>
        <v>92.095632673987367</v>
      </c>
      <c r="I1368" s="147" t="str">
        <f t="shared" si="43"/>
        <v>07090130040000244</v>
      </c>
    </row>
    <row r="1369" spans="1:9">
      <c r="A1369" s="54" t="s">
        <v>1757</v>
      </c>
      <c r="B1369" s="262" t="s">
        <v>248</v>
      </c>
      <c r="C1369" s="262" t="s">
        <v>509</v>
      </c>
      <c r="D1369" s="262" t="s">
        <v>1349</v>
      </c>
      <c r="E1369" s="263" t="s">
        <v>1758</v>
      </c>
      <c r="F1369" s="370">
        <v>4221.1899999999996</v>
      </c>
      <c r="G1369" s="370">
        <v>3721.19</v>
      </c>
      <c r="H1369" s="368">
        <f t="shared" si="44"/>
        <v>88.154998945794915</v>
      </c>
      <c r="I1369" s="147" t="str">
        <f t="shared" si="43"/>
        <v>07090130040000800</v>
      </c>
    </row>
    <row r="1370" spans="1:9">
      <c r="A1370" s="54" t="s">
        <v>1507</v>
      </c>
      <c r="B1370" s="262" t="s">
        <v>248</v>
      </c>
      <c r="C1370" s="262" t="s">
        <v>509</v>
      </c>
      <c r="D1370" s="262" t="s">
        <v>1349</v>
      </c>
      <c r="E1370" s="263" t="s">
        <v>1508</v>
      </c>
      <c r="F1370" s="370">
        <v>4221.1899999999996</v>
      </c>
      <c r="G1370" s="370">
        <v>3721.19</v>
      </c>
      <c r="H1370" s="368">
        <f t="shared" si="44"/>
        <v>88.154998945794915</v>
      </c>
      <c r="I1370" s="147" t="str">
        <f t="shared" si="43"/>
        <v>07090130040000850</v>
      </c>
    </row>
    <row r="1371" spans="1:9">
      <c r="A1371" s="54" t="s">
        <v>1198</v>
      </c>
      <c r="B1371" s="262" t="s">
        <v>248</v>
      </c>
      <c r="C1371" s="262" t="s">
        <v>509</v>
      </c>
      <c r="D1371" s="262" t="s">
        <v>1349</v>
      </c>
      <c r="E1371" s="263" t="s">
        <v>1199</v>
      </c>
      <c r="F1371" s="370">
        <v>4221.1899999999996</v>
      </c>
      <c r="G1371" s="370">
        <v>3721.19</v>
      </c>
      <c r="H1371" s="368">
        <f t="shared" si="44"/>
        <v>88.154998945794915</v>
      </c>
      <c r="I1371" s="147" t="str">
        <f t="shared" si="43"/>
        <v>07090130040000853</v>
      </c>
    </row>
    <row r="1372" spans="1:9" ht="89.25">
      <c r="A1372" s="54" t="s">
        <v>720</v>
      </c>
      <c r="B1372" s="262" t="s">
        <v>248</v>
      </c>
      <c r="C1372" s="262" t="s">
        <v>509</v>
      </c>
      <c r="D1372" s="262" t="s">
        <v>1355</v>
      </c>
      <c r="E1372" s="263" t="s">
        <v>1468</v>
      </c>
      <c r="F1372" s="370">
        <v>782598.03</v>
      </c>
      <c r="G1372" s="370">
        <v>764684.51</v>
      </c>
      <c r="H1372" s="368">
        <f t="shared" si="44"/>
        <v>97.711019027226527</v>
      </c>
      <c r="I1372" s="147" t="str">
        <f t="shared" si="43"/>
        <v>07090130040050</v>
      </c>
    </row>
    <row r="1373" spans="1:9" ht="63.75">
      <c r="A1373" s="54" t="s">
        <v>1754</v>
      </c>
      <c r="B1373" s="262" t="s">
        <v>248</v>
      </c>
      <c r="C1373" s="262" t="s">
        <v>509</v>
      </c>
      <c r="D1373" s="262" t="s">
        <v>1355</v>
      </c>
      <c r="E1373" s="263" t="s">
        <v>322</v>
      </c>
      <c r="F1373" s="370">
        <v>782598.03</v>
      </c>
      <c r="G1373" s="370">
        <v>764684.51</v>
      </c>
      <c r="H1373" s="368">
        <f t="shared" si="44"/>
        <v>97.711019027226527</v>
      </c>
      <c r="I1373" s="147" t="str">
        <f t="shared" si="43"/>
        <v>07090130040050100</v>
      </c>
    </row>
    <row r="1374" spans="1:9" ht="25.5">
      <c r="A1374" s="54" t="s">
        <v>1487</v>
      </c>
      <c r="B1374" s="262" t="s">
        <v>248</v>
      </c>
      <c r="C1374" s="262" t="s">
        <v>509</v>
      </c>
      <c r="D1374" s="262" t="s">
        <v>1355</v>
      </c>
      <c r="E1374" s="263" t="s">
        <v>165</v>
      </c>
      <c r="F1374" s="370">
        <v>782598.03</v>
      </c>
      <c r="G1374" s="370">
        <v>764684.51</v>
      </c>
      <c r="H1374" s="368">
        <f t="shared" si="44"/>
        <v>97.711019027226527</v>
      </c>
      <c r="I1374" s="147" t="str">
        <f t="shared" si="43"/>
        <v>07090130040050110</v>
      </c>
    </row>
    <row r="1375" spans="1:9">
      <c r="A1375" s="54" t="s">
        <v>1360</v>
      </c>
      <c r="B1375" s="262" t="s">
        <v>248</v>
      </c>
      <c r="C1375" s="262" t="s">
        <v>509</v>
      </c>
      <c r="D1375" s="262" t="s">
        <v>1355</v>
      </c>
      <c r="E1375" s="263" t="s">
        <v>430</v>
      </c>
      <c r="F1375" s="370">
        <v>588572.39</v>
      </c>
      <c r="G1375" s="370">
        <v>574060.39</v>
      </c>
      <c r="H1375" s="368">
        <f t="shared" si="44"/>
        <v>97.534372959628641</v>
      </c>
      <c r="I1375" s="147" t="str">
        <f t="shared" si="43"/>
        <v>07090130040050111</v>
      </c>
    </row>
    <row r="1376" spans="1:9" ht="51">
      <c r="A1376" s="54" t="s">
        <v>1361</v>
      </c>
      <c r="B1376" s="262" t="s">
        <v>248</v>
      </c>
      <c r="C1376" s="262" t="s">
        <v>509</v>
      </c>
      <c r="D1376" s="262" t="s">
        <v>1355</v>
      </c>
      <c r="E1376" s="263" t="s">
        <v>1197</v>
      </c>
      <c r="F1376" s="370">
        <v>194025.64</v>
      </c>
      <c r="G1376" s="370">
        <v>190624.12</v>
      </c>
      <c r="H1376" s="368">
        <f t="shared" si="44"/>
        <v>98.246870877477832</v>
      </c>
      <c r="I1376" s="147" t="str">
        <f t="shared" si="43"/>
        <v>07090130040050119</v>
      </c>
    </row>
    <row r="1377" spans="1:9" ht="114.75">
      <c r="A1377" s="54" t="s">
        <v>732</v>
      </c>
      <c r="B1377" s="262" t="s">
        <v>248</v>
      </c>
      <c r="C1377" s="262" t="s">
        <v>509</v>
      </c>
      <c r="D1377" s="262" t="s">
        <v>1350</v>
      </c>
      <c r="E1377" s="263" t="s">
        <v>1468</v>
      </c>
      <c r="F1377" s="370">
        <v>20166303</v>
      </c>
      <c r="G1377" s="370">
        <v>20166303</v>
      </c>
      <c r="H1377" s="368">
        <f t="shared" si="44"/>
        <v>100</v>
      </c>
      <c r="I1377" s="147" t="str">
        <f t="shared" si="43"/>
        <v>07090130041000</v>
      </c>
    </row>
    <row r="1378" spans="1:9" ht="63.75">
      <c r="A1378" s="54" t="s">
        <v>1754</v>
      </c>
      <c r="B1378" s="262" t="s">
        <v>248</v>
      </c>
      <c r="C1378" s="262" t="s">
        <v>509</v>
      </c>
      <c r="D1378" s="262" t="s">
        <v>1350</v>
      </c>
      <c r="E1378" s="263" t="s">
        <v>322</v>
      </c>
      <c r="F1378" s="370">
        <v>20166303</v>
      </c>
      <c r="G1378" s="370">
        <v>20166303</v>
      </c>
      <c r="H1378" s="368">
        <f t="shared" si="44"/>
        <v>100</v>
      </c>
      <c r="I1378" s="147" t="str">
        <f t="shared" si="43"/>
        <v>07090130041000100</v>
      </c>
    </row>
    <row r="1379" spans="1:9" ht="25.5">
      <c r="A1379" s="54" t="s">
        <v>1487</v>
      </c>
      <c r="B1379" s="262" t="s">
        <v>248</v>
      </c>
      <c r="C1379" s="262" t="s">
        <v>509</v>
      </c>
      <c r="D1379" s="262" t="s">
        <v>1350</v>
      </c>
      <c r="E1379" s="263" t="s">
        <v>165</v>
      </c>
      <c r="F1379" s="370">
        <v>20166303</v>
      </c>
      <c r="G1379" s="370">
        <v>20166303</v>
      </c>
      <c r="H1379" s="368">
        <f t="shared" si="44"/>
        <v>100</v>
      </c>
      <c r="I1379" s="147" t="str">
        <f t="shared" si="43"/>
        <v>07090130041000110</v>
      </c>
    </row>
    <row r="1380" spans="1:9">
      <c r="A1380" s="54" t="s">
        <v>1360</v>
      </c>
      <c r="B1380" s="262" t="s">
        <v>248</v>
      </c>
      <c r="C1380" s="262" t="s">
        <v>509</v>
      </c>
      <c r="D1380" s="262" t="s">
        <v>1350</v>
      </c>
      <c r="E1380" s="263" t="s">
        <v>430</v>
      </c>
      <c r="F1380" s="370">
        <v>15424594</v>
      </c>
      <c r="G1380" s="370">
        <v>15424594</v>
      </c>
      <c r="H1380" s="368">
        <f t="shared" si="44"/>
        <v>100</v>
      </c>
      <c r="I1380" s="147" t="str">
        <f t="shared" si="43"/>
        <v>07090130041000111</v>
      </c>
    </row>
    <row r="1381" spans="1:9" ht="51">
      <c r="A1381" s="54" t="s">
        <v>1361</v>
      </c>
      <c r="B1381" s="262" t="s">
        <v>248</v>
      </c>
      <c r="C1381" s="262" t="s">
        <v>509</v>
      </c>
      <c r="D1381" s="262" t="s">
        <v>1350</v>
      </c>
      <c r="E1381" s="263" t="s">
        <v>1197</v>
      </c>
      <c r="F1381" s="370">
        <v>4741709</v>
      </c>
      <c r="G1381" s="370">
        <v>4741709</v>
      </c>
      <c r="H1381" s="368">
        <f t="shared" si="44"/>
        <v>100</v>
      </c>
      <c r="I1381" s="147" t="str">
        <f t="shared" si="43"/>
        <v>07090130041000119</v>
      </c>
    </row>
    <row r="1382" spans="1:9" ht="89.25">
      <c r="A1382" s="54" t="s">
        <v>721</v>
      </c>
      <c r="B1382" s="262" t="s">
        <v>248</v>
      </c>
      <c r="C1382" s="262" t="s">
        <v>509</v>
      </c>
      <c r="D1382" s="262" t="s">
        <v>1351</v>
      </c>
      <c r="E1382" s="263" t="s">
        <v>1468</v>
      </c>
      <c r="F1382" s="370">
        <v>376984.08</v>
      </c>
      <c r="G1382" s="370">
        <v>376984.08</v>
      </c>
      <c r="H1382" s="368">
        <f t="shared" si="44"/>
        <v>100</v>
      </c>
      <c r="I1382" s="147" t="str">
        <f t="shared" si="43"/>
        <v>07090130047000</v>
      </c>
    </row>
    <row r="1383" spans="1:9" ht="63.75">
      <c r="A1383" s="54" t="s">
        <v>1754</v>
      </c>
      <c r="B1383" s="262" t="s">
        <v>248</v>
      </c>
      <c r="C1383" s="262" t="s">
        <v>509</v>
      </c>
      <c r="D1383" s="262" t="s">
        <v>1351</v>
      </c>
      <c r="E1383" s="263" t="s">
        <v>322</v>
      </c>
      <c r="F1383" s="370">
        <v>376984.08</v>
      </c>
      <c r="G1383" s="370">
        <v>376984.08</v>
      </c>
      <c r="H1383" s="368">
        <f t="shared" si="44"/>
        <v>100</v>
      </c>
      <c r="I1383" s="147" t="str">
        <f t="shared" si="43"/>
        <v>07090130047000100</v>
      </c>
    </row>
    <row r="1384" spans="1:9" ht="25.5">
      <c r="A1384" s="54" t="s">
        <v>1487</v>
      </c>
      <c r="B1384" s="262" t="s">
        <v>248</v>
      </c>
      <c r="C1384" s="262" t="s">
        <v>509</v>
      </c>
      <c r="D1384" s="262" t="s">
        <v>1351</v>
      </c>
      <c r="E1384" s="263" t="s">
        <v>165</v>
      </c>
      <c r="F1384" s="370">
        <v>376984.08</v>
      </c>
      <c r="G1384" s="370">
        <v>376984.08</v>
      </c>
      <c r="H1384" s="368">
        <f t="shared" si="44"/>
        <v>100</v>
      </c>
      <c r="I1384" s="147" t="str">
        <f t="shared" si="43"/>
        <v>07090130047000110</v>
      </c>
    </row>
    <row r="1385" spans="1:9" ht="25.5">
      <c r="A1385" s="54" t="s">
        <v>1369</v>
      </c>
      <c r="B1385" s="262" t="s">
        <v>248</v>
      </c>
      <c r="C1385" s="262" t="s">
        <v>509</v>
      </c>
      <c r="D1385" s="262" t="s">
        <v>1351</v>
      </c>
      <c r="E1385" s="263" t="s">
        <v>479</v>
      </c>
      <c r="F1385" s="370">
        <v>376984.08</v>
      </c>
      <c r="G1385" s="370">
        <v>376984.08</v>
      </c>
      <c r="H1385" s="368">
        <f t="shared" si="44"/>
        <v>100</v>
      </c>
      <c r="I1385" s="147" t="str">
        <f t="shared" ref="I1385:I1448" si="45">CONCATENATE(C1385,D1385,E1385)</f>
        <v>07090130047000112</v>
      </c>
    </row>
    <row r="1386" spans="1:9" ht="76.5">
      <c r="A1386" s="54" t="s">
        <v>722</v>
      </c>
      <c r="B1386" s="262" t="s">
        <v>248</v>
      </c>
      <c r="C1386" s="262" t="s">
        <v>509</v>
      </c>
      <c r="D1386" s="262" t="s">
        <v>1352</v>
      </c>
      <c r="E1386" s="263" t="s">
        <v>1468</v>
      </c>
      <c r="F1386" s="370">
        <v>395778.91</v>
      </c>
      <c r="G1386" s="370">
        <v>212914.24</v>
      </c>
      <c r="H1386" s="368">
        <f t="shared" si="44"/>
        <v>53.79625710728245</v>
      </c>
      <c r="I1386" s="147" t="str">
        <f t="shared" si="45"/>
        <v>0709013004Г000</v>
      </c>
    </row>
    <row r="1387" spans="1:9" ht="25.5">
      <c r="A1387" s="54" t="s">
        <v>1755</v>
      </c>
      <c r="B1387" s="262" t="s">
        <v>248</v>
      </c>
      <c r="C1387" s="262" t="s">
        <v>509</v>
      </c>
      <c r="D1387" s="262" t="s">
        <v>1352</v>
      </c>
      <c r="E1387" s="263" t="s">
        <v>1756</v>
      </c>
      <c r="F1387" s="370">
        <v>395778.91</v>
      </c>
      <c r="G1387" s="370">
        <v>212914.24</v>
      </c>
      <c r="H1387" s="368">
        <f t="shared" si="44"/>
        <v>53.79625710728245</v>
      </c>
      <c r="I1387" s="147" t="str">
        <f t="shared" si="45"/>
        <v>0709013004Г000200</v>
      </c>
    </row>
    <row r="1388" spans="1:9" ht="38.25">
      <c r="A1388" s="54" t="s">
        <v>1502</v>
      </c>
      <c r="B1388" s="262" t="s">
        <v>248</v>
      </c>
      <c r="C1388" s="262" t="s">
        <v>509</v>
      </c>
      <c r="D1388" s="262" t="s">
        <v>1352</v>
      </c>
      <c r="E1388" s="263" t="s">
        <v>1503</v>
      </c>
      <c r="F1388" s="370">
        <v>395778.91</v>
      </c>
      <c r="G1388" s="370">
        <v>212914.24</v>
      </c>
      <c r="H1388" s="368">
        <f t="shared" si="44"/>
        <v>53.79625710728245</v>
      </c>
      <c r="I1388" s="147" t="str">
        <f t="shared" si="45"/>
        <v>0709013004Г000240</v>
      </c>
    </row>
    <row r="1389" spans="1:9">
      <c r="A1389" s="54" t="s">
        <v>1577</v>
      </c>
      <c r="B1389" s="262" t="s">
        <v>248</v>
      </c>
      <c r="C1389" s="262" t="s">
        <v>509</v>
      </c>
      <c r="D1389" s="262" t="s">
        <v>1352</v>
      </c>
      <c r="E1389" s="263" t="s">
        <v>416</v>
      </c>
      <c r="F1389" s="370">
        <v>395778.91</v>
      </c>
      <c r="G1389" s="370">
        <v>212914.24</v>
      </c>
      <c r="H1389" s="368">
        <f t="shared" si="44"/>
        <v>53.79625710728245</v>
      </c>
      <c r="I1389" s="147" t="str">
        <f t="shared" si="45"/>
        <v>0709013004Г000244</v>
      </c>
    </row>
    <row r="1390" spans="1:9" ht="76.5">
      <c r="A1390" s="54" t="s">
        <v>1943</v>
      </c>
      <c r="B1390" s="262" t="s">
        <v>248</v>
      </c>
      <c r="C1390" s="262" t="s">
        <v>509</v>
      </c>
      <c r="D1390" s="262" t="s">
        <v>1944</v>
      </c>
      <c r="E1390" s="263" t="s">
        <v>1468</v>
      </c>
      <c r="F1390" s="370">
        <v>2159050</v>
      </c>
      <c r="G1390" s="370">
        <v>270792.8</v>
      </c>
      <c r="H1390" s="368">
        <f t="shared" si="44"/>
        <v>12.542219957851833</v>
      </c>
      <c r="I1390" s="147" t="str">
        <f t="shared" si="45"/>
        <v>0709013004Ф000</v>
      </c>
    </row>
    <row r="1391" spans="1:9" ht="25.5">
      <c r="A1391" s="54" t="s">
        <v>1755</v>
      </c>
      <c r="B1391" s="262" t="s">
        <v>248</v>
      </c>
      <c r="C1391" s="262" t="s">
        <v>509</v>
      </c>
      <c r="D1391" s="262" t="s">
        <v>1944</v>
      </c>
      <c r="E1391" s="263" t="s">
        <v>1756</v>
      </c>
      <c r="F1391" s="370">
        <v>2159050</v>
      </c>
      <c r="G1391" s="370">
        <v>270792.8</v>
      </c>
      <c r="H1391" s="368">
        <f t="shared" si="44"/>
        <v>12.542219957851833</v>
      </c>
      <c r="I1391" s="147" t="str">
        <f t="shared" si="45"/>
        <v>0709013004Ф000200</v>
      </c>
    </row>
    <row r="1392" spans="1:9" ht="38.25">
      <c r="A1392" s="54" t="s">
        <v>1502</v>
      </c>
      <c r="B1392" s="262" t="s">
        <v>248</v>
      </c>
      <c r="C1392" s="262" t="s">
        <v>509</v>
      </c>
      <c r="D1392" s="262" t="s">
        <v>1944</v>
      </c>
      <c r="E1392" s="263" t="s">
        <v>1503</v>
      </c>
      <c r="F1392" s="370">
        <v>2159050</v>
      </c>
      <c r="G1392" s="370">
        <v>270792.8</v>
      </c>
      <c r="H1392" s="368">
        <f t="shared" si="44"/>
        <v>12.542219957851833</v>
      </c>
      <c r="I1392" s="147" t="str">
        <f t="shared" si="45"/>
        <v>0709013004Ф000240</v>
      </c>
    </row>
    <row r="1393" spans="1:9">
      <c r="A1393" s="54" t="s">
        <v>1577</v>
      </c>
      <c r="B1393" s="262" t="s">
        <v>248</v>
      </c>
      <c r="C1393" s="262" t="s">
        <v>509</v>
      </c>
      <c r="D1393" s="262" t="s">
        <v>1944</v>
      </c>
      <c r="E1393" s="263" t="s">
        <v>416</v>
      </c>
      <c r="F1393" s="370">
        <v>2159050</v>
      </c>
      <c r="G1393" s="370">
        <v>270792.8</v>
      </c>
      <c r="H1393" s="368">
        <f t="shared" si="44"/>
        <v>12.542219957851833</v>
      </c>
      <c r="I1393" s="147" t="str">
        <f t="shared" si="45"/>
        <v>0709013004Ф000244</v>
      </c>
    </row>
    <row r="1394" spans="1:9" ht="63.75">
      <c r="A1394" s="54" t="s">
        <v>1102</v>
      </c>
      <c r="B1394" s="262" t="s">
        <v>248</v>
      </c>
      <c r="C1394" s="262" t="s">
        <v>509</v>
      </c>
      <c r="D1394" s="262" t="s">
        <v>1376</v>
      </c>
      <c r="E1394" s="263" t="s">
        <v>1468</v>
      </c>
      <c r="F1394" s="370">
        <v>1316199.47</v>
      </c>
      <c r="G1394" s="370">
        <v>1260313.5900000001</v>
      </c>
      <c r="H1394" s="368">
        <f t="shared" si="44"/>
        <v>95.753996162906844</v>
      </c>
      <c r="I1394" s="147" t="str">
        <f t="shared" si="45"/>
        <v>0709013004Э000</v>
      </c>
    </row>
    <row r="1395" spans="1:9" ht="25.5">
      <c r="A1395" s="54" t="s">
        <v>1755</v>
      </c>
      <c r="B1395" s="262" t="s">
        <v>248</v>
      </c>
      <c r="C1395" s="262" t="s">
        <v>509</v>
      </c>
      <c r="D1395" s="262" t="s">
        <v>1376</v>
      </c>
      <c r="E1395" s="263" t="s">
        <v>1756</v>
      </c>
      <c r="F1395" s="370">
        <v>1316199.47</v>
      </c>
      <c r="G1395" s="370">
        <v>1260313.5900000001</v>
      </c>
      <c r="H1395" s="368">
        <f t="shared" si="44"/>
        <v>95.753996162906844</v>
      </c>
      <c r="I1395" s="147" t="str">
        <f t="shared" si="45"/>
        <v>0709013004Э000200</v>
      </c>
    </row>
    <row r="1396" spans="1:9" ht="38.25">
      <c r="A1396" s="54" t="s">
        <v>1502</v>
      </c>
      <c r="B1396" s="262" t="s">
        <v>248</v>
      </c>
      <c r="C1396" s="262" t="s">
        <v>509</v>
      </c>
      <c r="D1396" s="262" t="s">
        <v>1376</v>
      </c>
      <c r="E1396" s="263" t="s">
        <v>1503</v>
      </c>
      <c r="F1396" s="370">
        <v>1316199.47</v>
      </c>
      <c r="G1396" s="370">
        <v>1260313.5900000001</v>
      </c>
      <c r="H1396" s="368">
        <f t="shared" si="44"/>
        <v>95.753996162906844</v>
      </c>
      <c r="I1396" s="147" t="str">
        <f t="shared" si="45"/>
        <v>0709013004Э000240</v>
      </c>
    </row>
    <row r="1397" spans="1:9">
      <c r="A1397" s="54" t="s">
        <v>1577</v>
      </c>
      <c r="B1397" s="262" t="s">
        <v>248</v>
      </c>
      <c r="C1397" s="262" t="s">
        <v>509</v>
      </c>
      <c r="D1397" s="262" t="s">
        <v>1376</v>
      </c>
      <c r="E1397" s="263" t="s">
        <v>416</v>
      </c>
      <c r="F1397" s="370">
        <v>1316199.47</v>
      </c>
      <c r="G1397" s="370">
        <v>1260313.5900000001</v>
      </c>
      <c r="H1397" s="368">
        <f t="shared" si="44"/>
        <v>95.753996162906844</v>
      </c>
      <c r="I1397" s="147" t="str">
        <f t="shared" si="45"/>
        <v>0709013004Э000244</v>
      </c>
    </row>
    <row r="1398" spans="1:9" ht="76.5">
      <c r="A1398" s="54" t="s">
        <v>723</v>
      </c>
      <c r="B1398" s="262" t="s">
        <v>248</v>
      </c>
      <c r="C1398" s="262" t="s">
        <v>509</v>
      </c>
      <c r="D1398" s="262" t="s">
        <v>1353</v>
      </c>
      <c r="E1398" s="263" t="s">
        <v>1468</v>
      </c>
      <c r="F1398" s="370">
        <v>5788723.8200000003</v>
      </c>
      <c r="G1398" s="370">
        <v>5655673.7999999998</v>
      </c>
      <c r="H1398" s="368">
        <f t="shared" si="44"/>
        <v>97.701565593087835</v>
      </c>
      <c r="I1398" s="147" t="str">
        <f t="shared" si="45"/>
        <v>07090130060000</v>
      </c>
    </row>
    <row r="1399" spans="1:9" ht="63.75">
      <c r="A1399" s="54" t="s">
        <v>1754</v>
      </c>
      <c r="B1399" s="262" t="s">
        <v>248</v>
      </c>
      <c r="C1399" s="262" t="s">
        <v>509</v>
      </c>
      <c r="D1399" s="262" t="s">
        <v>1353</v>
      </c>
      <c r="E1399" s="263" t="s">
        <v>322</v>
      </c>
      <c r="F1399" s="370">
        <v>5351126</v>
      </c>
      <c r="G1399" s="370">
        <f>G1400</f>
        <v>5283270.34</v>
      </c>
      <c r="H1399" s="368">
        <f t="shared" si="44"/>
        <v>98.731936792368558</v>
      </c>
      <c r="I1399" s="147" t="str">
        <f t="shared" si="45"/>
        <v>07090130060000100</v>
      </c>
    </row>
    <row r="1400" spans="1:9" ht="25.5">
      <c r="A1400" s="54" t="s">
        <v>1509</v>
      </c>
      <c r="B1400" s="262" t="s">
        <v>248</v>
      </c>
      <c r="C1400" s="262" t="s">
        <v>509</v>
      </c>
      <c r="D1400" s="262" t="s">
        <v>1353</v>
      </c>
      <c r="E1400" s="263" t="s">
        <v>37</v>
      </c>
      <c r="F1400" s="370">
        <v>5351126</v>
      </c>
      <c r="G1400" s="370">
        <f>G1401+G1402+G1403</f>
        <v>5283270.34</v>
      </c>
      <c r="H1400" s="368">
        <f t="shared" si="44"/>
        <v>98.731936792368558</v>
      </c>
      <c r="I1400" s="147" t="str">
        <f t="shared" si="45"/>
        <v>07090130060000120</v>
      </c>
    </row>
    <row r="1401" spans="1:9" ht="25.5">
      <c r="A1401" s="54" t="s">
        <v>1081</v>
      </c>
      <c r="B1401" s="262" t="s">
        <v>248</v>
      </c>
      <c r="C1401" s="262" t="s">
        <v>509</v>
      </c>
      <c r="D1401" s="262" t="s">
        <v>1353</v>
      </c>
      <c r="E1401" s="263" t="s">
        <v>411</v>
      </c>
      <c r="F1401" s="370">
        <v>4056475</v>
      </c>
      <c r="G1401" s="370">
        <v>4025895.68</v>
      </c>
      <c r="H1401" s="368">
        <f t="shared" si="44"/>
        <v>99.246160274622667</v>
      </c>
      <c r="I1401" s="147" t="str">
        <f t="shared" si="45"/>
        <v>07090130060000121</v>
      </c>
    </row>
    <row r="1402" spans="1:9" ht="38.25">
      <c r="A1402" s="54" t="s">
        <v>412</v>
      </c>
      <c r="B1402" s="262" t="s">
        <v>248</v>
      </c>
      <c r="C1402" s="262" t="s">
        <v>509</v>
      </c>
      <c r="D1402" s="262" t="s">
        <v>1353</v>
      </c>
      <c r="E1402" s="263" t="s">
        <v>413</v>
      </c>
      <c r="F1402" s="370">
        <v>69226</v>
      </c>
      <c r="G1402" s="370">
        <v>60690</v>
      </c>
      <c r="H1402" s="368">
        <f t="shared" si="44"/>
        <v>87.669372779013671</v>
      </c>
      <c r="I1402" s="147" t="str">
        <f t="shared" si="45"/>
        <v>07090130060000122</v>
      </c>
    </row>
    <row r="1403" spans="1:9" ht="51">
      <c r="A1403" s="54" t="s">
        <v>1195</v>
      </c>
      <c r="B1403" s="262" t="s">
        <v>248</v>
      </c>
      <c r="C1403" s="262" t="s">
        <v>509</v>
      </c>
      <c r="D1403" s="262" t="s">
        <v>1353</v>
      </c>
      <c r="E1403" s="263" t="s">
        <v>1196</v>
      </c>
      <c r="F1403" s="370">
        <v>1225425</v>
      </c>
      <c r="G1403" s="370">
        <v>1196684.6599999999</v>
      </c>
      <c r="H1403" s="368">
        <f t="shared" si="44"/>
        <v>97.654663484097341</v>
      </c>
      <c r="I1403" s="147" t="str">
        <f t="shared" si="45"/>
        <v>07090130060000129</v>
      </c>
    </row>
    <row r="1404" spans="1:9" ht="25.5">
      <c r="A1404" s="54" t="s">
        <v>1755</v>
      </c>
      <c r="B1404" s="262" t="s">
        <v>248</v>
      </c>
      <c r="C1404" s="262" t="s">
        <v>509</v>
      </c>
      <c r="D1404" s="262" t="s">
        <v>1353</v>
      </c>
      <c r="E1404" s="263" t="s">
        <v>1756</v>
      </c>
      <c r="F1404" s="370">
        <v>434972.82</v>
      </c>
      <c r="G1404" s="370">
        <v>369778.46</v>
      </c>
      <c r="H1404" s="368">
        <f t="shared" si="44"/>
        <v>85.011854303908009</v>
      </c>
      <c r="I1404" s="147" t="str">
        <f t="shared" si="45"/>
        <v>07090130060000200</v>
      </c>
    </row>
    <row r="1405" spans="1:9" ht="38.25">
      <c r="A1405" s="54" t="s">
        <v>1502</v>
      </c>
      <c r="B1405" s="262" t="s">
        <v>248</v>
      </c>
      <c r="C1405" s="262" t="s">
        <v>509</v>
      </c>
      <c r="D1405" s="262" t="s">
        <v>1353</v>
      </c>
      <c r="E1405" s="263" t="s">
        <v>1503</v>
      </c>
      <c r="F1405" s="370">
        <v>434972.82</v>
      </c>
      <c r="G1405" s="370">
        <v>369778.46</v>
      </c>
      <c r="H1405" s="368">
        <f t="shared" si="44"/>
        <v>85.011854303908009</v>
      </c>
      <c r="I1405" s="147" t="str">
        <f t="shared" si="45"/>
        <v>07090130060000240</v>
      </c>
    </row>
    <row r="1406" spans="1:9">
      <c r="A1406" s="54" t="s">
        <v>1577</v>
      </c>
      <c r="B1406" s="262" t="s">
        <v>248</v>
      </c>
      <c r="C1406" s="262" t="s">
        <v>509</v>
      </c>
      <c r="D1406" s="262" t="s">
        <v>1353</v>
      </c>
      <c r="E1406" s="263" t="s">
        <v>416</v>
      </c>
      <c r="F1406" s="370">
        <v>434972.82</v>
      </c>
      <c r="G1406" s="370">
        <v>369778.46</v>
      </c>
      <c r="H1406" s="368">
        <f t="shared" si="44"/>
        <v>85.011854303908009</v>
      </c>
      <c r="I1406" s="147" t="str">
        <f t="shared" si="45"/>
        <v>07090130060000244</v>
      </c>
    </row>
    <row r="1407" spans="1:9">
      <c r="A1407" s="54" t="s">
        <v>1757</v>
      </c>
      <c r="B1407" s="262" t="s">
        <v>248</v>
      </c>
      <c r="C1407" s="262" t="s">
        <v>509</v>
      </c>
      <c r="D1407" s="262" t="s">
        <v>1353</v>
      </c>
      <c r="E1407" s="263" t="s">
        <v>1758</v>
      </c>
      <c r="F1407" s="370">
        <v>2625</v>
      </c>
      <c r="G1407" s="370">
        <f>G1408</f>
        <v>2625</v>
      </c>
      <c r="H1407" s="368">
        <f t="shared" si="44"/>
        <v>100</v>
      </c>
      <c r="I1407" s="147" t="str">
        <f t="shared" si="45"/>
        <v>07090130060000800</v>
      </c>
    </row>
    <row r="1408" spans="1:9">
      <c r="A1408" s="54" t="s">
        <v>1507</v>
      </c>
      <c r="B1408" s="262" t="s">
        <v>248</v>
      </c>
      <c r="C1408" s="262" t="s">
        <v>509</v>
      </c>
      <c r="D1408" s="262" t="s">
        <v>1353</v>
      </c>
      <c r="E1408" s="263" t="s">
        <v>1508</v>
      </c>
      <c r="F1408" s="370">
        <v>2625</v>
      </c>
      <c r="G1408" s="370">
        <f>G1409+G1410</f>
        <v>2625</v>
      </c>
      <c r="H1408" s="368">
        <f t="shared" si="44"/>
        <v>100</v>
      </c>
      <c r="I1408" s="147" t="str">
        <f t="shared" si="45"/>
        <v>07090130060000850</v>
      </c>
    </row>
    <row r="1409" spans="1:9">
      <c r="A1409" s="54" t="s">
        <v>1082</v>
      </c>
      <c r="B1409" s="262" t="s">
        <v>248</v>
      </c>
      <c r="C1409" s="262" t="s">
        <v>509</v>
      </c>
      <c r="D1409" s="262" t="s">
        <v>1353</v>
      </c>
      <c r="E1409" s="263" t="s">
        <v>591</v>
      </c>
      <c r="F1409" s="370">
        <v>2000</v>
      </c>
      <c r="G1409" s="370">
        <v>2000</v>
      </c>
      <c r="H1409" s="368">
        <f t="shared" si="44"/>
        <v>100</v>
      </c>
      <c r="I1409" s="147" t="str">
        <f t="shared" si="45"/>
        <v>07090130060000852</v>
      </c>
    </row>
    <row r="1410" spans="1:9">
      <c r="A1410" s="54" t="s">
        <v>1198</v>
      </c>
      <c r="B1410" s="262" t="s">
        <v>248</v>
      </c>
      <c r="C1410" s="262" t="s">
        <v>509</v>
      </c>
      <c r="D1410" s="262" t="s">
        <v>1353</v>
      </c>
      <c r="E1410" s="263" t="s">
        <v>1199</v>
      </c>
      <c r="F1410" s="370">
        <v>625</v>
      </c>
      <c r="G1410" s="370">
        <v>625</v>
      </c>
      <c r="H1410" s="368">
        <f t="shared" si="44"/>
        <v>100</v>
      </c>
      <c r="I1410" s="147" t="str">
        <f t="shared" si="45"/>
        <v>07090130060000853</v>
      </c>
    </row>
    <row r="1411" spans="1:9" ht="102">
      <c r="A1411" s="54" t="s">
        <v>724</v>
      </c>
      <c r="B1411" s="262" t="s">
        <v>248</v>
      </c>
      <c r="C1411" s="262" t="s">
        <v>509</v>
      </c>
      <c r="D1411" s="262" t="s">
        <v>1354</v>
      </c>
      <c r="E1411" s="263" t="s">
        <v>1468</v>
      </c>
      <c r="F1411" s="370">
        <v>146406</v>
      </c>
      <c r="G1411" s="370">
        <v>146321.49</v>
      </c>
      <c r="H1411" s="368">
        <f t="shared" si="44"/>
        <v>99.942276955862468</v>
      </c>
      <c r="I1411" s="147" t="str">
        <f t="shared" si="45"/>
        <v>07090130067000</v>
      </c>
    </row>
    <row r="1412" spans="1:9" ht="63.75">
      <c r="A1412" s="54" t="s">
        <v>1754</v>
      </c>
      <c r="B1412" s="262" t="s">
        <v>248</v>
      </c>
      <c r="C1412" s="262" t="s">
        <v>509</v>
      </c>
      <c r="D1412" s="262" t="s">
        <v>1354</v>
      </c>
      <c r="E1412" s="263" t="s">
        <v>322</v>
      </c>
      <c r="F1412" s="370">
        <v>146406</v>
      </c>
      <c r="G1412" s="370">
        <v>146321.49</v>
      </c>
      <c r="H1412" s="368">
        <f t="shared" si="44"/>
        <v>99.942276955862468</v>
      </c>
      <c r="I1412" s="147" t="str">
        <f t="shared" si="45"/>
        <v>07090130067000100</v>
      </c>
    </row>
    <row r="1413" spans="1:9" ht="25.5">
      <c r="A1413" s="54" t="s">
        <v>1509</v>
      </c>
      <c r="B1413" s="262" t="s">
        <v>248</v>
      </c>
      <c r="C1413" s="262" t="s">
        <v>509</v>
      </c>
      <c r="D1413" s="262" t="s">
        <v>1354</v>
      </c>
      <c r="E1413" s="263" t="s">
        <v>37</v>
      </c>
      <c r="F1413" s="370">
        <v>146406</v>
      </c>
      <c r="G1413" s="370">
        <v>146321.49</v>
      </c>
      <c r="H1413" s="368">
        <f t="shared" si="44"/>
        <v>99.942276955862468</v>
      </c>
      <c r="I1413" s="147" t="str">
        <f t="shared" si="45"/>
        <v>07090130067000120</v>
      </c>
    </row>
    <row r="1414" spans="1:9" ht="38.25">
      <c r="A1414" s="54" t="s">
        <v>412</v>
      </c>
      <c r="B1414" s="262" t="s">
        <v>248</v>
      </c>
      <c r="C1414" s="262" t="s">
        <v>509</v>
      </c>
      <c r="D1414" s="262" t="s">
        <v>1354</v>
      </c>
      <c r="E1414" s="263" t="s">
        <v>413</v>
      </c>
      <c r="F1414" s="370">
        <v>146406</v>
      </c>
      <c r="G1414" s="370">
        <v>146321.49</v>
      </c>
      <c r="H1414" s="368">
        <f t="shared" si="44"/>
        <v>99.942276955862468</v>
      </c>
      <c r="I1414" s="147" t="str">
        <f t="shared" si="45"/>
        <v>07090130067000122</v>
      </c>
    </row>
    <row r="1415" spans="1:9" ht="76.5">
      <c r="A1415" s="54" t="s">
        <v>2049</v>
      </c>
      <c r="B1415" s="262" t="s">
        <v>248</v>
      </c>
      <c r="C1415" s="262" t="s">
        <v>509</v>
      </c>
      <c r="D1415" s="262" t="s">
        <v>2050</v>
      </c>
      <c r="E1415" s="263" t="s">
        <v>1468</v>
      </c>
      <c r="F1415" s="370">
        <v>50816</v>
      </c>
      <c r="G1415" s="370">
        <v>50816</v>
      </c>
      <c r="H1415" s="368">
        <f t="shared" si="44"/>
        <v>100</v>
      </c>
      <c r="I1415" s="147" t="str">
        <f t="shared" si="45"/>
        <v>0709013006Ф000</v>
      </c>
    </row>
    <row r="1416" spans="1:9" ht="25.5">
      <c r="A1416" s="54" t="s">
        <v>1755</v>
      </c>
      <c r="B1416" s="262" t="s">
        <v>248</v>
      </c>
      <c r="C1416" s="262" t="s">
        <v>509</v>
      </c>
      <c r="D1416" s="262" t="s">
        <v>2050</v>
      </c>
      <c r="E1416" s="263" t="s">
        <v>1756</v>
      </c>
      <c r="F1416" s="370">
        <v>50816</v>
      </c>
      <c r="G1416" s="370">
        <v>50816</v>
      </c>
      <c r="H1416" s="368">
        <f t="shared" ref="H1416:H1479" si="46">G1416/F1416*100</f>
        <v>100</v>
      </c>
      <c r="I1416" s="147" t="str">
        <f t="shared" si="45"/>
        <v>0709013006Ф000200</v>
      </c>
    </row>
    <row r="1417" spans="1:9" ht="38.25">
      <c r="A1417" s="54" t="s">
        <v>1502</v>
      </c>
      <c r="B1417" s="262" t="s">
        <v>248</v>
      </c>
      <c r="C1417" s="262" t="s">
        <v>509</v>
      </c>
      <c r="D1417" s="262" t="s">
        <v>2050</v>
      </c>
      <c r="E1417" s="263" t="s">
        <v>1503</v>
      </c>
      <c r="F1417" s="370">
        <v>50816</v>
      </c>
      <c r="G1417" s="370">
        <v>50816</v>
      </c>
      <c r="H1417" s="368">
        <f t="shared" si="46"/>
        <v>100</v>
      </c>
      <c r="I1417" s="147" t="str">
        <f t="shared" si="45"/>
        <v>0709013006Ф000240</v>
      </c>
    </row>
    <row r="1418" spans="1:9">
      <c r="A1418" s="54" t="s">
        <v>1577</v>
      </c>
      <c r="B1418" s="262" t="s">
        <v>248</v>
      </c>
      <c r="C1418" s="262" t="s">
        <v>509</v>
      </c>
      <c r="D1418" s="262" t="s">
        <v>2050</v>
      </c>
      <c r="E1418" s="263" t="s">
        <v>416</v>
      </c>
      <c r="F1418" s="370">
        <v>50816</v>
      </c>
      <c r="G1418" s="370">
        <v>50816</v>
      </c>
      <c r="H1418" s="368">
        <f t="shared" si="46"/>
        <v>100</v>
      </c>
      <c r="I1418" s="147" t="str">
        <f t="shared" si="45"/>
        <v>0709013006Ф000244</v>
      </c>
    </row>
    <row r="1419" spans="1:9" ht="76.5">
      <c r="A1419" s="54" t="s">
        <v>2025</v>
      </c>
      <c r="B1419" s="262" t="s">
        <v>248</v>
      </c>
      <c r="C1419" s="262" t="s">
        <v>509</v>
      </c>
      <c r="D1419" s="262" t="s">
        <v>2026</v>
      </c>
      <c r="E1419" s="263" t="s">
        <v>1468</v>
      </c>
      <c r="F1419" s="370">
        <v>570000</v>
      </c>
      <c r="G1419" s="370">
        <v>570000</v>
      </c>
      <c r="H1419" s="368">
        <f t="shared" si="46"/>
        <v>100</v>
      </c>
      <c r="I1419" s="147" t="str">
        <f t="shared" si="45"/>
        <v>07090130080020</v>
      </c>
    </row>
    <row r="1420" spans="1:9" ht="25.5">
      <c r="A1420" s="54" t="s">
        <v>1759</v>
      </c>
      <c r="B1420" s="262" t="s">
        <v>248</v>
      </c>
      <c r="C1420" s="262" t="s">
        <v>509</v>
      </c>
      <c r="D1420" s="262" t="s">
        <v>2026</v>
      </c>
      <c r="E1420" s="263" t="s">
        <v>1760</v>
      </c>
      <c r="F1420" s="370">
        <v>570000</v>
      </c>
      <c r="G1420" s="370">
        <v>570000</v>
      </c>
      <c r="H1420" s="368">
        <f t="shared" si="46"/>
        <v>100</v>
      </c>
      <c r="I1420" s="147" t="str">
        <f t="shared" si="45"/>
        <v>07090130080020300</v>
      </c>
    </row>
    <row r="1421" spans="1:9" ht="25.5">
      <c r="A1421" s="54" t="s">
        <v>426</v>
      </c>
      <c r="B1421" s="262" t="s">
        <v>248</v>
      </c>
      <c r="C1421" s="262" t="s">
        <v>509</v>
      </c>
      <c r="D1421" s="262" t="s">
        <v>2026</v>
      </c>
      <c r="E1421" s="263" t="s">
        <v>427</v>
      </c>
      <c r="F1421" s="370">
        <v>570000</v>
      </c>
      <c r="G1421" s="370">
        <v>570000</v>
      </c>
      <c r="H1421" s="368">
        <f t="shared" si="46"/>
        <v>100</v>
      </c>
      <c r="I1421" s="147" t="str">
        <f t="shared" si="45"/>
        <v>07090130080020330</v>
      </c>
    </row>
    <row r="1422" spans="1:9">
      <c r="A1422" s="54" t="s">
        <v>174</v>
      </c>
      <c r="B1422" s="262" t="s">
        <v>248</v>
      </c>
      <c r="C1422" s="262" t="s">
        <v>1365</v>
      </c>
      <c r="D1422" s="262" t="s">
        <v>1468</v>
      </c>
      <c r="E1422" s="263" t="s">
        <v>1468</v>
      </c>
      <c r="F1422" s="370">
        <v>32550600</v>
      </c>
      <c r="G1422" s="370">
        <f>G1423+G1437</f>
        <v>32284240.16</v>
      </c>
      <c r="H1422" s="368">
        <f t="shared" si="46"/>
        <v>99.181705283466357</v>
      </c>
      <c r="I1422" s="147" t="str">
        <f t="shared" si="45"/>
        <v>1000</v>
      </c>
    </row>
    <row r="1423" spans="1:9">
      <c r="A1423" s="54" t="s">
        <v>127</v>
      </c>
      <c r="B1423" s="262" t="s">
        <v>248</v>
      </c>
      <c r="C1423" s="262" t="s">
        <v>466</v>
      </c>
      <c r="D1423" s="262" t="s">
        <v>1468</v>
      </c>
      <c r="E1423" s="263" t="s">
        <v>1468</v>
      </c>
      <c r="F1423" s="370">
        <v>30334200</v>
      </c>
      <c r="G1423" s="370">
        <v>30107035.73</v>
      </c>
      <c r="H1423" s="368">
        <f t="shared" si="46"/>
        <v>99.251128198534985</v>
      </c>
      <c r="I1423" s="147" t="str">
        <f t="shared" si="45"/>
        <v>1003</v>
      </c>
    </row>
    <row r="1424" spans="1:9" ht="25.5">
      <c r="A1424" s="54" t="s">
        <v>535</v>
      </c>
      <c r="B1424" s="262" t="s">
        <v>248</v>
      </c>
      <c r="C1424" s="262" t="s">
        <v>466</v>
      </c>
      <c r="D1424" s="262" t="s">
        <v>1105</v>
      </c>
      <c r="E1424" s="263" t="s">
        <v>1468</v>
      </c>
      <c r="F1424" s="370">
        <v>30334200</v>
      </c>
      <c r="G1424" s="370">
        <v>30107035.73</v>
      </c>
      <c r="H1424" s="368">
        <f t="shared" si="46"/>
        <v>99.251128198534985</v>
      </c>
      <c r="I1424" s="147" t="str">
        <f t="shared" si="45"/>
        <v>10030100000000</v>
      </c>
    </row>
    <row r="1425" spans="1:9" ht="25.5">
      <c r="A1425" s="54" t="s">
        <v>536</v>
      </c>
      <c r="B1425" s="262" t="s">
        <v>248</v>
      </c>
      <c r="C1425" s="262" t="s">
        <v>466</v>
      </c>
      <c r="D1425" s="262" t="s">
        <v>1106</v>
      </c>
      <c r="E1425" s="263" t="s">
        <v>1468</v>
      </c>
      <c r="F1425" s="370">
        <v>30334200</v>
      </c>
      <c r="G1425" s="370">
        <v>30107035.73</v>
      </c>
      <c r="H1425" s="368">
        <f t="shared" si="46"/>
        <v>99.251128198534985</v>
      </c>
      <c r="I1425" s="147" t="str">
        <f t="shared" si="45"/>
        <v>10030110000000</v>
      </c>
    </row>
    <row r="1426" spans="1:9" ht="165.75">
      <c r="A1426" s="54" t="s">
        <v>628</v>
      </c>
      <c r="B1426" s="262" t="s">
        <v>248</v>
      </c>
      <c r="C1426" s="262" t="s">
        <v>466</v>
      </c>
      <c r="D1426" s="262" t="s">
        <v>913</v>
      </c>
      <c r="E1426" s="263" t="s">
        <v>1468</v>
      </c>
      <c r="F1426" s="370">
        <v>734200</v>
      </c>
      <c r="G1426" s="370">
        <v>734200</v>
      </c>
      <c r="H1426" s="368">
        <f t="shared" si="46"/>
        <v>100</v>
      </c>
      <c r="I1426" s="147" t="str">
        <f t="shared" si="45"/>
        <v>10030110075540</v>
      </c>
    </row>
    <row r="1427" spans="1:9" ht="25.5">
      <c r="A1427" s="54" t="s">
        <v>1755</v>
      </c>
      <c r="B1427" s="262" t="s">
        <v>248</v>
      </c>
      <c r="C1427" s="262" t="s">
        <v>466</v>
      </c>
      <c r="D1427" s="262" t="s">
        <v>913</v>
      </c>
      <c r="E1427" s="263" t="s">
        <v>1756</v>
      </c>
      <c r="F1427" s="370">
        <v>734200</v>
      </c>
      <c r="G1427" s="370">
        <v>734200</v>
      </c>
      <c r="H1427" s="368">
        <f t="shared" si="46"/>
        <v>100</v>
      </c>
      <c r="I1427" s="147" t="str">
        <f t="shared" si="45"/>
        <v>10030110075540200</v>
      </c>
    </row>
    <row r="1428" spans="1:9" ht="38.25">
      <c r="A1428" s="54" t="s">
        <v>1502</v>
      </c>
      <c r="B1428" s="262" t="s">
        <v>248</v>
      </c>
      <c r="C1428" s="262" t="s">
        <v>466</v>
      </c>
      <c r="D1428" s="262" t="s">
        <v>913</v>
      </c>
      <c r="E1428" s="263" t="s">
        <v>1503</v>
      </c>
      <c r="F1428" s="370">
        <v>734200</v>
      </c>
      <c r="G1428" s="370">
        <v>734200</v>
      </c>
      <c r="H1428" s="368">
        <f t="shared" si="46"/>
        <v>100</v>
      </c>
      <c r="I1428" s="147" t="str">
        <f t="shared" si="45"/>
        <v>10030110075540240</v>
      </c>
    </row>
    <row r="1429" spans="1:9">
      <c r="A1429" s="54" t="s">
        <v>1577</v>
      </c>
      <c r="B1429" s="262" t="s">
        <v>248</v>
      </c>
      <c r="C1429" s="262" t="s">
        <v>466</v>
      </c>
      <c r="D1429" s="262" t="s">
        <v>913</v>
      </c>
      <c r="E1429" s="263" t="s">
        <v>416</v>
      </c>
      <c r="F1429" s="370">
        <v>734200</v>
      </c>
      <c r="G1429" s="370">
        <v>734200</v>
      </c>
      <c r="H1429" s="368">
        <f t="shared" si="46"/>
        <v>100</v>
      </c>
      <c r="I1429" s="147" t="str">
        <f t="shared" si="45"/>
        <v>10030110075540244</v>
      </c>
    </row>
    <row r="1430" spans="1:9" ht="114.75">
      <c r="A1430" s="54" t="s">
        <v>511</v>
      </c>
      <c r="B1430" s="262" t="s">
        <v>248</v>
      </c>
      <c r="C1430" s="262" t="s">
        <v>466</v>
      </c>
      <c r="D1430" s="262" t="s">
        <v>914</v>
      </c>
      <c r="E1430" s="263" t="s">
        <v>1468</v>
      </c>
      <c r="F1430" s="370">
        <v>29600000</v>
      </c>
      <c r="G1430" s="370">
        <v>29372835.73</v>
      </c>
      <c r="H1430" s="368">
        <f t="shared" si="46"/>
        <v>99.232553141891884</v>
      </c>
      <c r="I1430" s="147" t="str">
        <f t="shared" si="45"/>
        <v>10030110075660</v>
      </c>
    </row>
    <row r="1431" spans="1:9" ht="25.5">
      <c r="A1431" s="54" t="s">
        <v>1755</v>
      </c>
      <c r="B1431" s="262" t="s">
        <v>248</v>
      </c>
      <c r="C1431" s="262" t="s">
        <v>466</v>
      </c>
      <c r="D1431" s="262" t="s">
        <v>914</v>
      </c>
      <c r="E1431" s="263" t="s">
        <v>1756</v>
      </c>
      <c r="F1431" s="370">
        <v>28807000</v>
      </c>
      <c r="G1431" s="370">
        <v>28796995.73</v>
      </c>
      <c r="H1431" s="368">
        <f t="shared" si="46"/>
        <v>99.965271392369914</v>
      </c>
      <c r="I1431" s="147" t="str">
        <f t="shared" si="45"/>
        <v>10030110075660200</v>
      </c>
    </row>
    <row r="1432" spans="1:9" ht="38.25">
      <c r="A1432" s="54" t="s">
        <v>1502</v>
      </c>
      <c r="B1432" s="262" t="s">
        <v>248</v>
      </c>
      <c r="C1432" s="262" t="s">
        <v>466</v>
      </c>
      <c r="D1432" s="262" t="s">
        <v>914</v>
      </c>
      <c r="E1432" s="263" t="s">
        <v>1503</v>
      </c>
      <c r="F1432" s="370">
        <v>28807000</v>
      </c>
      <c r="G1432" s="370">
        <v>28796995.73</v>
      </c>
      <c r="H1432" s="368">
        <f t="shared" si="46"/>
        <v>99.965271392369914</v>
      </c>
      <c r="I1432" s="147" t="str">
        <f t="shared" si="45"/>
        <v>10030110075660240</v>
      </c>
    </row>
    <row r="1433" spans="1:9">
      <c r="A1433" s="54" t="s">
        <v>1577</v>
      </c>
      <c r="B1433" s="262" t="s">
        <v>248</v>
      </c>
      <c r="C1433" s="262" t="s">
        <v>466</v>
      </c>
      <c r="D1433" s="262" t="s">
        <v>914</v>
      </c>
      <c r="E1433" s="263" t="s">
        <v>416</v>
      </c>
      <c r="F1433" s="370">
        <v>28807000</v>
      </c>
      <c r="G1433" s="370">
        <v>28796995.73</v>
      </c>
      <c r="H1433" s="368">
        <f t="shared" si="46"/>
        <v>99.965271392369914</v>
      </c>
      <c r="I1433" s="147" t="str">
        <f t="shared" si="45"/>
        <v>10030110075660244</v>
      </c>
    </row>
    <row r="1434" spans="1:9" ht="25.5">
      <c r="A1434" s="54" t="s">
        <v>1759</v>
      </c>
      <c r="B1434" s="262" t="s">
        <v>248</v>
      </c>
      <c r="C1434" s="262" t="s">
        <v>466</v>
      </c>
      <c r="D1434" s="262" t="s">
        <v>914</v>
      </c>
      <c r="E1434" s="263" t="s">
        <v>1760</v>
      </c>
      <c r="F1434" s="370">
        <v>793000</v>
      </c>
      <c r="G1434" s="370">
        <v>575840</v>
      </c>
      <c r="H1434" s="368">
        <f t="shared" si="46"/>
        <v>72.615384615384613</v>
      </c>
      <c r="I1434" s="147" t="str">
        <f t="shared" si="45"/>
        <v>10030110075660300</v>
      </c>
    </row>
    <row r="1435" spans="1:9" ht="25.5">
      <c r="A1435" s="54" t="s">
        <v>1506</v>
      </c>
      <c r="B1435" s="262" t="s">
        <v>248</v>
      </c>
      <c r="C1435" s="262" t="s">
        <v>466</v>
      </c>
      <c r="D1435" s="262" t="s">
        <v>914</v>
      </c>
      <c r="E1435" s="263" t="s">
        <v>666</v>
      </c>
      <c r="F1435" s="370">
        <v>793000</v>
      </c>
      <c r="G1435" s="370">
        <v>575840</v>
      </c>
      <c r="H1435" s="368">
        <f t="shared" si="46"/>
        <v>72.615384615384613</v>
      </c>
      <c r="I1435" s="147" t="str">
        <f t="shared" si="45"/>
        <v>10030110075660320</v>
      </c>
    </row>
    <row r="1436" spans="1:9" ht="38.25">
      <c r="A1436" s="54" t="s">
        <v>467</v>
      </c>
      <c r="B1436" s="262" t="s">
        <v>248</v>
      </c>
      <c r="C1436" s="262" t="s">
        <v>466</v>
      </c>
      <c r="D1436" s="262" t="s">
        <v>914</v>
      </c>
      <c r="E1436" s="263" t="s">
        <v>468</v>
      </c>
      <c r="F1436" s="370">
        <v>793000</v>
      </c>
      <c r="G1436" s="370">
        <v>575840</v>
      </c>
      <c r="H1436" s="368">
        <f t="shared" si="46"/>
        <v>72.615384615384613</v>
      </c>
      <c r="I1436" s="147" t="str">
        <f t="shared" si="45"/>
        <v>10030110075660321</v>
      </c>
    </row>
    <row r="1437" spans="1:9">
      <c r="A1437" s="54" t="s">
        <v>26</v>
      </c>
      <c r="B1437" s="262" t="s">
        <v>248</v>
      </c>
      <c r="C1437" s="262" t="s">
        <v>512</v>
      </c>
      <c r="D1437" s="262" t="s">
        <v>1468</v>
      </c>
      <c r="E1437" s="263" t="s">
        <v>1468</v>
      </c>
      <c r="F1437" s="370">
        <v>2216400</v>
      </c>
      <c r="G1437" s="370">
        <v>2177204.4300000002</v>
      </c>
      <c r="H1437" s="368">
        <f t="shared" si="46"/>
        <v>98.231566053059026</v>
      </c>
      <c r="I1437" s="147" t="str">
        <f t="shared" si="45"/>
        <v>1004</v>
      </c>
    </row>
    <row r="1438" spans="1:9" ht="25.5">
      <c r="A1438" s="54" t="s">
        <v>535</v>
      </c>
      <c r="B1438" s="262" t="s">
        <v>248</v>
      </c>
      <c r="C1438" s="262" t="s">
        <v>512</v>
      </c>
      <c r="D1438" s="262" t="s">
        <v>1105</v>
      </c>
      <c r="E1438" s="263" t="s">
        <v>1468</v>
      </c>
      <c r="F1438" s="370">
        <v>2216400</v>
      </c>
      <c r="G1438" s="370">
        <v>2177204.4300000002</v>
      </c>
      <c r="H1438" s="368">
        <f t="shared" si="46"/>
        <v>98.231566053059026</v>
      </c>
      <c r="I1438" s="147" t="str">
        <f t="shared" si="45"/>
        <v>10040100000000</v>
      </c>
    </row>
    <row r="1439" spans="1:9" ht="25.5">
      <c r="A1439" s="54" t="s">
        <v>536</v>
      </c>
      <c r="B1439" s="262" t="s">
        <v>248</v>
      </c>
      <c r="C1439" s="262" t="s">
        <v>512</v>
      </c>
      <c r="D1439" s="262" t="s">
        <v>1106</v>
      </c>
      <c r="E1439" s="263" t="s">
        <v>1468</v>
      </c>
      <c r="F1439" s="370">
        <v>2216400</v>
      </c>
      <c r="G1439" s="370">
        <v>2177204.4300000002</v>
      </c>
      <c r="H1439" s="368">
        <f t="shared" si="46"/>
        <v>98.231566053059026</v>
      </c>
      <c r="I1439" s="147" t="str">
        <f t="shared" si="45"/>
        <v>10040110000000</v>
      </c>
    </row>
    <row r="1440" spans="1:9" ht="114.75">
      <c r="A1440" s="54" t="s">
        <v>513</v>
      </c>
      <c r="B1440" s="262" t="s">
        <v>248</v>
      </c>
      <c r="C1440" s="262" t="s">
        <v>512</v>
      </c>
      <c r="D1440" s="262" t="s">
        <v>915</v>
      </c>
      <c r="E1440" s="263" t="s">
        <v>1468</v>
      </c>
      <c r="F1440" s="370">
        <v>2216400</v>
      </c>
      <c r="G1440" s="370">
        <v>2177204.4300000002</v>
      </c>
      <c r="H1440" s="368">
        <f t="shared" si="46"/>
        <v>98.231566053059026</v>
      </c>
      <c r="I1440" s="147" t="str">
        <f t="shared" si="45"/>
        <v>10040110075560</v>
      </c>
    </row>
    <row r="1441" spans="1:9" ht="25.5">
      <c r="A1441" s="54" t="s">
        <v>1755</v>
      </c>
      <c r="B1441" s="262" t="s">
        <v>248</v>
      </c>
      <c r="C1441" s="262" t="s">
        <v>512</v>
      </c>
      <c r="D1441" s="262" t="s">
        <v>915</v>
      </c>
      <c r="E1441" s="263" t="s">
        <v>1756</v>
      </c>
      <c r="F1441" s="370">
        <v>4559.1400000000003</v>
      </c>
      <c r="G1441" s="370">
        <v>4559.1400000000003</v>
      </c>
      <c r="H1441" s="368">
        <f t="shared" si="46"/>
        <v>100</v>
      </c>
      <c r="I1441" s="147" t="str">
        <f t="shared" si="45"/>
        <v>10040110075560200</v>
      </c>
    </row>
    <row r="1442" spans="1:9" ht="38.25">
      <c r="A1442" s="54" t="s">
        <v>1502</v>
      </c>
      <c r="B1442" s="262" t="s">
        <v>248</v>
      </c>
      <c r="C1442" s="262" t="s">
        <v>512</v>
      </c>
      <c r="D1442" s="262" t="s">
        <v>915</v>
      </c>
      <c r="E1442" s="263" t="s">
        <v>1503</v>
      </c>
      <c r="F1442" s="370">
        <v>4559.1400000000003</v>
      </c>
      <c r="G1442" s="370">
        <v>4559.1400000000003</v>
      </c>
      <c r="H1442" s="368">
        <f t="shared" si="46"/>
        <v>100</v>
      </c>
      <c r="I1442" s="147" t="str">
        <f t="shared" si="45"/>
        <v>10040110075560240</v>
      </c>
    </row>
    <row r="1443" spans="1:9">
      <c r="A1443" s="54" t="s">
        <v>1577</v>
      </c>
      <c r="B1443" s="262" t="s">
        <v>248</v>
      </c>
      <c r="C1443" s="262" t="s">
        <v>512</v>
      </c>
      <c r="D1443" s="262" t="s">
        <v>915</v>
      </c>
      <c r="E1443" s="263" t="s">
        <v>416</v>
      </c>
      <c r="F1443" s="370">
        <v>4559.1400000000003</v>
      </c>
      <c r="G1443" s="370">
        <v>4559.1400000000003</v>
      </c>
      <c r="H1443" s="368">
        <f t="shared" si="46"/>
        <v>100</v>
      </c>
      <c r="I1443" s="147" t="str">
        <f t="shared" si="45"/>
        <v>10040110075560244</v>
      </c>
    </row>
    <row r="1444" spans="1:9" ht="25.5">
      <c r="A1444" s="54" t="s">
        <v>1759</v>
      </c>
      <c r="B1444" s="262" t="s">
        <v>248</v>
      </c>
      <c r="C1444" s="262" t="s">
        <v>512</v>
      </c>
      <c r="D1444" s="262" t="s">
        <v>915</v>
      </c>
      <c r="E1444" s="263" t="s">
        <v>1760</v>
      </c>
      <c r="F1444" s="370">
        <v>2211840.86</v>
      </c>
      <c r="G1444" s="370">
        <v>2172645.29</v>
      </c>
      <c r="H1444" s="368">
        <f t="shared" si="46"/>
        <v>98.227920882156056</v>
      </c>
      <c r="I1444" s="147" t="str">
        <f t="shared" si="45"/>
        <v>10040110075560300</v>
      </c>
    </row>
    <row r="1445" spans="1:9" ht="25.5">
      <c r="A1445" s="54" t="s">
        <v>1506</v>
      </c>
      <c r="B1445" s="262" t="s">
        <v>248</v>
      </c>
      <c r="C1445" s="262" t="s">
        <v>512</v>
      </c>
      <c r="D1445" s="262" t="s">
        <v>915</v>
      </c>
      <c r="E1445" s="263" t="s">
        <v>666</v>
      </c>
      <c r="F1445" s="370">
        <v>2211840.86</v>
      </c>
      <c r="G1445" s="370">
        <v>2172645.29</v>
      </c>
      <c r="H1445" s="368">
        <f t="shared" si="46"/>
        <v>98.227920882156056</v>
      </c>
      <c r="I1445" s="147" t="str">
        <f t="shared" si="45"/>
        <v>10040110075560320</v>
      </c>
    </row>
    <row r="1446" spans="1:9" ht="38.25">
      <c r="A1446" s="54" t="s">
        <v>467</v>
      </c>
      <c r="B1446" s="262" t="s">
        <v>248</v>
      </c>
      <c r="C1446" s="262" t="s">
        <v>512</v>
      </c>
      <c r="D1446" s="262" t="s">
        <v>915</v>
      </c>
      <c r="E1446" s="263" t="s">
        <v>468</v>
      </c>
      <c r="F1446" s="370">
        <v>2211840.86</v>
      </c>
      <c r="G1446" s="370">
        <v>2172645.29</v>
      </c>
      <c r="H1446" s="368">
        <f t="shared" si="46"/>
        <v>98.227920882156056</v>
      </c>
      <c r="I1446" s="147" t="str">
        <f t="shared" si="45"/>
        <v>10040110075560321</v>
      </c>
    </row>
    <row r="1447" spans="1:9">
      <c r="A1447" s="54" t="s">
        <v>292</v>
      </c>
      <c r="B1447" s="262" t="s">
        <v>248</v>
      </c>
      <c r="C1447" s="262" t="s">
        <v>1366</v>
      </c>
      <c r="D1447" s="262" t="s">
        <v>1468</v>
      </c>
      <c r="E1447" s="263" t="s">
        <v>1468</v>
      </c>
      <c r="F1447" s="370">
        <v>1409640.39</v>
      </c>
      <c r="G1447" s="370">
        <f>G1448+G1463</f>
        <v>1390037.76</v>
      </c>
      <c r="H1447" s="368">
        <f t="shared" si="46"/>
        <v>98.609387887927937</v>
      </c>
      <c r="I1447" s="147" t="str">
        <f t="shared" si="45"/>
        <v>1100</v>
      </c>
    </row>
    <row r="1448" spans="1:9">
      <c r="A1448" s="54" t="s">
        <v>1588</v>
      </c>
      <c r="B1448" s="262" t="s">
        <v>248</v>
      </c>
      <c r="C1448" s="262" t="s">
        <v>1589</v>
      </c>
      <c r="D1448" s="262" t="s">
        <v>1468</v>
      </c>
      <c r="E1448" s="263" t="s">
        <v>1468</v>
      </c>
      <c r="F1448" s="370">
        <v>1034640.39</v>
      </c>
      <c r="G1448" s="370">
        <v>1015037.76</v>
      </c>
      <c r="H1448" s="368">
        <f t="shared" si="46"/>
        <v>98.105367798370992</v>
      </c>
      <c r="I1448" s="147" t="str">
        <f t="shared" si="45"/>
        <v>1101</v>
      </c>
    </row>
    <row r="1449" spans="1:9" ht="25.5">
      <c r="A1449" s="54" t="s">
        <v>535</v>
      </c>
      <c r="B1449" s="262" t="s">
        <v>248</v>
      </c>
      <c r="C1449" s="262" t="s">
        <v>1589</v>
      </c>
      <c r="D1449" s="262" t="s">
        <v>1105</v>
      </c>
      <c r="E1449" s="263" t="s">
        <v>1468</v>
      </c>
      <c r="F1449" s="370">
        <v>1034640.39</v>
      </c>
      <c r="G1449" s="370">
        <v>1015037.76</v>
      </c>
      <c r="H1449" s="368">
        <f t="shared" si="46"/>
        <v>98.105367798370992</v>
      </c>
      <c r="I1449" s="147" t="str">
        <f t="shared" ref="I1449:I1512" si="47">CONCATENATE(C1449,D1449,E1449)</f>
        <v>11010100000000</v>
      </c>
    </row>
    <row r="1450" spans="1:9" ht="25.5">
      <c r="A1450" s="54" t="s">
        <v>536</v>
      </c>
      <c r="B1450" s="262" t="s">
        <v>248</v>
      </c>
      <c r="C1450" s="262" t="s">
        <v>1589</v>
      </c>
      <c r="D1450" s="262" t="s">
        <v>1106</v>
      </c>
      <c r="E1450" s="263" t="s">
        <v>1468</v>
      </c>
      <c r="F1450" s="370">
        <v>1034640.39</v>
      </c>
      <c r="G1450" s="370">
        <v>1015037.76</v>
      </c>
      <c r="H1450" s="368">
        <f t="shared" si="46"/>
        <v>98.105367798370992</v>
      </c>
      <c r="I1450" s="147" t="str">
        <f t="shared" si="47"/>
        <v>11010110000000</v>
      </c>
    </row>
    <row r="1451" spans="1:9" ht="114.75">
      <c r="A1451" s="54" t="s">
        <v>503</v>
      </c>
      <c r="B1451" s="262" t="s">
        <v>248</v>
      </c>
      <c r="C1451" s="262" t="s">
        <v>1589</v>
      </c>
      <c r="D1451" s="262" t="s">
        <v>882</v>
      </c>
      <c r="E1451" s="263" t="s">
        <v>1468</v>
      </c>
      <c r="F1451" s="370">
        <v>401862.65</v>
      </c>
      <c r="G1451" s="370">
        <v>382260.02</v>
      </c>
      <c r="H1451" s="368">
        <f t="shared" si="46"/>
        <v>95.122057250157482</v>
      </c>
      <c r="I1451" s="147" t="str">
        <f t="shared" si="47"/>
        <v>11010110040030</v>
      </c>
    </row>
    <row r="1452" spans="1:9" ht="38.25">
      <c r="A1452" s="54" t="s">
        <v>1763</v>
      </c>
      <c r="B1452" s="262" t="s">
        <v>248</v>
      </c>
      <c r="C1452" s="262" t="s">
        <v>1589</v>
      </c>
      <c r="D1452" s="262" t="s">
        <v>882</v>
      </c>
      <c r="E1452" s="263" t="s">
        <v>1764</v>
      </c>
      <c r="F1452" s="370">
        <v>401862.65</v>
      </c>
      <c r="G1452" s="370">
        <v>382260.02</v>
      </c>
      <c r="H1452" s="368">
        <f t="shared" si="46"/>
        <v>95.122057250157482</v>
      </c>
      <c r="I1452" s="147" t="str">
        <f t="shared" si="47"/>
        <v>11010110040030600</v>
      </c>
    </row>
    <row r="1453" spans="1:9">
      <c r="A1453" s="54" t="s">
        <v>1504</v>
      </c>
      <c r="B1453" s="262" t="s">
        <v>248</v>
      </c>
      <c r="C1453" s="262" t="s">
        <v>1589</v>
      </c>
      <c r="D1453" s="262" t="s">
        <v>882</v>
      </c>
      <c r="E1453" s="263" t="s">
        <v>1505</v>
      </c>
      <c r="F1453" s="370">
        <v>401862.65</v>
      </c>
      <c r="G1453" s="370">
        <v>382260.02</v>
      </c>
      <c r="H1453" s="368">
        <f t="shared" si="46"/>
        <v>95.122057250157482</v>
      </c>
      <c r="I1453" s="147" t="str">
        <f t="shared" si="47"/>
        <v>11010110040030610</v>
      </c>
    </row>
    <row r="1454" spans="1:9" ht="51">
      <c r="A1454" s="54" t="s">
        <v>435</v>
      </c>
      <c r="B1454" s="262" t="s">
        <v>248</v>
      </c>
      <c r="C1454" s="262" t="s">
        <v>1589</v>
      </c>
      <c r="D1454" s="262" t="s">
        <v>882</v>
      </c>
      <c r="E1454" s="263" t="s">
        <v>436</v>
      </c>
      <c r="F1454" s="370">
        <v>401862.65</v>
      </c>
      <c r="G1454" s="370">
        <v>382260.02</v>
      </c>
      <c r="H1454" s="368">
        <f t="shared" si="46"/>
        <v>95.122057250157482</v>
      </c>
      <c r="I1454" s="147" t="str">
        <f t="shared" si="47"/>
        <v>11010110040030611</v>
      </c>
    </row>
    <row r="1455" spans="1:9" ht="127.5">
      <c r="A1455" s="54" t="s">
        <v>690</v>
      </c>
      <c r="B1455" s="262" t="s">
        <v>248</v>
      </c>
      <c r="C1455" s="262" t="s">
        <v>1589</v>
      </c>
      <c r="D1455" s="262" t="s">
        <v>888</v>
      </c>
      <c r="E1455" s="263" t="s">
        <v>1468</v>
      </c>
      <c r="F1455" s="370">
        <v>619250.81000000006</v>
      </c>
      <c r="G1455" s="370">
        <v>619250.81000000006</v>
      </c>
      <c r="H1455" s="368">
        <f t="shared" si="46"/>
        <v>100</v>
      </c>
      <c r="I1455" s="147" t="str">
        <f t="shared" si="47"/>
        <v>1101011004Г030</v>
      </c>
    </row>
    <row r="1456" spans="1:9" ht="38.25">
      <c r="A1456" s="54" t="s">
        <v>1763</v>
      </c>
      <c r="B1456" s="262" t="s">
        <v>248</v>
      </c>
      <c r="C1456" s="262" t="s">
        <v>1589</v>
      </c>
      <c r="D1456" s="262" t="s">
        <v>888</v>
      </c>
      <c r="E1456" s="263" t="s">
        <v>1764</v>
      </c>
      <c r="F1456" s="370">
        <v>619250.81000000006</v>
      </c>
      <c r="G1456" s="370">
        <v>619250.81000000006</v>
      </c>
      <c r="H1456" s="368">
        <f t="shared" si="46"/>
        <v>100</v>
      </c>
      <c r="I1456" s="147" t="str">
        <f t="shared" si="47"/>
        <v>1101011004Г030600</v>
      </c>
    </row>
    <row r="1457" spans="1:9">
      <c r="A1457" s="54" t="s">
        <v>1504</v>
      </c>
      <c r="B1457" s="262" t="s">
        <v>248</v>
      </c>
      <c r="C1457" s="262" t="s">
        <v>1589</v>
      </c>
      <c r="D1457" s="262" t="s">
        <v>888</v>
      </c>
      <c r="E1457" s="263" t="s">
        <v>1505</v>
      </c>
      <c r="F1457" s="370">
        <v>619250.81000000006</v>
      </c>
      <c r="G1457" s="370">
        <v>619250.81000000006</v>
      </c>
      <c r="H1457" s="368">
        <f t="shared" si="46"/>
        <v>100</v>
      </c>
      <c r="I1457" s="147" t="str">
        <f t="shared" si="47"/>
        <v>1101011004Г030610</v>
      </c>
    </row>
    <row r="1458" spans="1:9" ht="51">
      <c r="A1458" s="54" t="s">
        <v>435</v>
      </c>
      <c r="B1458" s="262" t="s">
        <v>248</v>
      </c>
      <c r="C1458" s="262" t="s">
        <v>1589</v>
      </c>
      <c r="D1458" s="262" t="s">
        <v>888</v>
      </c>
      <c r="E1458" s="263" t="s">
        <v>436</v>
      </c>
      <c r="F1458" s="370">
        <v>619250.81000000006</v>
      </c>
      <c r="G1458" s="370">
        <v>619250.81000000006</v>
      </c>
      <c r="H1458" s="368">
        <f t="shared" si="46"/>
        <v>100</v>
      </c>
      <c r="I1458" s="147" t="str">
        <f t="shared" si="47"/>
        <v>1101011004Г030611</v>
      </c>
    </row>
    <row r="1459" spans="1:9" ht="114.75">
      <c r="A1459" s="54" t="s">
        <v>1099</v>
      </c>
      <c r="B1459" s="262" t="s">
        <v>248</v>
      </c>
      <c r="C1459" s="262" t="s">
        <v>1589</v>
      </c>
      <c r="D1459" s="262" t="s">
        <v>1100</v>
      </c>
      <c r="E1459" s="263" t="s">
        <v>1468</v>
      </c>
      <c r="F1459" s="370">
        <v>13526.93</v>
      </c>
      <c r="G1459" s="370">
        <v>13526.93</v>
      </c>
      <c r="H1459" s="368">
        <f t="shared" si="46"/>
        <v>100</v>
      </c>
      <c r="I1459" s="147" t="str">
        <f t="shared" si="47"/>
        <v>1101011004Э030</v>
      </c>
    </row>
    <row r="1460" spans="1:9" ht="38.25">
      <c r="A1460" s="54" t="s">
        <v>1763</v>
      </c>
      <c r="B1460" s="262" t="s">
        <v>248</v>
      </c>
      <c r="C1460" s="262" t="s">
        <v>1589</v>
      </c>
      <c r="D1460" s="262" t="s">
        <v>1100</v>
      </c>
      <c r="E1460" s="263" t="s">
        <v>1764</v>
      </c>
      <c r="F1460" s="370">
        <v>13526.93</v>
      </c>
      <c r="G1460" s="370">
        <v>13526.93</v>
      </c>
      <c r="H1460" s="368">
        <f t="shared" si="46"/>
        <v>100</v>
      </c>
      <c r="I1460" s="147" t="str">
        <f t="shared" si="47"/>
        <v>1101011004Э030600</v>
      </c>
    </row>
    <row r="1461" spans="1:9">
      <c r="A1461" s="54" t="s">
        <v>1504</v>
      </c>
      <c r="B1461" s="262" t="s">
        <v>248</v>
      </c>
      <c r="C1461" s="262" t="s">
        <v>1589</v>
      </c>
      <c r="D1461" s="262" t="s">
        <v>1100</v>
      </c>
      <c r="E1461" s="263" t="s">
        <v>1505</v>
      </c>
      <c r="F1461" s="370">
        <v>13526.93</v>
      </c>
      <c r="G1461" s="370">
        <v>13526.93</v>
      </c>
      <c r="H1461" s="368">
        <f t="shared" si="46"/>
        <v>100</v>
      </c>
      <c r="I1461" s="147" t="str">
        <f t="shared" si="47"/>
        <v>1101011004Э030610</v>
      </c>
    </row>
    <row r="1462" spans="1:9" ht="51">
      <c r="A1462" s="54" t="s">
        <v>435</v>
      </c>
      <c r="B1462" s="262" t="s">
        <v>248</v>
      </c>
      <c r="C1462" s="262" t="s">
        <v>1589</v>
      </c>
      <c r="D1462" s="262" t="s">
        <v>1100</v>
      </c>
      <c r="E1462" s="263" t="s">
        <v>436</v>
      </c>
      <c r="F1462" s="370">
        <v>13526.93</v>
      </c>
      <c r="G1462" s="370">
        <v>13526.93</v>
      </c>
      <c r="H1462" s="368">
        <f t="shared" si="46"/>
        <v>100</v>
      </c>
      <c r="I1462" s="147" t="str">
        <f t="shared" si="47"/>
        <v>1101011004Э030611</v>
      </c>
    </row>
    <row r="1463" spans="1:9">
      <c r="A1463" s="54" t="s">
        <v>254</v>
      </c>
      <c r="B1463" s="262" t="s">
        <v>248</v>
      </c>
      <c r="C1463" s="262" t="s">
        <v>469</v>
      </c>
      <c r="D1463" s="262" t="s">
        <v>1468</v>
      </c>
      <c r="E1463" s="263" t="s">
        <v>1468</v>
      </c>
      <c r="F1463" s="370">
        <v>375000</v>
      </c>
      <c r="G1463" s="370">
        <v>375000</v>
      </c>
      <c r="H1463" s="368">
        <f t="shared" si="46"/>
        <v>100</v>
      </c>
      <c r="I1463" s="147" t="str">
        <f t="shared" si="47"/>
        <v>1102</v>
      </c>
    </row>
    <row r="1464" spans="1:9" ht="25.5">
      <c r="A1464" s="54" t="s">
        <v>1913</v>
      </c>
      <c r="B1464" s="262" t="s">
        <v>248</v>
      </c>
      <c r="C1464" s="262" t="s">
        <v>469</v>
      </c>
      <c r="D1464" s="262" t="s">
        <v>1128</v>
      </c>
      <c r="E1464" s="263" t="s">
        <v>1468</v>
      </c>
      <c r="F1464" s="370">
        <v>375000</v>
      </c>
      <c r="G1464" s="370">
        <v>375000</v>
      </c>
      <c r="H1464" s="368">
        <f t="shared" si="46"/>
        <v>100</v>
      </c>
      <c r="I1464" s="147" t="str">
        <f t="shared" si="47"/>
        <v>11020700000000</v>
      </c>
    </row>
    <row r="1465" spans="1:9" ht="25.5">
      <c r="A1465" s="54" t="s">
        <v>568</v>
      </c>
      <c r="B1465" s="262" t="s">
        <v>248</v>
      </c>
      <c r="C1465" s="262" t="s">
        <v>469</v>
      </c>
      <c r="D1465" s="262" t="s">
        <v>1129</v>
      </c>
      <c r="E1465" s="263" t="s">
        <v>1468</v>
      </c>
      <c r="F1465" s="370">
        <v>375000</v>
      </c>
      <c r="G1465" s="370">
        <v>375000</v>
      </c>
      <c r="H1465" s="368">
        <f t="shared" si="46"/>
        <v>100</v>
      </c>
      <c r="I1465" s="147" t="str">
        <f t="shared" si="47"/>
        <v>11020710000000</v>
      </c>
    </row>
    <row r="1466" spans="1:9" ht="63.75">
      <c r="A1466" s="54" t="s">
        <v>2004</v>
      </c>
      <c r="B1466" s="262" t="s">
        <v>248</v>
      </c>
      <c r="C1466" s="262" t="s">
        <v>469</v>
      </c>
      <c r="D1466" s="262" t="s">
        <v>2009</v>
      </c>
      <c r="E1466" s="263" t="s">
        <v>1468</v>
      </c>
      <c r="F1466" s="370">
        <v>375000</v>
      </c>
      <c r="G1466" s="370">
        <v>375000</v>
      </c>
      <c r="H1466" s="368">
        <f t="shared" si="46"/>
        <v>100</v>
      </c>
      <c r="I1466" s="147" t="str">
        <f t="shared" si="47"/>
        <v>110207100S6500</v>
      </c>
    </row>
    <row r="1467" spans="1:9" ht="38.25">
      <c r="A1467" s="54" t="s">
        <v>1763</v>
      </c>
      <c r="B1467" s="262" t="s">
        <v>248</v>
      </c>
      <c r="C1467" s="262" t="s">
        <v>469</v>
      </c>
      <c r="D1467" s="262" t="s">
        <v>2009</v>
      </c>
      <c r="E1467" s="263" t="s">
        <v>1764</v>
      </c>
      <c r="F1467" s="370">
        <v>375000</v>
      </c>
      <c r="G1467" s="370">
        <v>375000</v>
      </c>
      <c r="H1467" s="368">
        <f t="shared" si="46"/>
        <v>100</v>
      </c>
      <c r="I1467" s="147" t="str">
        <f t="shared" si="47"/>
        <v>110207100S6500600</v>
      </c>
    </row>
    <row r="1468" spans="1:9">
      <c r="A1468" s="54" t="s">
        <v>1504</v>
      </c>
      <c r="B1468" s="262" t="s">
        <v>248</v>
      </c>
      <c r="C1468" s="262" t="s">
        <v>469</v>
      </c>
      <c r="D1468" s="262" t="s">
        <v>2009</v>
      </c>
      <c r="E1468" s="263" t="s">
        <v>1505</v>
      </c>
      <c r="F1468" s="370">
        <v>375000</v>
      </c>
      <c r="G1468" s="370">
        <v>375000</v>
      </c>
      <c r="H1468" s="368">
        <f t="shared" si="46"/>
        <v>100</v>
      </c>
      <c r="I1468" s="147" t="str">
        <f t="shared" si="47"/>
        <v>110207100S6500610</v>
      </c>
    </row>
    <row r="1469" spans="1:9" ht="51">
      <c r="A1469" s="54" t="s">
        <v>435</v>
      </c>
      <c r="B1469" s="262" t="s">
        <v>248</v>
      </c>
      <c r="C1469" s="262" t="s">
        <v>469</v>
      </c>
      <c r="D1469" s="262" t="s">
        <v>2009</v>
      </c>
      <c r="E1469" s="263" t="s">
        <v>436</v>
      </c>
      <c r="F1469" s="370">
        <v>375000</v>
      </c>
      <c r="G1469" s="370">
        <v>375000</v>
      </c>
      <c r="H1469" s="368">
        <f t="shared" si="46"/>
        <v>100</v>
      </c>
      <c r="I1469" s="147" t="str">
        <f t="shared" si="47"/>
        <v>110207100S6500611</v>
      </c>
    </row>
    <row r="1470" spans="1:9" ht="25.5">
      <c r="A1470" s="54" t="s">
        <v>1441</v>
      </c>
      <c r="B1470" s="262" t="s">
        <v>1080</v>
      </c>
      <c r="C1470" s="262" t="s">
        <v>1468</v>
      </c>
      <c r="D1470" s="262" t="s">
        <v>1468</v>
      </c>
      <c r="E1470" s="263" t="s">
        <v>1468</v>
      </c>
      <c r="F1470" s="370">
        <v>26781035.07</v>
      </c>
      <c r="G1470" s="370">
        <f>G1471+G1507</f>
        <v>24972791.859999999</v>
      </c>
      <c r="H1470" s="368">
        <f t="shared" si="46"/>
        <v>93.248045845600686</v>
      </c>
      <c r="I1470" s="147" t="str">
        <f t="shared" si="47"/>
        <v/>
      </c>
    </row>
    <row r="1471" spans="1:9" ht="25.5">
      <c r="A1471" s="54" t="s">
        <v>282</v>
      </c>
      <c r="B1471" s="262" t="s">
        <v>1080</v>
      </c>
      <c r="C1471" s="262" t="s">
        <v>1359</v>
      </c>
      <c r="D1471" s="262" t="s">
        <v>1468</v>
      </c>
      <c r="E1471" s="263" t="s">
        <v>1468</v>
      </c>
      <c r="F1471" s="370">
        <v>21731701.879999999</v>
      </c>
      <c r="G1471" s="370">
        <f>G1472</f>
        <v>20626540</v>
      </c>
      <c r="H1471" s="368">
        <f t="shared" si="46"/>
        <v>94.914517573899275</v>
      </c>
      <c r="I1471" s="147" t="str">
        <f t="shared" si="47"/>
        <v>0300</v>
      </c>
    </row>
    <row r="1472" spans="1:9">
      <c r="A1472" s="54" t="s">
        <v>133</v>
      </c>
      <c r="B1472" s="262" t="s">
        <v>1080</v>
      </c>
      <c r="C1472" s="262" t="s">
        <v>433</v>
      </c>
      <c r="D1472" s="262" t="s">
        <v>1468</v>
      </c>
      <c r="E1472" s="263" t="s">
        <v>1468</v>
      </c>
      <c r="F1472" s="370">
        <v>21731701.879999999</v>
      </c>
      <c r="G1472" s="370">
        <v>20626540</v>
      </c>
      <c r="H1472" s="368">
        <f t="shared" si="46"/>
        <v>94.914517573899275</v>
      </c>
      <c r="I1472" s="147" t="str">
        <f t="shared" si="47"/>
        <v>0310</v>
      </c>
    </row>
    <row r="1473" spans="1:9" ht="38.25">
      <c r="A1473" s="54" t="s">
        <v>549</v>
      </c>
      <c r="B1473" s="262" t="s">
        <v>1080</v>
      </c>
      <c r="C1473" s="262" t="s">
        <v>433</v>
      </c>
      <c r="D1473" s="262" t="s">
        <v>1117</v>
      </c>
      <c r="E1473" s="263" t="s">
        <v>1468</v>
      </c>
      <c r="F1473" s="370">
        <v>21731701.879999999</v>
      </c>
      <c r="G1473" s="370">
        <v>20626540</v>
      </c>
      <c r="H1473" s="368">
        <f t="shared" si="46"/>
        <v>94.914517573899275</v>
      </c>
      <c r="I1473" s="147" t="str">
        <f t="shared" si="47"/>
        <v>03100400000000</v>
      </c>
    </row>
    <row r="1474" spans="1:9" ht="25.5">
      <c r="A1474" s="54" t="s">
        <v>552</v>
      </c>
      <c r="B1474" s="262" t="s">
        <v>1080</v>
      </c>
      <c r="C1474" s="262" t="s">
        <v>433</v>
      </c>
      <c r="D1474" s="262" t="s">
        <v>1119</v>
      </c>
      <c r="E1474" s="263" t="s">
        <v>1468</v>
      </c>
      <c r="F1474" s="370">
        <v>21731701.879999999</v>
      </c>
      <c r="G1474" s="370">
        <v>20626540</v>
      </c>
      <c r="H1474" s="368">
        <f t="shared" si="46"/>
        <v>94.914517573899275</v>
      </c>
      <c r="I1474" s="147" t="str">
        <f t="shared" si="47"/>
        <v>03100420000000</v>
      </c>
    </row>
    <row r="1475" spans="1:9" ht="127.5">
      <c r="A1475" s="54" t="s">
        <v>434</v>
      </c>
      <c r="B1475" s="262" t="s">
        <v>1080</v>
      </c>
      <c r="C1475" s="262" t="s">
        <v>433</v>
      </c>
      <c r="D1475" s="262" t="s">
        <v>786</v>
      </c>
      <c r="E1475" s="263" t="s">
        <v>1468</v>
      </c>
      <c r="F1475" s="370">
        <v>17647287.579999998</v>
      </c>
      <c r="G1475" s="370">
        <v>16932850.190000001</v>
      </c>
      <c r="H1475" s="368">
        <f t="shared" si="46"/>
        <v>95.951573935873967</v>
      </c>
      <c r="I1475" s="147" t="str">
        <f t="shared" si="47"/>
        <v>03100420040010</v>
      </c>
    </row>
    <row r="1476" spans="1:9" ht="63.75">
      <c r="A1476" s="54" t="s">
        <v>1754</v>
      </c>
      <c r="B1476" s="262" t="s">
        <v>1080</v>
      </c>
      <c r="C1476" s="262" t="s">
        <v>433</v>
      </c>
      <c r="D1476" s="262" t="s">
        <v>786</v>
      </c>
      <c r="E1476" s="263" t="s">
        <v>322</v>
      </c>
      <c r="F1476" s="370">
        <v>15874010</v>
      </c>
      <c r="G1476" s="370">
        <f>G1477</f>
        <v>15701645.35</v>
      </c>
      <c r="H1476" s="368">
        <f t="shared" si="46"/>
        <v>98.914170710488406</v>
      </c>
      <c r="I1476" s="147" t="str">
        <f t="shared" si="47"/>
        <v>03100420040010100</v>
      </c>
    </row>
    <row r="1477" spans="1:9" ht="25.5">
      <c r="A1477" s="54" t="s">
        <v>1487</v>
      </c>
      <c r="B1477" s="262" t="s">
        <v>1080</v>
      </c>
      <c r="C1477" s="262" t="s">
        <v>433</v>
      </c>
      <c r="D1477" s="262" t="s">
        <v>786</v>
      </c>
      <c r="E1477" s="263" t="s">
        <v>165</v>
      </c>
      <c r="F1477" s="370">
        <v>15874010</v>
      </c>
      <c r="G1477" s="370">
        <f>G1478+G1479+G1480</f>
        <v>15701645.35</v>
      </c>
      <c r="H1477" s="368">
        <f t="shared" si="46"/>
        <v>98.914170710488406</v>
      </c>
      <c r="I1477" s="147" t="str">
        <f t="shared" si="47"/>
        <v>03100420040010110</v>
      </c>
    </row>
    <row r="1478" spans="1:9">
      <c r="A1478" s="54" t="s">
        <v>1360</v>
      </c>
      <c r="B1478" s="262" t="s">
        <v>1080</v>
      </c>
      <c r="C1478" s="262" t="s">
        <v>433</v>
      </c>
      <c r="D1478" s="262" t="s">
        <v>786</v>
      </c>
      <c r="E1478" s="263" t="s">
        <v>430</v>
      </c>
      <c r="F1478" s="370">
        <v>12131990</v>
      </c>
      <c r="G1478" s="370">
        <v>12085013.99</v>
      </c>
      <c r="H1478" s="368">
        <f t="shared" si="46"/>
        <v>99.612792212984019</v>
      </c>
      <c r="I1478" s="147" t="str">
        <f t="shared" si="47"/>
        <v>03100420040010111</v>
      </c>
    </row>
    <row r="1479" spans="1:9" ht="25.5">
      <c r="A1479" s="54" t="s">
        <v>1369</v>
      </c>
      <c r="B1479" s="262" t="s">
        <v>1080</v>
      </c>
      <c r="C1479" s="262" t="s">
        <v>433</v>
      </c>
      <c r="D1479" s="262" t="s">
        <v>786</v>
      </c>
      <c r="E1479" s="263" t="s">
        <v>479</v>
      </c>
      <c r="F1479" s="370">
        <v>78710</v>
      </c>
      <c r="G1479" s="370">
        <v>51094.7</v>
      </c>
      <c r="H1479" s="368">
        <f t="shared" si="46"/>
        <v>64.915131495362715</v>
      </c>
      <c r="I1479" s="147" t="str">
        <f t="shared" si="47"/>
        <v>03100420040010112</v>
      </c>
    </row>
    <row r="1480" spans="1:9" ht="51">
      <c r="A1480" s="54" t="s">
        <v>1361</v>
      </c>
      <c r="B1480" s="262" t="s">
        <v>1080</v>
      </c>
      <c r="C1480" s="262" t="s">
        <v>433</v>
      </c>
      <c r="D1480" s="262" t="s">
        <v>786</v>
      </c>
      <c r="E1480" s="263" t="s">
        <v>1197</v>
      </c>
      <c r="F1480" s="370">
        <v>3663310</v>
      </c>
      <c r="G1480" s="370">
        <v>3565536.66</v>
      </c>
      <c r="H1480" s="368">
        <f t="shared" ref="H1480:H1543" si="48">G1480/F1480*100</f>
        <v>97.331011025547937</v>
      </c>
      <c r="I1480" s="147" t="str">
        <f t="shared" si="47"/>
        <v>03100420040010119</v>
      </c>
    </row>
    <row r="1481" spans="1:9" ht="25.5">
      <c r="A1481" s="54" t="s">
        <v>1755</v>
      </c>
      <c r="B1481" s="262" t="s">
        <v>1080</v>
      </c>
      <c r="C1481" s="262" t="s">
        <v>433</v>
      </c>
      <c r="D1481" s="262" t="s">
        <v>786</v>
      </c>
      <c r="E1481" s="263" t="s">
        <v>1756</v>
      </c>
      <c r="F1481" s="370">
        <v>1746858.08</v>
      </c>
      <c r="G1481" s="370">
        <v>1212610.3600000001</v>
      </c>
      <c r="H1481" s="368">
        <f t="shared" si="48"/>
        <v>69.416650034901522</v>
      </c>
      <c r="I1481" s="147" t="str">
        <f t="shared" si="47"/>
        <v>03100420040010200</v>
      </c>
    </row>
    <row r="1482" spans="1:9" ht="38.25">
      <c r="A1482" s="54" t="s">
        <v>1502</v>
      </c>
      <c r="B1482" s="262" t="s">
        <v>1080</v>
      </c>
      <c r="C1482" s="262" t="s">
        <v>433</v>
      </c>
      <c r="D1482" s="262" t="s">
        <v>786</v>
      </c>
      <c r="E1482" s="263" t="s">
        <v>1503</v>
      </c>
      <c r="F1482" s="370">
        <v>1746858.08</v>
      </c>
      <c r="G1482" s="370">
        <v>1212610.3600000001</v>
      </c>
      <c r="H1482" s="368">
        <f t="shared" si="48"/>
        <v>69.416650034901522</v>
      </c>
      <c r="I1482" s="147" t="str">
        <f t="shared" si="47"/>
        <v>03100420040010240</v>
      </c>
    </row>
    <row r="1483" spans="1:9">
      <c r="A1483" s="54" t="s">
        <v>1577</v>
      </c>
      <c r="B1483" s="262" t="s">
        <v>1080</v>
      </c>
      <c r="C1483" s="262" t="s">
        <v>433</v>
      </c>
      <c r="D1483" s="262" t="s">
        <v>786</v>
      </c>
      <c r="E1483" s="263" t="s">
        <v>416</v>
      </c>
      <c r="F1483" s="370">
        <v>1746858.08</v>
      </c>
      <c r="G1483" s="370">
        <v>1212610.3600000001</v>
      </c>
      <c r="H1483" s="368">
        <f t="shared" si="48"/>
        <v>69.416650034901522</v>
      </c>
      <c r="I1483" s="147" t="str">
        <f t="shared" si="47"/>
        <v>03100420040010244</v>
      </c>
    </row>
    <row r="1484" spans="1:9">
      <c r="A1484" s="54" t="s">
        <v>1757</v>
      </c>
      <c r="B1484" s="262" t="s">
        <v>1080</v>
      </c>
      <c r="C1484" s="262" t="s">
        <v>433</v>
      </c>
      <c r="D1484" s="262" t="s">
        <v>786</v>
      </c>
      <c r="E1484" s="263" t="s">
        <v>1758</v>
      </c>
      <c r="F1484" s="370">
        <v>26419.5</v>
      </c>
      <c r="G1484" s="370">
        <f>G1485+G1487</f>
        <v>18594.48</v>
      </c>
      <c r="H1484" s="368">
        <f t="shared" si="48"/>
        <v>70.381649917674437</v>
      </c>
      <c r="I1484" s="147" t="str">
        <f t="shared" si="47"/>
        <v>03100420040010800</v>
      </c>
    </row>
    <row r="1485" spans="1:9">
      <c r="A1485" s="54" t="s">
        <v>1516</v>
      </c>
      <c r="B1485" s="262" t="s">
        <v>1080</v>
      </c>
      <c r="C1485" s="262" t="s">
        <v>433</v>
      </c>
      <c r="D1485" s="262" t="s">
        <v>786</v>
      </c>
      <c r="E1485" s="263" t="s">
        <v>242</v>
      </c>
      <c r="F1485" s="370">
        <v>12471</v>
      </c>
      <c r="G1485" s="370">
        <v>12471</v>
      </c>
      <c r="H1485" s="368">
        <f t="shared" si="48"/>
        <v>100</v>
      </c>
      <c r="I1485" s="147" t="str">
        <f t="shared" si="47"/>
        <v>03100420040010830</v>
      </c>
    </row>
    <row r="1486" spans="1:9" ht="38.25">
      <c r="A1486" s="54" t="s">
        <v>1425</v>
      </c>
      <c r="B1486" s="262" t="s">
        <v>1080</v>
      </c>
      <c r="C1486" s="262" t="s">
        <v>433</v>
      </c>
      <c r="D1486" s="262" t="s">
        <v>786</v>
      </c>
      <c r="E1486" s="263" t="s">
        <v>521</v>
      </c>
      <c r="F1486" s="370">
        <v>12471</v>
      </c>
      <c r="G1486" s="370">
        <v>12471</v>
      </c>
      <c r="H1486" s="368">
        <f t="shared" si="48"/>
        <v>100</v>
      </c>
      <c r="I1486" s="147" t="str">
        <f t="shared" si="47"/>
        <v>03100420040010831</v>
      </c>
    </row>
    <row r="1487" spans="1:9">
      <c r="A1487" s="54" t="s">
        <v>1507</v>
      </c>
      <c r="B1487" s="262" t="s">
        <v>1080</v>
      </c>
      <c r="C1487" s="262" t="s">
        <v>433</v>
      </c>
      <c r="D1487" s="262" t="s">
        <v>786</v>
      </c>
      <c r="E1487" s="263" t="s">
        <v>1508</v>
      </c>
      <c r="F1487" s="370">
        <v>13948.5</v>
      </c>
      <c r="G1487" s="370">
        <f>G1488+G1489</f>
        <v>6123.48</v>
      </c>
      <c r="H1487" s="368">
        <f t="shared" si="48"/>
        <v>43.900634476825459</v>
      </c>
      <c r="I1487" s="147" t="str">
        <f t="shared" si="47"/>
        <v>03100420040010850</v>
      </c>
    </row>
    <row r="1488" spans="1:9">
      <c r="A1488" s="54" t="s">
        <v>1082</v>
      </c>
      <c r="B1488" s="262" t="s">
        <v>1080</v>
      </c>
      <c r="C1488" s="262" t="s">
        <v>433</v>
      </c>
      <c r="D1488" s="262" t="s">
        <v>786</v>
      </c>
      <c r="E1488" s="263" t="s">
        <v>591</v>
      </c>
      <c r="F1488" s="370">
        <v>3000</v>
      </c>
      <c r="G1488" s="370">
        <v>3000</v>
      </c>
      <c r="H1488" s="368">
        <f t="shared" si="48"/>
        <v>100</v>
      </c>
      <c r="I1488" s="147" t="str">
        <f t="shared" si="47"/>
        <v>03100420040010852</v>
      </c>
    </row>
    <row r="1489" spans="1:9">
      <c r="A1489" s="54" t="s">
        <v>1198</v>
      </c>
      <c r="B1489" s="262" t="s">
        <v>1080</v>
      </c>
      <c r="C1489" s="262" t="s">
        <v>433</v>
      </c>
      <c r="D1489" s="262" t="s">
        <v>786</v>
      </c>
      <c r="E1489" s="263" t="s">
        <v>1199</v>
      </c>
      <c r="F1489" s="370">
        <v>10948.5</v>
      </c>
      <c r="G1489" s="370">
        <v>3123.48</v>
      </c>
      <c r="H1489" s="368">
        <f t="shared" si="48"/>
        <v>28.528839567063979</v>
      </c>
      <c r="I1489" s="147" t="str">
        <f t="shared" si="47"/>
        <v>03100420040010853</v>
      </c>
    </row>
    <row r="1490" spans="1:9" ht="127.5">
      <c r="A1490" s="54" t="s">
        <v>1864</v>
      </c>
      <c r="B1490" s="262" t="s">
        <v>1080</v>
      </c>
      <c r="C1490" s="262" t="s">
        <v>433</v>
      </c>
      <c r="D1490" s="262" t="s">
        <v>1865</v>
      </c>
      <c r="E1490" s="263" t="s">
        <v>1468</v>
      </c>
      <c r="F1490" s="370">
        <v>922448.79</v>
      </c>
      <c r="G1490" s="370">
        <v>815036.51</v>
      </c>
      <c r="H1490" s="368">
        <f t="shared" si="48"/>
        <v>88.355746013824785</v>
      </c>
      <c r="I1490" s="147" t="str">
        <f t="shared" si="47"/>
        <v>03100420041010</v>
      </c>
    </row>
    <row r="1491" spans="1:9" ht="63.75">
      <c r="A1491" s="54" t="s">
        <v>1754</v>
      </c>
      <c r="B1491" s="262" t="s">
        <v>1080</v>
      </c>
      <c r="C1491" s="262" t="s">
        <v>433</v>
      </c>
      <c r="D1491" s="262" t="s">
        <v>1865</v>
      </c>
      <c r="E1491" s="263" t="s">
        <v>322</v>
      </c>
      <c r="F1491" s="370">
        <v>922448.79</v>
      </c>
      <c r="G1491" s="370">
        <f>G1492</f>
        <v>815036.51</v>
      </c>
      <c r="H1491" s="368">
        <f t="shared" si="48"/>
        <v>88.355746013824785</v>
      </c>
      <c r="I1491" s="147" t="str">
        <f t="shared" si="47"/>
        <v>03100420041010100</v>
      </c>
    </row>
    <row r="1492" spans="1:9" ht="25.5">
      <c r="A1492" s="54" t="s">
        <v>1487</v>
      </c>
      <c r="B1492" s="262" t="s">
        <v>1080</v>
      </c>
      <c r="C1492" s="262" t="s">
        <v>433</v>
      </c>
      <c r="D1492" s="262" t="s">
        <v>1865</v>
      </c>
      <c r="E1492" s="263" t="s">
        <v>165</v>
      </c>
      <c r="F1492" s="370">
        <v>922448.79</v>
      </c>
      <c r="G1492" s="370">
        <f>G1493+G1494</f>
        <v>815036.51</v>
      </c>
      <c r="H1492" s="368">
        <f t="shared" si="48"/>
        <v>88.355746013824785</v>
      </c>
      <c r="I1492" s="147" t="str">
        <f t="shared" si="47"/>
        <v>03100420041010110</v>
      </c>
    </row>
    <row r="1493" spans="1:9">
      <c r="A1493" s="54" t="s">
        <v>1360</v>
      </c>
      <c r="B1493" s="262" t="s">
        <v>1080</v>
      </c>
      <c r="C1493" s="262" t="s">
        <v>433</v>
      </c>
      <c r="D1493" s="262" t="s">
        <v>1865</v>
      </c>
      <c r="E1493" s="263" t="s">
        <v>430</v>
      </c>
      <c r="F1493" s="370">
        <v>708472.61</v>
      </c>
      <c r="G1493" s="370">
        <v>625988.12</v>
      </c>
      <c r="H1493" s="368">
        <f t="shared" si="48"/>
        <v>88.35742005608374</v>
      </c>
      <c r="I1493" s="147" t="str">
        <f t="shared" si="47"/>
        <v>03100420041010111</v>
      </c>
    </row>
    <row r="1494" spans="1:9" ht="51">
      <c r="A1494" s="54" t="s">
        <v>1361</v>
      </c>
      <c r="B1494" s="262" t="s">
        <v>1080</v>
      </c>
      <c r="C1494" s="262" t="s">
        <v>433</v>
      </c>
      <c r="D1494" s="262" t="s">
        <v>1865</v>
      </c>
      <c r="E1494" s="263" t="s">
        <v>1197</v>
      </c>
      <c r="F1494" s="370">
        <v>213976.18</v>
      </c>
      <c r="G1494" s="370">
        <v>189048.39</v>
      </c>
      <c r="H1494" s="368">
        <f t="shared" si="48"/>
        <v>88.350203279636091</v>
      </c>
      <c r="I1494" s="147" t="str">
        <f t="shared" si="47"/>
        <v>03100420041010119</v>
      </c>
    </row>
    <row r="1495" spans="1:9" ht="127.5">
      <c r="A1495" s="54" t="s">
        <v>1779</v>
      </c>
      <c r="B1495" s="262" t="s">
        <v>1080</v>
      </c>
      <c r="C1495" s="262" t="s">
        <v>433</v>
      </c>
      <c r="D1495" s="262" t="s">
        <v>1780</v>
      </c>
      <c r="E1495" s="263" t="s">
        <v>1468</v>
      </c>
      <c r="F1495" s="370">
        <v>115210.48</v>
      </c>
      <c r="G1495" s="370">
        <v>112914.18</v>
      </c>
      <c r="H1495" s="368">
        <f t="shared" si="48"/>
        <v>98.006865347666277</v>
      </c>
      <c r="I1495" s="147" t="str">
        <f t="shared" si="47"/>
        <v>03100420047010</v>
      </c>
    </row>
    <row r="1496" spans="1:9" ht="63.75">
      <c r="A1496" s="54" t="s">
        <v>1754</v>
      </c>
      <c r="B1496" s="262" t="s">
        <v>1080</v>
      </c>
      <c r="C1496" s="262" t="s">
        <v>433</v>
      </c>
      <c r="D1496" s="262" t="s">
        <v>1780</v>
      </c>
      <c r="E1496" s="263" t="s">
        <v>322</v>
      </c>
      <c r="F1496" s="370">
        <v>115210.48</v>
      </c>
      <c r="G1496" s="370">
        <v>112914.18</v>
      </c>
      <c r="H1496" s="368">
        <f t="shared" si="48"/>
        <v>98.006865347666277</v>
      </c>
      <c r="I1496" s="147" t="str">
        <f t="shared" si="47"/>
        <v>03100420047010100</v>
      </c>
    </row>
    <row r="1497" spans="1:9" ht="25.5">
      <c r="A1497" s="54" t="s">
        <v>1487</v>
      </c>
      <c r="B1497" s="262" t="s">
        <v>1080</v>
      </c>
      <c r="C1497" s="262" t="s">
        <v>433</v>
      </c>
      <c r="D1497" s="262" t="s">
        <v>1780</v>
      </c>
      <c r="E1497" s="263" t="s">
        <v>165</v>
      </c>
      <c r="F1497" s="370">
        <v>115210.48</v>
      </c>
      <c r="G1497" s="370">
        <v>112914.18</v>
      </c>
      <c r="H1497" s="368">
        <f t="shared" si="48"/>
        <v>98.006865347666277</v>
      </c>
      <c r="I1497" s="147" t="str">
        <f t="shared" si="47"/>
        <v>03100420047010110</v>
      </c>
    </row>
    <row r="1498" spans="1:9" ht="25.5">
      <c r="A1498" s="54" t="s">
        <v>1369</v>
      </c>
      <c r="B1498" s="262" t="s">
        <v>1080</v>
      </c>
      <c r="C1498" s="262" t="s">
        <v>433</v>
      </c>
      <c r="D1498" s="262" t="s">
        <v>1780</v>
      </c>
      <c r="E1498" s="263" t="s">
        <v>479</v>
      </c>
      <c r="F1498" s="370">
        <v>115210.48</v>
      </c>
      <c r="G1498" s="370">
        <v>112914.18</v>
      </c>
      <c r="H1498" s="368">
        <f t="shared" si="48"/>
        <v>98.006865347666277</v>
      </c>
      <c r="I1498" s="147" t="str">
        <f t="shared" si="47"/>
        <v>03100420047010112</v>
      </c>
    </row>
    <row r="1499" spans="1:9" ht="127.5">
      <c r="A1499" s="54" t="s">
        <v>1781</v>
      </c>
      <c r="B1499" s="262" t="s">
        <v>1080</v>
      </c>
      <c r="C1499" s="262" t="s">
        <v>433</v>
      </c>
      <c r="D1499" s="262" t="s">
        <v>788</v>
      </c>
      <c r="E1499" s="263" t="s">
        <v>1468</v>
      </c>
      <c r="F1499" s="370">
        <v>2453780.31</v>
      </c>
      <c r="G1499" s="370">
        <v>2297627.65</v>
      </c>
      <c r="H1499" s="368">
        <f t="shared" si="48"/>
        <v>93.636241216720819</v>
      </c>
      <c r="I1499" s="147" t="str">
        <f t="shared" si="47"/>
        <v>0310042004Г010</v>
      </c>
    </row>
    <row r="1500" spans="1:9" ht="25.5">
      <c r="A1500" s="54" t="s">
        <v>1755</v>
      </c>
      <c r="B1500" s="262" t="s">
        <v>1080</v>
      </c>
      <c r="C1500" s="262" t="s">
        <v>433</v>
      </c>
      <c r="D1500" s="262" t="s">
        <v>788</v>
      </c>
      <c r="E1500" s="263" t="s">
        <v>1756</v>
      </c>
      <c r="F1500" s="370">
        <v>2453780.31</v>
      </c>
      <c r="G1500" s="370">
        <v>2297627.65</v>
      </c>
      <c r="H1500" s="368">
        <f t="shared" si="48"/>
        <v>93.636241216720819</v>
      </c>
      <c r="I1500" s="147" t="str">
        <f t="shared" si="47"/>
        <v>0310042004Г010200</v>
      </c>
    </row>
    <row r="1501" spans="1:9" ht="38.25">
      <c r="A1501" s="54" t="s">
        <v>1502</v>
      </c>
      <c r="B1501" s="262" t="s">
        <v>1080</v>
      </c>
      <c r="C1501" s="262" t="s">
        <v>433</v>
      </c>
      <c r="D1501" s="262" t="s">
        <v>788</v>
      </c>
      <c r="E1501" s="263" t="s">
        <v>1503</v>
      </c>
      <c r="F1501" s="370">
        <v>2453780.31</v>
      </c>
      <c r="G1501" s="370">
        <v>2297627.65</v>
      </c>
      <c r="H1501" s="368">
        <f t="shared" si="48"/>
        <v>93.636241216720819</v>
      </c>
      <c r="I1501" s="147" t="str">
        <f t="shared" si="47"/>
        <v>0310042004Г010240</v>
      </c>
    </row>
    <row r="1502" spans="1:9">
      <c r="A1502" s="54" t="s">
        <v>1577</v>
      </c>
      <c r="B1502" s="262" t="s">
        <v>1080</v>
      </c>
      <c r="C1502" s="262" t="s">
        <v>433</v>
      </c>
      <c r="D1502" s="262" t="s">
        <v>788</v>
      </c>
      <c r="E1502" s="263" t="s">
        <v>416</v>
      </c>
      <c r="F1502" s="370">
        <v>2453780.31</v>
      </c>
      <c r="G1502" s="370">
        <v>2297627.65</v>
      </c>
      <c r="H1502" s="368">
        <f t="shared" si="48"/>
        <v>93.636241216720819</v>
      </c>
      <c r="I1502" s="147" t="str">
        <f t="shared" si="47"/>
        <v>0310042004Г010244</v>
      </c>
    </row>
    <row r="1503" spans="1:9" ht="114.75">
      <c r="A1503" s="54" t="s">
        <v>1784</v>
      </c>
      <c r="B1503" s="262" t="s">
        <v>1080</v>
      </c>
      <c r="C1503" s="262" t="s">
        <v>433</v>
      </c>
      <c r="D1503" s="262" t="s">
        <v>1785</v>
      </c>
      <c r="E1503" s="263" t="s">
        <v>1468</v>
      </c>
      <c r="F1503" s="370">
        <v>592974.72</v>
      </c>
      <c r="G1503" s="370">
        <v>468111.47</v>
      </c>
      <c r="H1503" s="368">
        <f t="shared" si="48"/>
        <v>78.942905019627148</v>
      </c>
      <c r="I1503" s="147" t="str">
        <f t="shared" si="47"/>
        <v>0310042004Э010</v>
      </c>
    </row>
    <row r="1504" spans="1:9" ht="25.5">
      <c r="A1504" s="54" t="s">
        <v>1755</v>
      </c>
      <c r="B1504" s="262" t="s">
        <v>1080</v>
      </c>
      <c r="C1504" s="262" t="s">
        <v>433</v>
      </c>
      <c r="D1504" s="262" t="s">
        <v>1785</v>
      </c>
      <c r="E1504" s="263" t="s">
        <v>1756</v>
      </c>
      <c r="F1504" s="370">
        <v>592974.72</v>
      </c>
      <c r="G1504" s="370">
        <v>468111.47</v>
      </c>
      <c r="H1504" s="368">
        <f t="shared" si="48"/>
        <v>78.942905019627148</v>
      </c>
      <c r="I1504" s="147" t="str">
        <f t="shared" si="47"/>
        <v>0310042004Э010200</v>
      </c>
    </row>
    <row r="1505" spans="1:9" ht="38.25">
      <c r="A1505" s="54" t="s">
        <v>1502</v>
      </c>
      <c r="B1505" s="262" t="s">
        <v>1080</v>
      </c>
      <c r="C1505" s="262" t="s">
        <v>433</v>
      </c>
      <c r="D1505" s="262" t="s">
        <v>1785</v>
      </c>
      <c r="E1505" s="263" t="s">
        <v>1503</v>
      </c>
      <c r="F1505" s="370">
        <v>592974.72</v>
      </c>
      <c r="G1505" s="370">
        <v>468111.47</v>
      </c>
      <c r="H1505" s="368">
        <f t="shared" si="48"/>
        <v>78.942905019627148</v>
      </c>
      <c r="I1505" s="147" t="str">
        <f t="shared" si="47"/>
        <v>0310042004Э010240</v>
      </c>
    </row>
    <row r="1506" spans="1:9">
      <c r="A1506" s="54" t="s">
        <v>1577</v>
      </c>
      <c r="B1506" s="262" t="s">
        <v>1080</v>
      </c>
      <c r="C1506" s="262" t="s">
        <v>433</v>
      </c>
      <c r="D1506" s="262" t="s">
        <v>1785</v>
      </c>
      <c r="E1506" s="263" t="s">
        <v>416</v>
      </c>
      <c r="F1506" s="370">
        <v>592974.72</v>
      </c>
      <c r="G1506" s="370">
        <v>468111.47</v>
      </c>
      <c r="H1506" s="368">
        <f t="shared" si="48"/>
        <v>78.942905019627148</v>
      </c>
      <c r="I1506" s="147" t="str">
        <f t="shared" si="47"/>
        <v>0310042004Э010244</v>
      </c>
    </row>
    <row r="1507" spans="1:9">
      <c r="A1507" s="54" t="s">
        <v>283</v>
      </c>
      <c r="B1507" s="262" t="s">
        <v>1080</v>
      </c>
      <c r="C1507" s="262" t="s">
        <v>1363</v>
      </c>
      <c r="D1507" s="262" t="s">
        <v>1468</v>
      </c>
      <c r="E1507" s="263" t="s">
        <v>1468</v>
      </c>
      <c r="F1507" s="370">
        <v>5049333.1900000004</v>
      </c>
      <c r="G1507" s="370">
        <v>4346251.8600000003</v>
      </c>
      <c r="H1507" s="368">
        <f t="shared" si="48"/>
        <v>86.075758846882508</v>
      </c>
      <c r="I1507" s="147" t="str">
        <f t="shared" si="47"/>
        <v>0500</v>
      </c>
    </row>
    <row r="1508" spans="1:9">
      <c r="A1508" s="54" t="s">
        <v>180</v>
      </c>
      <c r="B1508" s="262" t="s">
        <v>1080</v>
      </c>
      <c r="C1508" s="262" t="s">
        <v>452</v>
      </c>
      <c r="D1508" s="262" t="s">
        <v>1468</v>
      </c>
      <c r="E1508" s="263" t="s">
        <v>1468</v>
      </c>
      <c r="F1508" s="370">
        <v>5049333.1900000004</v>
      </c>
      <c r="G1508" s="370">
        <v>4346251.8600000003</v>
      </c>
      <c r="H1508" s="368">
        <f t="shared" si="48"/>
        <v>86.075758846882508</v>
      </c>
      <c r="I1508" s="147" t="str">
        <f t="shared" si="47"/>
        <v>0502</v>
      </c>
    </row>
    <row r="1509" spans="1:9" ht="38.25">
      <c r="A1509" s="54" t="s">
        <v>545</v>
      </c>
      <c r="B1509" s="262" t="s">
        <v>1080</v>
      </c>
      <c r="C1509" s="262" t="s">
        <v>452</v>
      </c>
      <c r="D1509" s="262" t="s">
        <v>1113</v>
      </c>
      <c r="E1509" s="263" t="s">
        <v>1468</v>
      </c>
      <c r="F1509" s="370">
        <v>5049333.1900000004</v>
      </c>
      <c r="G1509" s="370">
        <v>4346251.8600000003</v>
      </c>
      <c r="H1509" s="368">
        <f t="shared" si="48"/>
        <v>86.075758846882508</v>
      </c>
      <c r="I1509" s="147" t="str">
        <f t="shared" si="47"/>
        <v>05020300000000</v>
      </c>
    </row>
    <row r="1510" spans="1:9" ht="38.25">
      <c r="A1510" s="54" t="s">
        <v>700</v>
      </c>
      <c r="B1510" s="262" t="s">
        <v>1080</v>
      </c>
      <c r="C1510" s="262" t="s">
        <v>452</v>
      </c>
      <c r="D1510" s="262" t="s">
        <v>1114</v>
      </c>
      <c r="E1510" s="263" t="s">
        <v>1468</v>
      </c>
      <c r="F1510" s="370">
        <v>5049333.1900000004</v>
      </c>
      <c r="G1510" s="370">
        <v>4346251.8600000003</v>
      </c>
      <c r="H1510" s="368">
        <f t="shared" si="48"/>
        <v>86.075758846882508</v>
      </c>
      <c r="I1510" s="147" t="str">
        <f t="shared" si="47"/>
        <v>05020320000000</v>
      </c>
    </row>
    <row r="1511" spans="1:9" ht="114.75">
      <c r="A1511" s="54" t="s">
        <v>1423</v>
      </c>
      <c r="B1511" s="262" t="s">
        <v>1080</v>
      </c>
      <c r="C1511" s="262" t="s">
        <v>452</v>
      </c>
      <c r="D1511" s="262" t="s">
        <v>807</v>
      </c>
      <c r="E1511" s="263" t="s">
        <v>1468</v>
      </c>
      <c r="F1511" s="370">
        <v>1380855</v>
      </c>
      <c r="G1511" s="370">
        <v>1379855</v>
      </c>
      <c r="H1511" s="368">
        <f t="shared" si="48"/>
        <v>99.927581100115503</v>
      </c>
      <c r="I1511" s="147" t="str">
        <f t="shared" si="47"/>
        <v>05020320075700</v>
      </c>
    </row>
    <row r="1512" spans="1:9" ht="63.75">
      <c r="A1512" s="54" t="s">
        <v>1754</v>
      </c>
      <c r="B1512" s="262" t="s">
        <v>1080</v>
      </c>
      <c r="C1512" s="262" t="s">
        <v>452</v>
      </c>
      <c r="D1512" s="262" t="s">
        <v>807</v>
      </c>
      <c r="E1512" s="263" t="s">
        <v>322</v>
      </c>
      <c r="F1512" s="370">
        <v>1196639.6499999999</v>
      </c>
      <c r="G1512" s="370">
        <f>G1513</f>
        <v>1196639.6499999999</v>
      </c>
      <c r="H1512" s="368">
        <f t="shared" si="48"/>
        <v>100</v>
      </c>
      <c r="I1512" s="147" t="str">
        <f t="shared" si="47"/>
        <v>05020320075700100</v>
      </c>
    </row>
    <row r="1513" spans="1:9" ht="25.5">
      <c r="A1513" s="54" t="s">
        <v>1487</v>
      </c>
      <c r="B1513" s="262" t="s">
        <v>1080</v>
      </c>
      <c r="C1513" s="262" t="s">
        <v>452</v>
      </c>
      <c r="D1513" s="262" t="s">
        <v>807</v>
      </c>
      <c r="E1513" s="263" t="s">
        <v>165</v>
      </c>
      <c r="F1513" s="370">
        <v>1196639.6499999999</v>
      </c>
      <c r="G1513" s="370">
        <f>G1514+G1515</f>
        <v>1196639.6499999999</v>
      </c>
      <c r="H1513" s="368">
        <f t="shared" si="48"/>
        <v>100</v>
      </c>
      <c r="I1513" s="147" t="str">
        <f t="shared" ref="I1513:I1576" si="49">CONCATENATE(C1513,D1513,E1513)</f>
        <v>05020320075700110</v>
      </c>
    </row>
    <row r="1514" spans="1:9">
      <c r="A1514" s="54" t="s">
        <v>1360</v>
      </c>
      <c r="B1514" s="262" t="s">
        <v>1080</v>
      </c>
      <c r="C1514" s="262" t="s">
        <v>452</v>
      </c>
      <c r="D1514" s="262" t="s">
        <v>807</v>
      </c>
      <c r="E1514" s="263" t="s">
        <v>430</v>
      </c>
      <c r="F1514" s="370">
        <v>831394</v>
      </c>
      <c r="G1514" s="370">
        <v>831394</v>
      </c>
      <c r="H1514" s="368">
        <f t="shared" si="48"/>
        <v>100</v>
      </c>
      <c r="I1514" s="147" t="str">
        <f t="shared" si="49"/>
        <v>05020320075700111</v>
      </c>
    </row>
    <row r="1515" spans="1:9" ht="51">
      <c r="A1515" s="54" t="s">
        <v>1361</v>
      </c>
      <c r="B1515" s="262" t="s">
        <v>1080</v>
      </c>
      <c r="C1515" s="262" t="s">
        <v>452</v>
      </c>
      <c r="D1515" s="262" t="s">
        <v>807</v>
      </c>
      <c r="E1515" s="263" t="s">
        <v>1197</v>
      </c>
      <c r="F1515" s="370">
        <v>365245.65</v>
      </c>
      <c r="G1515" s="370">
        <v>365245.65</v>
      </c>
      <c r="H1515" s="368">
        <f t="shared" si="48"/>
        <v>100</v>
      </c>
      <c r="I1515" s="147" t="str">
        <f t="shared" si="49"/>
        <v>05020320075700119</v>
      </c>
    </row>
    <row r="1516" spans="1:9" ht="25.5">
      <c r="A1516" s="54" t="s">
        <v>1755</v>
      </c>
      <c r="B1516" s="262" t="s">
        <v>1080</v>
      </c>
      <c r="C1516" s="262" t="s">
        <v>452</v>
      </c>
      <c r="D1516" s="262" t="s">
        <v>807</v>
      </c>
      <c r="E1516" s="263" t="s">
        <v>1756</v>
      </c>
      <c r="F1516" s="370">
        <v>155085.35</v>
      </c>
      <c r="G1516" s="370">
        <v>155085.35</v>
      </c>
      <c r="H1516" s="368">
        <f t="shared" si="48"/>
        <v>100</v>
      </c>
      <c r="I1516" s="147" t="str">
        <f t="shared" si="49"/>
        <v>05020320075700200</v>
      </c>
    </row>
    <row r="1517" spans="1:9" ht="38.25">
      <c r="A1517" s="54" t="s">
        <v>1502</v>
      </c>
      <c r="B1517" s="262" t="s">
        <v>1080</v>
      </c>
      <c r="C1517" s="262" t="s">
        <v>452</v>
      </c>
      <c r="D1517" s="262" t="s">
        <v>807</v>
      </c>
      <c r="E1517" s="263" t="s">
        <v>1503</v>
      </c>
      <c r="F1517" s="370">
        <v>155085.35</v>
      </c>
      <c r="G1517" s="370">
        <v>155085.35</v>
      </c>
      <c r="H1517" s="368">
        <f t="shared" si="48"/>
        <v>100</v>
      </c>
      <c r="I1517" s="147" t="str">
        <f t="shared" si="49"/>
        <v>05020320075700240</v>
      </c>
    </row>
    <row r="1518" spans="1:9">
      <c r="A1518" s="54" t="s">
        <v>1577</v>
      </c>
      <c r="B1518" s="262" t="s">
        <v>1080</v>
      </c>
      <c r="C1518" s="262" t="s">
        <v>452</v>
      </c>
      <c r="D1518" s="262" t="s">
        <v>807</v>
      </c>
      <c r="E1518" s="263" t="s">
        <v>416</v>
      </c>
      <c r="F1518" s="370">
        <v>155085.35</v>
      </c>
      <c r="G1518" s="370">
        <v>155085.35</v>
      </c>
      <c r="H1518" s="368">
        <f t="shared" si="48"/>
        <v>100</v>
      </c>
      <c r="I1518" s="147" t="str">
        <f t="shared" si="49"/>
        <v>05020320075700244</v>
      </c>
    </row>
    <row r="1519" spans="1:9">
      <c r="A1519" s="54" t="s">
        <v>1757</v>
      </c>
      <c r="B1519" s="262" t="s">
        <v>1080</v>
      </c>
      <c r="C1519" s="262" t="s">
        <v>452</v>
      </c>
      <c r="D1519" s="262" t="s">
        <v>807</v>
      </c>
      <c r="E1519" s="263" t="s">
        <v>1758</v>
      </c>
      <c r="F1519" s="370">
        <v>29130</v>
      </c>
      <c r="G1519" s="370">
        <f>G1520</f>
        <v>28130</v>
      </c>
      <c r="H1519" s="368">
        <f t="shared" si="48"/>
        <v>96.567112941984206</v>
      </c>
      <c r="I1519" s="147" t="str">
        <f t="shared" si="49"/>
        <v>05020320075700800</v>
      </c>
    </row>
    <row r="1520" spans="1:9">
      <c r="A1520" s="54" t="s">
        <v>1507</v>
      </c>
      <c r="B1520" s="262" t="s">
        <v>1080</v>
      </c>
      <c r="C1520" s="262" t="s">
        <v>452</v>
      </c>
      <c r="D1520" s="262" t="s">
        <v>807</v>
      </c>
      <c r="E1520" s="263" t="s">
        <v>1508</v>
      </c>
      <c r="F1520" s="370">
        <v>29130</v>
      </c>
      <c r="G1520" s="370">
        <f>G1521+G1522</f>
        <v>28130</v>
      </c>
      <c r="H1520" s="368">
        <f t="shared" si="48"/>
        <v>96.567112941984206</v>
      </c>
      <c r="I1520" s="147" t="str">
        <f t="shared" si="49"/>
        <v>05020320075700850</v>
      </c>
    </row>
    <row r="1521" spans="1:9">
      <c r="A1521" s="54" t="s">
        <v>1082</v>
      </c>
      <c r="B1521" s="262" t="s">
        <v>1080</v>
      </c>
      <c r="C1521" s="262" t="s">
        <v>452</v>
      </c>
      <c r="D1521" s="262" t="s">
        <v>807</v>
      </c>
      <c r="E1521" s="263" t="s">
        <v>591</v>
      </c>
      <c r="F1521" s="370">
        <v>28130</v>
      </c>
      <c r="G1521" s="370">
        <v>28130</v>
      </c>
      <c r="H1521" s="368">
        <f t="shared" si="48"/>
        <v>100</v>
      </c>
      <c r="I1521" s="147" t="str">
        <f t="shared" si="49"/>
        <v>05020320075700852</v>
      </c>
    </row>
    <row r="1522" spans="1:9">
      <c r="A1522" s="54" t="s">
        <v>1198</v>
      </c>
      <c r="B1522" s="262" t="s">
        <v>1080</v>
      </c>
      <c r="C1522" s="262" t="s">
        <v>452</v>
      </c>
      <c r="D1522" s="262" t="s">
        <v>807</v>
      </c>
      <c r="E1522" s="263" t="s">
        <v>1199</v>
      </c>
      <c r="F1522" s="370">
        <v>1000</v>
      </c>
      <c r="G1522" s="370">
        <v>0</v>
      </c>
      <c r="H1522" s="368">
        <f t="shared" si="48"/>
        <v>0</v>
      </c>
      <c r="I1522" s="147" t="str">
        <f t="shared" si="49"/>
        <v>05020320075700853</v>
      </c>
    </row>
    <row r="1523" spans="1:9" ht="114.75">
      <c r="A1523" s="54" t="s">
        <v>1747</v>
      </c>
      <c r="B1523" s="262" t="s">
        <v>1080</v>
      </c>
      <c r="C1523" s="262" t="s">
        <v>452</v>
      </c>
      <c r="D1523" s="262" t="s">
        <v>1748</v>
      </c>
      <c r="E1523" s="263" t="s">
        <v>1468</v>
      </c>
      <c r="F1523" s="370">
        <v>2683553.37</v>
      </c>
      <c r="G1523" s="370">
        <v>2131660.13</v>
      </c>
      <c r="H1523" s="368">
        <f t="shared" si="48"/>
        <v>79.434236480267941</v>
      </c>
      <c r="I1523" s="147" t="str">
        <f t="shared" si="49"/>
        <v>05020320080090</v>
      </c>
    </row>
    <row r="1524" spans="1:9" ht="63.75">
      <c r="A1524" s="54" t="s">
        <v>1754</v>
      </c>
      <c r="B1524" s="262" t="s">
        <v>1080</v>
      </c>
      <c r="C1524" s="262" t="s">
        <v>452</v>
      </c>
      <c r="D1524" s="262" t="s">
        <v>1748</v>
      </c>
      <c r="E1524" s="263" t="s">
        <v>322</v>
      </c>
      <c r="F1524" s="370">
        <v>1119771</v>
      </c>
      <c r="G1524" s="370">
        <f>G1525</f>
        <v>1021676.02</v>
      </c>
      <c r="H1524" s="368">
        <f t="shared" si="48"/>
        <v>91.239728480198195</v>
      </c>
      <c r="I1524" s="147" t="str">
        <f t="shared" si="49"/>
        <v>05020320080090100</v>
      </c>
    </row>
    <row r="1525" spans="1:9" ht="25.5">
      <c r="A1525" s="54" t="s">
        <v>1487</v>
      </c>
      <c r="B1525" s="262" t="s">
        <v>1080</v>
      </c>
      <c r="C1525" s="262" t="s">
        <v>452</v>
      </c>
      <c r="D1525" s="262" t="s">
        <v>1748</v>
      </c>
      <c r="E1525" s="263" t="s">
        <v>165</v>
      </c>
      <c r="F1525" s="370">
        <v>1119771</v>
      </c>
      <c r="G1525" s="370">
        <f>G1526+G1527+G1528</f>
        <v>1021676.02</v>
      </c>
      <c r="H1525" s="368">
        <f t="shared" si="48"/>
        <v>91.239728480198195</v>
      </c>
      <c r="I1525" s="147" t="str">
        <f t="shared" si="49"/>
        <v>05020320080090110</v>
      </c>
    </row>
    <row r="1526" spans="1:9">
      <c r="A1526" s="54" t="s">
        <v>1360</v>
      </c>
      <c r="B1526" s="262" t="s">
        <v>1080</v>
      </c>
      <c r="C1526" s="262" t="s">
        <v>452</v>
      </c>
      <c r="D1526" s="262" t="s">
        <v>1748</v>
      </c>
      <c r="E1526" s="263" t="s">
        <v>430</v>
      </c>
      <c r="F1526" s="370">
        <v>919700</v>
      </c>
      <c r="G1526" s="370">
        <v>846030.03</v>
      </c>
      <c r="H1526" s="368">
        <f t="shared" si="48"/>
        <v>91.989782537784066</v>
      </c>
      <c r="I1526" s="147" t="str">
        <f t="shared" si="49"/>
        <v>05020320080090111</v>
      </c>
    </row>
    <row r="1527" spans="1:9" ht="25.5">
      <c r="A1527" s="54" t="s">
        <v>1369</v>
      </c>
      <c r="B1527" s="262" t="s">
        <v>1080</v>
      </c>
      <c r="C1527" s="262" t="s">
        <v>452</v>
      </c>
      <c r="D1527" s="262" t="s">
        <v>1748</v>
      </c>
      <c r="E1527" s="263" t="s">
        <v>479</v>
      </c>
      <c r="F1527" s="370">
        <v>12901</v>
      </c>
      <c r="G1527" s="370">
        <v>12901</v>
      </c>
      <c r="H1527" s="368">
        <f t="shared" si="48"/>
        <v>100</v>
      </c>
      <c r="I1527" s="147" t="str">
        <f t="shared" si="49"/>
        <v>05020320080090112</v>
      </c>
    </row>
    <row r="1528" spans="1:9" ht="51">
      <c r="A1528" s="54" t="s">
        <v>1361</v>
      </c>
      <c r="B1528" s="262" t="s">
        <v>1080</v>
      </c>
      <c r="C1528" s="262" t="s">
        <v>452</v>
      </c>
      <c r="D1528" s="262" t="s">
        <v>1748</v>
      </c>
      <c r="E1528" s="263" t="s">
        <v>1197</v>
      </c>
      <c r="F1528" s="370">
        <v>187170</v>
      </c>
      <c r="G1528" s="370">
        <v>162744.99</v>
      </c>
      <c r="H1528" s="368">
        <f t="shared" si="48"/>
        <v>86.9503606347171</v>
      </c>
      <c r="I1528" s="147" t="str">
        <f t="shared" si="49"/>
        <v>05020320080090119</v>
      </c>
    </row>
    <row r="1529" spans="1:9" ht="25.5">
      <c r="A1529" s="54" t="s">
        <v>1755</v>
      </c>
      <c r="B1529" s="262" t="s">
        <v>1080</v>
      </c>
      <c r="C1529" s="262" t="s">
        <v>452</v>
      </c>
      <c r="D1529" s="262" t="s">
        <v>1748</v>
      </c>
      <c r="E1529" s="263" t="s">
        <v>1756</v>
      </c>
      <c r="F1529" s="370">
        <v>1430287.15</v>
      </c>
      <c r="G1529" s="370">
        <v>976488.89</v>
      </c>
      <c r="H1529" s="368">
        <f t="shared" si="48"/>
        <v>68.272227013995064</v>
      </c>
      <c r="I1529" s="147" t="str">
        <f t="shared" si="49"/>
        <v>05020320080090200</v>
      </c>
    </row>
    <row r="1530" spans="1:9" ht="38.25">
      <c r="A1530" s="54" t="s">
        <v>1502</v>
      </c>
      <c r="B1530" s="262" t="s">
        <v>1080</v>
      </c>
      <c r="C1530" s="262" t="s">
        <v>452</v>
      </c>
      <c r="D1530" s="262" t="s">
        <v>1748</v>
      </c>
      <c r="E1530" s="263" t="s">
        <v>1503</v>
      </c>
      <c r="F1530" s="370">
        <v>1430287.15</v>
      </c>
      <c r="G1530" s="370">
        <v>976488.89</v>
      </c>
      <c r="H1530" s="368">
        <f t="shared" si="48"/>
        <v>68.272227013995064</v>
      </c>
      <c r="I1530" s="147" t="str">
        <f t="shared" si="49"/>
        <v>05020320080090240</v>
      </c>
    </row>
    <row r="1531" spans="1:9">
      <c r="A1531" s="54" t="s">
        <v>1577</v>
      </c>
      <c r="B1531" s="262" t="s">
        <v>1080</v>
      </c>
      <c r="C1531" s="262" t="s">
        <v>452</v>
      </c>
      <c r="D1531" s="262" t="s">
        <v>1748</v>
      </c>
      <c r="E1531" s="263" t="s">
        <v>416</v>
      </c>
      <c r="F1531" s="370">
        <v>1430287.15</v>
      </c>
      <c r="G1531" s="370">
        <v>976488.89</v>
      </c>
      <c r="H1531" s="368">
        <f t="shared" si="48"/>
        <v>68.272227013995064</v>
      </c>
      <c r="I1531" s="147" t="str">
        <f t="shared" si="49"/>
        <v>05020320080090244</v>
      </c>
    </row>
    <row r="1532" spans="1:9">
      <c r="A1532" s="54" t="s">
        <v>1757</v>
      </c>
      <c r="B1532" s="262" t="s">
        <v>1080</v>
      </c>
      <c r="C1532" s="262" t="s">
        <v>452</v>
      </c>
      <c r="D1532" s="262" t="s">
        <v>1748</v>
      </c>
      <c r="E1532" s="263" t="s">
        <v>1758</v>
      </c>
      <c r="F1532" s="370">
        <v>133495.22</v>
      </c>
      <c r="G1532" s="370">
        <f>G1533</f>
        <v>133495.22</v>
      </c>
      <c r="H1532" s="368">
        <f t="shared" si="48"/>
        <v>100</v>
      </c>
      <c r="I1532" s="147" t="str">
        <f t="shared" si="49"/>
        <v>05020320080090800</v>
      </c>
    </row>
    <row r="1533" spans="1:9">
      <c r="A1533" s="54" t="s">
        <v>1507</v>
      </c>
      <c r="B1533" s="262" t="s">
        <v>1080</v>
      </c>
      <c r="C1533" s="262" t="s">
        <v>452</v>
      </c>
      <c r="D1533" s="262" t="s">
        <v>1748</v>
      </c>
      <c r="E1533" s="263" t="s">
        <v>1508</v>
      </c>
      <c r="F1533" s="370">
        <v>133495.22</v>
      </c>
      <c r="G1533" s="370">
        <f>G1534+G1535</f>
        <v>133495.22</v>
      </c>
      <c r="H1533" s="368">
        <f t="shared" si="48"/>
        <v>100</v>
      </c>
      <c r="I1533" s="147" t="str">
        <f t="shared" si="49"/>
        <v>05020320080090850</v>
      </c>
    </row>
    <row r="1534" spans="1:9">
      <c r="A1534" s="54" t="s">
        <v>1082</v>
      </c>
      <c r="B1534" s="262" t="s">
        <v>1080</v>
      </c>
      <c r="C1534" s="262" t="s">
        <v>452</v>
      </c>
      <c r="D1534" s="262" t="s">
        <v>1748</v>
      </c>
      <c r="E1534" s="263" t="s">
        <v>591</v>
      </c>
      <c r="F1534" s="370">
        <v>131003.73</v>
      </c>
      <c r="G1534" s="370">
        <v>131003.73</v>
      </c>
      <c r="H1534" s="368">
        <f t="shared" si="48"/>
        <v>100</v>
      </c>
      <c r="I1534" s="147" t="str">
        <f t="shared" si="49"/>
        <v>05020320080090852</v>
      </c>
    </row>
    <row r="1535" spans="1:9">
      <c r="A1535" s="54" t="s">
        <v>1198</v>
      </c>
      <c r="B1535" s="262" t="s">
        <v>1080</v>
      </c>
      <c r="C1535" s="262" t="s">
        <v>452</v>
      </c>
      <c r="D1535" s="262" t="s">
        <v>1748</v>
      </c>
      <c r="E1535" s="263" t="s">
        <v>1199</v>
      </c>
      <c r="F1535" s="370">
        <v>2491.4899999999998</v>
      </c>
      <c r="G1535" s="370">
        <v>2491.4899999999998</v>
      </c>
      <c r="H1535" s="368">
        <f t="shared" si="48"/>
        <v>100</v>
      </c>
      <c r="I1535" s="147" t="str">
        <f t="shared" si="49"/>
        <v>05020320080090853</v>
      </c>
    </row>
    <row r="1536" spans="1:9" ht="165.75">
      <c r="A1536" s="54" t="s">
        <v>1866</v>
      </c>
      <c r="B1536" s="262" t="s">
        <v>1080</v>
      </c>
      <c r="C1536" s="262" t="s">
        <v>452</v>
      </c>
      <c r="D1536" s="262" t="s">
        <v>1867</v>
      </c>
      <c r="E1536" s="263" t="s">
        <v>1468</v>
      </c>
      <c r="F1536" s="370">
        <v>324611.21000000002</v>
      </c>
      <c r="G1536" s="370">
        <v>324611.21000000002</v>
      </c>
      <c r="H1536" s="368">
        <f t="shared" si="48"/>
        <v>100</v>
      </c>
      <c r="I1536" s="147" t="str">
        <f t="shared" si="49"/>
        <v>05020320081090</v>
      </c>
    </row>
    <row r="1537" spans="1:9" ht="63.75">
      <c r="A1537" s="54" t="s">
        <v>1754</v>
      </c>
      <c r="B1537" s="262" t="s">
        <v>1080</v>
      </c>
      <c r="C1537" s="262" t="s">
        <v>452</v>
      </c>
      <c r="D1537" s="262" t="s">
        <v>1867</v>
      </c>
      <c r="E1537" s="263" t="s">
        <v>322</v>
      </c>
      <c r="F1537" s="370">
        <v>324611.21000000002</v>
      </c>
      <c r="G1537" s="370">
        <v>324611.21000000002</v>
      </c>
      <c r="H1537" s="368">
        <f t="shared" si="48"/>
        <v>100</v>
      </c>
      <c r="I1537" s="147" t="str">
        <f t="shared" si="49"/>
        <v>05020320081090100</v>
      </c>
    </row>
    <row r="1538" spans="1:9" ht="25.5">
      <c r="A1538" s="54" t="s">
        <v>1487</v>
      </c>
      <c r="B1538" s="262" t="s">
        <v>1080</v>
      </c>
      <c r="C1538" s="262" t="s">
        <v>452</v>
      </c>
      <c r="D1538" s="262" t="s">
        <v>1867</v>
      </c>
      <c r="E1538" s="263" t="s">
        <v>165</v>
      </c>
      <c r="F1538" s="370">
        <v>324611.21000000002</v>
      </c>
      <c r="G1538" s="370">
        <v>324611.21000000002</v>
      </c>
      <c r="H1538" s="368">
        <f t="shared" si="48"/>
        <v>100</v>
      </c>
      <c r="I1538" s="147" t="str">
        <f t="shared" si="49"/>
        <v>05020320081090110</v>
      </c>
    </row>
    <row r="1539" spans="1:9">
      <c r="A1539" s="54" t="s">
        <v>1360</v>
      </c>
      <c r="B1539" s="262" t="s">
        <v>1080</v>
      </c>
      <c r="C1539" s="262" t="s">
        <v>452</v>
      </c>
      <c r="D1539" s="262" t="s">
        <v>1867</v>
      </c>
      <c r="E1539" s="263" t="s">
        <v>430</v>
      </c>
      <c r="F1539" s="370">
        <v>249317.39</v>
      </c>
      <c r="G1539" s="370">
        <v>249317.39</v>
      </c>
      <c r="H1539" s="368">
        <f t="shared" si="48"/>
        <v>100</v>
      </c>
      <c r="I1539" s="147" t="str">
        <f t="shared" si="49"/>
        <v>05020320081090111</v>
      </c>
    </row>
    <row r="1540" spans="1:9" ht="51">
      <c r="A1540" s="54" t="s">
        <v>1361</v>
      </c>
      <c r="B1540" s="262" t="s">
        <v>1080</v>
      </c>
      <c r="C1540" s="262" t="s">
        <v>452</v>
      </c>
      <c r="D1540" s="262" t="s">
        <v>1867</v>
      </c>
      <c r="E1540" s="263" t="s">
        <v>1197</v>
      </c>
      <c r="F1540" s="370">
        <v>75293.820000000007</v>
      </c>
      <c r="G1540" s="370">
        <v>75293.820000000007</v>
      </c>
      <c r="H1540" s="368">
        <f t="shared" si="48"/>
        <v>100</v>
      </c>
      <c r="I1540" s="147" t="str">
        <f t="shared" si="49"/>
        <v>05020320081090119</v>
      </c>
    </row>
    <row r="1541" spans="1:9" ht="127.5">
      <c r="A1541" s="54" t="s">
        <v>1749</v>
      </c>
      <c r="B1541" s="262" t="s">
        <v>1080</v>
      </c>
      <c r="C1541" s="262" t="s">
        <v>452</v>
      </c>
      <c r="D1541" s="262" t="s">
        <v>1750</v>
      </c>
      <c r="E1541" s="263" t="s">
        <v>1468</v>
      </c>
      <c r="F1541" s="370">
        <v>36880.800000000003</v>
      </c>
      <c r="G1541" s="370">
        <v>36880.800000000003</v>
      </c>
      <c r="H1541" s="368">
        <f t="shared" si="48"/>
        <v>100</v>
      </c>
      <c r="I1541" s="147" t="str">
        <f t="shared" si="49"/>
        <v>05020320087090</v>
      </c>
    </row>
    <row r="1542" spans="1:9" ht="63.75">
      <c r="A1542" s="54" t="s">
        <v>1754</v>
      </c>
      <c r="B1542" s="262" t="s">
        <v>1080</v>
      </c>
      <c r="C1542" s="262" t="s">
        <v>452</v>
      </c>
      <c r="D1542" s="262" t="s">
        <v>1750</v>
      </c>
      <c r="E1542" s="263" t="s">
        <v>322</v>
      </c>
      <c r="F1542" s="370">
        <v>36880.800000000003</v>
      </c>
      <c r="G1542" s="370">
        <v>36880.800000000003</v>
      </c>
      <c r="H1542" s="368">
        <f t="shared" si="48"/>
        <v>100</v>
      </c>
      <c r="I1542" s="147" t="str">
        <f t="shared" si="49"/>
        <v>05020320087090100</v>
      </c>
    </row>
    <row r="1543" spans="1:9" ht="25.5">
      <c r="A1543" s="54" t="s">
        <v>1487</v>
      </c>
      <c r="B1543" s="262" t="s">
        <v>1080</v>
      </c>
      <c r="C1543" s="262" t="s">
        <v>452</v>
      </c>
      <c r="D1543" s="262" t="s">
        <v>1750</v>
      </c>
      <c r="E1543" s="263" t="s">
        <v>165</v>
      </c>
      <c r="F1543" s="370">
        <v>36880.800000000003</v>
      </c>
      <c r="G1543" s="370">
        <v>36880.800000000003</v>
      </c>
      <c r="H1543" s="368">
        <f t="shared" si="48"/>
        <v>100</v>
      </c>
      <c r="I1543" s="147" t="str">
        <f t="shared" si="49"/>
        <v>05020320087090110</v>
      </c>
    </row>
    <row r="1544" spans="1:9" ht="25.5">
      <c r="A1544" s="54" t="s">
        <v>1369</v>
      </c>
      <c r="B1544" s="262" t="s">
        <v>1080</v>
      </c>
      <c r="C1544" s="262" t="s">
        <v>452</v>
      </c>
      <c r="D1544" s="262" t="s">
        <v>1750</v>
      </c>
      <c r="E1544" s="263" t="s">
        <v>479</v>
      </c>
      <c r="F1544" s="370">
        <v>36880.800000000003</v>
      </c>
      <c r="G1544" s="370">
        <v>36880.800000000003</v>
      </c>
      <c r="H1544" s="368">
        <f t="shared" ref="H1544:H1607" si="50">G1544/F1544*100</f>
        <v>100</v>
      </c>
      <c r="I1544" s="147" t="str">
        <f t="shared" si="49"/>
        <v>05020320087090112</v>
      </c>
    </row>
    <row r="1545" spans="1:9" ht="127.5">
      <c r="A1545" s="54" t="s">
        <v>1751</v>
      </c>
      <c r="B1545" s="262" t="s">
        <v>1080</v>
      </c>
      <c r="C1545" s="262" t="s">
        <v>452</v>
      </c>
      <c r="D1545" s="262" t="s">
        <v>1752</v>
      </c>
      <c r="E1545" s="263" t="s">
        <v>1468</v>
      </c>
      <c r="F1545" s="370">
        <v>608682.81000000006</v>
      </c>
      <c r="G1545" s="370">
        <v>458494.71999999997</v>
      </c>
      <c r="H1545" s="368">
        <f t="shared" si="50"/>
        <v>75.325721782745916</v>
      </c>
      <c r="I1545" s="147" t="str">
        <f t="shared" si="49"/>
        <v>0502032008Г090</v>
      </c>
    </row>
    <row r="1546" spans="1:9" ht="25.5">
      <c r="A1546" s="54" t="s">
        <v>1755</v>
      </c>
      <c r="B1546" s="262" t="s">
        <v>1080</v>
      </c>
      <c r="C1546" s="262" t="s">
        <v>452</v>
      </c>
      <c r="D1546" s="262" t="s">
        <v>1752</v>
      </c>
      <c r="E1546" s="263" t="s">
        <v>1756</v>
      </c>
      <c r="F1546" s="370">
        <v>608682.81000000006</v>
      </c>
      <c r="G1546" s="370">
        <v>458494.71999999997</v>
      </c>
      <c r="H1546" s="368">
        <f t="shared" si="50"/>
        <v>75.325721782745916</v>
      </c>
      <c r="I1546" s="147" t="str">
        <f t="shared" si="49"/>
        <v>0502032008Г090200</v>
      </c>
    </row>
    <row r="1547" spans="1:9" ht="38.25">
      <c r="A1547" s="54" t="s">
        <v>1502</v>
      </c>
      <c r="B1547" s="262" t="s">
        <v>1080</v>
      </c>
      <c r="C1547" s="262" t="s">
        <v>452</v>
      </c>
      <c r="D1547" s="262" t="s">
        <v>1752</v>
      </c>
      <c r="E1547" s="263" t="s">
        <v>1503</v>
      </c>
      <c r="F1547" s="370">
        <v>608682.81000000006</v>
      </c>
      <c r="G1547" s="370">
        <v>458494.71999999997</v>
      </c>
      <c r="H1547" s="368">
        <f t="shared" si="50"/>
        <v>75.325721782745916</v>
      </c>
      <c r="I1547" s="147" t="str">
        <f t="shared" si="49"/>
        <v>0502032008Г090240</v>
      </c>
    </row>
    <row r="1548" spans="1:9">
      <c r="A1548" s="54" t="s">
        <v>1577</v>
      </c>
      <c r="B1548" s="262" t="s">
        <v>1080</v>
      </c>
      <c r="C1548" s="262" t="s">
        <v>452</v>
      </c>
      <c r="D1548" s="262" t="s">
        <v>1752</v>
      </c>
      <c r="E1548" s="263" t="s">
        <v>416</v>
      </c>
      <c r="F1548" s="370">
        <v>608682.81000000006</v>
      </c>
      <c r="G1548" s="370">
        <v>458494.71999999997</v>
      </c>
      <c r="H1548" s="368">
        <f t="shared" si="50"/>
        <v>75.325721782745916</v>
      </c>
      <c r="I1548" s="147" t="str">
        <f t="shared" si="49"/>
        <v>0502032008Г090244</v>
      </c>
    </row>
    <row r="1549" spans="1:9" ht="114.75">
      <c r="A1549" s="54" t="s">
        <v>1945</v>
      </c>
      <c r="B1549" s="262" t="s">
        <v>1080</v>
      </c>
      <c r="C1549" s="262" t="s">
        <v>452</v>
      </c>
      <c r="D1549" s="262" t="s">
        <v>1946</v>
      </c>
      <c r="E1549" s="263" t="s">
        <v>1468</v>
      </c>
      <c r="F1549" s="370">
        <v>14750</v>
      </c>
      <c r="G1549" s="370">
        <v>14750</v>
      </c>
      <c r="H1549" s="368">
        <f t="shared" si="50"/>
        <v>100</v>
      </c>
      <c r="I1549" s="147" t="str">
        <f t="shared" si="49"/>
        <v>0502032008Ф090</v>
      </c>
    </row>
    <row r="1550" spans="1:9" ht="25.5">
      <c r="A1550" s="54" t="s">
        <v>1755</v>
      </c>
      <c r="B1550" s="262" t="s">
        <v>1080</v>
      </c>
      <c r="C1550" s="262" t="s">
        <v>452</v>
      </c>
      <c r="D1550" s="262" t="s">
        <v>1946</v>
      </c>
      <c r="E1550" s="263" t="s">
        <v>1756</v>
      </c>
      <c r="F1550" s="370">
        <v>14750</v>
      </c>
      <c r="G1550" s="370">
        <v>14750</v>
      </c>
      <c r="H1550" s="368">
        <f t="shared" si="50"/>
        <v>100</v>
      </c>
      <c r="I1550" s="147" t="str">
        <f t="shared" si="49"/>
        <v>0502032008Ф090200</v>
      </c>
    </row>
    <row r="1551" spans="1:9" ht="38.25">
      <c r="A1551" s="54" t="s">
        <v>1502</v>
      </c>
      <c r="B1551" s="262" t="s">
        <v>1080</v>
      </c>
      <c r="C1551" s="262" t="s">
        <v>452</v>
      </c>
      <c r="D1551" s="262" t="s">
        <v>1946</v>
      </c>
      <c r="E1551" s="263" t="s">
        <v>1503</v>
      </c>
      <c r="F1551" s="370">
        <v>14750</v>
      </c>
      <c r="G1551" s="370">
        <v>14750</v>
      </c>
      <c r="H1551" s="368">
        <f t="shared" si="50"/>
        <v>100</v>
      </c>
      <c r="I1551" s="147" t="str">
        <f t="shared" si="49"/>
        <v>0502032008Ф090240</v>
      </c>
    </row>
    <row r="1552" spans="1:9">
      <c r="A1552" s="54" t="s">
        <v>1577</v>
      </c>
      <c r="B1552" s="262" t="s">
        <v>1080</v>
      </c>
      <c r="C1552" s="262" t="s">
        <v>452</v>
      </c>
      <c r="D1552" s="262" t="s">
        <v>1946</v>
      </c>
      <c r="E1552" s="263" t="s">
        <v>416</v>
      </c>
      <c r="F1552" s="370">
        <v>14750</v>
      </c>
      <c r="G1552" s="370">
        <v>14750</v>
      </c>
      <c r="H1552" s="368">
        <f t="shared" si="50"/>
        <v>100</v>
      </c>
      <c r="I1552" s="147" t="str">
        <f t="shared" si="49"/>
        <v>0502032008Ф090244</v>
      </c>
    </row>
    <row r="1553" spans="1:9" ht="25.5">
      <c r="A1553" s="54" t="s">
        <v>44</v>
      </c>
      <c r="B1553" s="262" t="s">
        <v>249</v>
      </c>
      <c r="C1553" s="262" t="s">
        <v>1468</v>
      </c>
      <c r="D1553" s="262" t="s">
        <v>1468</v>
      </c>
      <c r="E1553" s="263" t="s">
        <v>1468</v>
      </c>
      <c r="F1553" s="370">
        <v>180734856.25999999</v>
      </c>
      <c r="G1553" s="370">
        <f>G1554+G1624+G1631+G1638+G1652+G1668+G1675+G1682+G1689+G1696</f>
        <v>174364253.43000001</v>
      </c>
      <c r="H1553" s="368">
        <f t="shared" si="50"/>
        <v>96.475166461064148</v>
      </c>
      <c r="I1553" s="147" t="str">
        <f t="shared" si="49"/>
        <v/>
      </c>
    </row>
    <row r="1554" spans="1:9">
      <c r="A1554" s="54" t="s">
        <v>278</v>
      </c>
      <c r="B1554" s="262" t="s">
        <v>249</v>
      </c>
      <c r="C1554" s="262" t="s">
        <v>1357</v>
      </c>
      <c r="D1554" s="262" t="s">
        <v>1468</v>
      </c>
      <c r="E1554" s="263" t="s">
        <v>1468</v>
      </c>
      <c r="F1554" s="370">
        <v>17148754.079999998</v>
      </c>
      <c r="G1554" s="370">
        <f>G1555+G1606+G1612</f>
        <v>14631494.470000001</v>
      </c>
      <c r="H1554" s="368">
        <f t="shared" si="50"/>
        <v>85.321034996147091</v>
      </c>
      <c r="I1554" s="147" t="str">
        <f t="shared" si="49"/>
        <v>0100</v>
      </c>
    </row>
    <row r="1555" spans="1:9" ht="38.25">
      <c r="A1555" s="54" t="s">
        <v>260</v>
      </c>
      <c r="B1555" s="262" t="s">
        <v>249</v>
      </c>
      <c r="C1555" s="262" t="s">
        <v>418</v>
      </c>
      <c r="D1555" s="262" t="s">
        <v>1468</v>
      </c>
      <c r="E1555" s="263" t="s">
        <v>1468</v>
      </c>
      <c r="F1555" s="370">
        <v>15169138.279999999</v>
      </c>
      <c r="G1555" s="370">
        <f>G1556</f>
        <v>14216248.66</v>
      </c>
      <c r="H1555" s="368">
        <f t="shared" si="50"/>
        <v>93.718234995218211</v>
      </c>
      <c r="I1555" s="147" t="str">
        <f t="shared" si="49"/>
        <v>0106</v>
      </c>
    </row>
    <row r="1556" spans="1:9" ht="25.5">
      <c r="A1556" s="54" t="s">
        <v>1947</v>
      </c>
      <c r="B1556" s="262" t="s">
        <v>249</v>
      </c>
      <c r="C1556" s="262" t="s">
        <v>418</v>
      </c>
      <c r="D1556" s="262" t="s">
        <v>1139</v>
      </c>
      <c r="E1556" s="263" t="s">
        <v>1468</v>
      </c>
      <c r="F1556" s="370">
        <v>15169138.279999999</v>
      </c>
      <c r="G1556" s="370">
        <v>14216248.66</v>
      </c>
      <c r="H1556" s="368">
        <f t="shared" si="50"/>
        <v>93.718234995218211</v>
      </c>
      <c r="I1556" s="147" t="str">
        <f t="shared" si="49"/>
        <v>01061100000000</v>
      </c>
    </row>
    <row r="1557" spans="1:9" ht="25.5">
      <c r="A1557" s="54" t="s">
        <v>585</v>
      </c>
      <c r="B1557" s="262" t="s">
        <v>249</v>
      </c>
      <c r="C1557" s="262" t="s">
        <v>418</v>
      </c>
      <c r="D1557" s="262" t="s">
        <v>1141</v>
      </c>
      <c r="E1557" s="263" t="s">
        <v>1468</v>
      </c>
      <c r="F1557" s="370">
        <v>15169138.279999999</v>
      </c>
      <c r="G1557" s="370">
        <v>14216248.66</v>
      </c>
      <c r="H1557" s="368">
        <f t="shared" si="50"/>
        <v>93.718234995218211</v>
      </c>
      <c r="I1557" s="147" t="str">
        <f t="shared" si="49"/>
        <v>01061120000000</v>
      </c>
    </row>
    <row r="1558" spans="1:9" ht="76.5">
      <c r="A1558" s="54" t="s">
        <v>514</v>
      </c>
      <c r="B1558" s="262" t="s">
        <v>249</v>
      </c>
      <c r="C1558" s="262" t="s">
        <v>418</v>
      </c>
      <c r="D1558" s="262" t="s">
        <v>916</v>
      </c>
      <c r="E1558" s="263" t="s">
        <v>1468</v>
      </c>
      <c r="F1558" s="370">
        <v>11576153.17</v>
      </c>
      <c r="G1558" s="370">
        <v>10912902.449999999</v>
      </c>
      <c r="H1558" s="368">
        <f t="shared" si="50"/>
        <v>94.270542983839931</v>
      </c>
      <c r="I1558" s="147" t="str">
        <f t="shared" si="49"/>
        <v>01061120060000</v>
      </c>
    </row>
    <row r="1559" spans="1:9" ht="63.75">
      <c r="A1559" s="54" t="s">
        <v>1754</v>
      </c>
      <c r="B1559" s="262" t="s">
        <v>249</v>
      </c>
      <c r="C1559" s="262" t="s">
        <v>418</v>
      </c>
      <c r="D1559" s="262" t="s">
        <v>916</v>
      </c>
      <c r="E1559" s="263" t="s">
        <v>322</v>
      </c>
      <c r="F1559" s="370">
        <v>10090471</v>
      </c>
      <c r="G1559" s="370">
        <f>G1560</f>
        <v>9447892</v>
      </c>
      <c r="H1559" s="368">
        <f t="shared" si="50"/>
        <v>93.631823529347642</v>
      </c>
      <c r="I1559" s="147" t="str">
        <f t="shared" si="49"/>
        <v>01061120060000100</v>
      </c>
    </row>
    <row r="1560" spans="1:9" ht="25.5">
      <c r="A1560" s="54" t="s">
        <v>1509</v>
      </c>
      <c r="B1560" s="262" t="s">
        <v>249</v>
      </c>
      <c r="C1560" s="262" t="s">
        <v>418</v>
      </c>
      <c r="D1560" s="262" t="s">
        <v>916</v>
      </c>
      <c r="E1560" s="263" t="s">
        <v>37</v>
      </c>
      <c r="F1560" s="370">
        <v>10090471</v>
      </c>
      <c r="G1560" s="370">
        <f>G1561+G1562+G1563</f>
        <v>9447892</v>
      </c>
      <c r="H1560" s="368">
        <f t="shared" si="50"/>
        <v>93.631823529347642</v>
      </c>
      <c r="I1560" s="147" t="str">
        <f t="shared" si="49"/>
        <v>01061120060000120</v>
      </c>
    </row>
    <row r="1561" spans="1:9" ht="25.5">
      <c r="A1561" s="54" t="s">
        <v>1081</v>
      </c>
      <c r="B1561" s="262" t="s">
        <v>249</v>
      </c>
      <c r="C1561" s="262" t="s">
        <v>418</v>
      </c>
      <c r="D1561" s="262" t="s">
        <v>916</v>
      </c>
      <c r="E1561" s="263" t="s">
        <v>411</v>
      </c>
      <c r="F1561" s="370">
        <v>7697789</v>
      </c>
      <c r="G1561" s="370">
        <v>7215255.1600000001</v>
      </c>
      <c r="H1561" s="368">
        <f t="shared" si="50"/>
        <v>93.731526805943886</v>
      </c>
      <c r="I1561" s="147" t="str">
        <f t="shared" si="49"/>
        <v>01061120060000121</v>
      </c>
    </row>
    <row r="1562" spans="1:9" ht="38.25">
      <c r="A1562" s="54" t="s">
        <v>412</v>
      </c>
      <c r="B1562" s="262" t="s">
        <v>249</v>
      </c>
      <c r="C1562" s="262" t="s">
        <v>418</v>
      </c>
      <c r="D1562" s="262" t="s">
        <v>916</v>
      </c>
      <c r="E1562" s="263" t="s">
        <v>413</v>
      </c>
      <c r="F1562" s="370">
        <v>67950</v>
      </c>
      <c r="G1562" s="370">
        <v>50100</v>
      </c>
      <c r="H1562" s="368">
        <f t="shared" si="50"/>
        <v>73.730684326710815</v>
      </c>
      <c r="I1562" s="147" t="str">
        <f t="shared" si="49"/>
        <v>01061120060000122</v>
      </c>
    </row>
    <row r="1563" spans="1:9">
      <c r="A1563" s="6" t="s">
        <v>1195</v>
      </c>
      <c r="B1563" s="262" t="s">
        <v>249</v>
      </c>
      <c r="C1563" s="262" t="s">
        <v>418</v>
      </c>
      <c r="D1563" s="262" t="s">
        <v>916</v>
      </c>
      <c r="E1563" s="263" t="s">
        <v>1196</v>
      </c>
      <c r="F1563" s="370">
        <v>2324732</v>
      </c>
      <c r="G1563" s="370">
        <v>2182536.84</v>
      </c>
      <c r="H1563" s="368">
        <f t="shared" si="50"/>
        <v>93.883374083550279</v>
      </c>
      <c r="I1563" s="147" t="str">
        <f t="shared" si="49"/>
        <v>01061120060000129</v>
      </c>
    </row>
    <row r="1564" spans="1:9">
      <c r="A1564" s="6" t="s">
        <v>1755</v>
      </c>
      <c r="B1564" s="262" t="s">
        <v>249</v>
      </c>
      <c r="C1564" s="262" t="s">
        <v>418</v>
      </c>
      <c r="D1564" s="262" t="s">
        <v>916</v>
      </c>
      <c r="E1564" s="263" t="s">
        <v>1756</v>
      </c>
      <c r="F1564" s="370">
        <v>1452945.21</v>
      </c>
      <c r="G1564" s="370">
        <v>1444773.49</v>
      </c>
      <c r="H1564" s="368">
        <f t="shared" si="50"/>
        <v>99.437575488479709</v>
      </c>
      <c r="I1564" s="147" t="str">
        <f t="shared" si="49"/>
        <v>01061120060000200</v>
      </c>
    </row>
    <row r="1565" spans="1:9" ht="38.25">
      <c r="A1565" s="54" t="s">
        <v>1502</v>
      </c>
      <c r="B1565" s="262" t="s">
        <v>249</v>
      </c>
      <c r="C1565" s="262" t="s">
        <v>418</v>
      </c>
      <c r="D1565" s="262" t="s">
        <v>916</v>
      </c>
      <c r="E1565" s="263" t="s">
        <v>1503</v>
      </c>
      <c r="F1565" s="370">
        <v>1452945.21</v>
      </c>
      <c r="G1565" s="370">
        <v>1444773.49</v>
      </c>
      <c r="H1565" s="368">
        <f t="shared" si="50"/>
        <v>99.437575488479709</v>
      </c>
      <c r="I1565" s="147" t="str">
        <f t="shared" si="49"/>
        <v>01061120060000240</v>
      </c>
    </row>
    <row r="1566" spans="1:9">
      <c r="A1566" s="54" t="s">
        <v>1577</v>
      </c>
      <c r="B1566" s="262" t="s">
        <v>249</v>
      </c>
      <c r="C1566" s="262" t="s">
        <v>418</v>
      </c>
      <c r="D1566" s="262" t="s">
        <v>916</v>
      </c>
      <c r="E1566" s="263" t="s">
        <v>416</v>
      </c>
      <c r="F1566" s="370">
        <v>1452945.21</v>
      </c>
      <c r="G1566" s="370">
        <v>1444773.49</v>
      </c>
      <c r="H1566" s="368">
        <f t="shared" si="50"/>
        <v>99.437575488479709</v>
      </c>
      <c r="I1566" s="147" t="str">
        <f t="shared" si="49"/>
        <v>01061120060000244</v>
      </c>
    </row>
    <row r="1567" spans="1:9">
      <c r="A1567" s="54" t="s">
        <v>1757</v>
      </c>
      <c r="B1567" s="262" t="s">
        <v>249</v>
      </c>
      <c r="C1567" s="262" t="s">
        <v>418</v>
      </c>
      <c r="D1567" s="262" t="s">
        <v>916</v>
      </c>
      <c r="E1567" s="263" t="s">
        <v>1758</v>
      </c>
      <c r="F1567" s="370">
        <v>32736.959999999999</v>
      </c>
      <c r="G1567" s="370">
        <f>G1568</f>
        <v>20236.96</v>
      </c>
      <c r="H1567" s="368">
        <f t="shared" si="50"/>
        <v>61.81685776565692</v>
      </c>
      <c r="I1567" s="147" t="str">
        <f t="shared" si="49"/>
        <v>01061120060000800</v>
      </c>
    </row>
    <row r="1568" spans="1:9">
      <c r="A1568" s="54" t="s">
        <v>1507</v>
      </c>
      <c r="B1568" s="262" t="s">
        <v>249</v>
      </c>
      <c r="C1568" s="262" t="s">
        <v>418</v>
      </c>
      <c r="D1568" s="262" t="s">
        <v>916</v>
      </c>
      <c r="E1568" s="263" t="s">
        <v>1508</v>
      </c>
      <c r="F1568" s="370">
        <v>32736.959999999999</v>
      </c>
      <c r="G1568" s="370">
        <f>G1569+G1570</f>
        <v>20236.96</v>
      </c>
      <c r="H1568" s="368">
        <f t="shared" si="50"/>
        <v>61.81685776565692</v>
      </c>
      <c r="I1568" s="147" t="str">
        <f t="shared" si="49"/>
        <v>01061120060000850</v>
      </c>
    </row>
    <row r="1569" spans="1:9">
      <c r="A1569" s="54" t="s">
        <v>1082</v>
      </c>
      <c r="B1569" s="262" t="s">
        <v>249</v>
      </c>
      <c r="C1569" s="262" t="s">
        <v>418</v>
      </c>
      <c r="D1569" s="262" t="s">
        <v>916</v>
      </c>
      <c r="E1569" s="263" t="s">
        <v>591</v>
      </c>
      <c r="F1569" s="370">
        <v>12500</v>
      </c>
      <c r="G1569" s="370">
        <v>0</v>
      </c>
      <c r="H1569" s="368">
        <f t="shared" si="50"/>
        <v>0</v>
      </c>
      <c r="I1569" s="147" t="str">
        <f t="shared" si="49"/>
        <v>01061120060000852</v>
      </c>
    </row>
    <row r="1570" spans="1:9">
      <c r="A1570" s="54" t="s">
        <v>1198</v>
      </c>
      <c r="B1570" s="262" t="s">
        <v>249</v>
      </c>
      <c r="C1570" s="262" t="s">
        <v>418</v>
      </c>
      <c r="D1570" s="262" t="s">
        <v>916</v>
      </c>
      <c r="E1570" s="263" t="s">
        <v>1199</v>
      </c>
      <c r="F1570" s="370">
        <v>20236.96</v>
      </c>
      <c r="G1570" s="370">
        <v>20236.96</v>
      </c>
      <c r="H1570" s="368">
        <f t="shared" si="50"/>
        <v>100</v>
      </c>
      <c r="I1570" s="147" t="str">
        <f t="shared" si="49"/>
        <v>01061120060000853</v>
      </c>
    </row>
    <row r="1571" spans="1:9" ht="102">
      <c r="A1571" s="54" t="s">
        <v>629</v>
      </c>
      <c r="B1571" s="262" t="s">
        <v>249</v>
      </c>
      <c r="C1571" s="262" t="s">
        <v>418</v>
      </c>
      <c r="D1571" s="262" t="s">
        <v>917</v>
      </c>
      <c r="E1571" s="263" t="s">
        <v>1468</v>
      </c>
      <c r="F1571" s="370">
        <v>860724.54</v>
      </c>
      <c r="G1571" s="370">
        <v>860724.54</v>
      </c>
      <c r="H1571" s="368">
        <f t="shared" si="50"/>
        <v>100</v>
      </c>
      <c r="I1571" s="147" t="str">
        <f t="shared" si="49"/>
        <v>01061120061000</v>
      </c>
    </row>
    <row r="1572" spans="1:9" ht="63.75">
      <c r="A1572" s="54" t="s">
        <v>1754</v>
      </c>
      <c r="B1572" s="262" t="s">
        <v>249</v>
      </c>
      <c r="C1572" s="262" t="s">
        <v>418</v>
      </c>
      <c r="D1572" s="262" t="s">
        <v>917</v>
      </c>
      <c r="E1572" s="263" t="s">
        <v>322</v>
      </c>
      <c r="F1572" s="370">
        <v>860724.54</v>
      </c>
      <c r="G1572" s="370">
        <v>860724.54</v>
      </c>
      <c r="H1572" s="368">
        <f t="shared" si="50"/>
        <v>100</v>
      </c>
      <c r="I1572" s="147" t="str">
        <f t="shared" si="49"/>
        <v>01061120061000100</v>
      </c>
    </row>
    <row r="1573" spans="1:9" ht="25.5">
      <c r="A1573" s="54" t="s">
        <v>1509</v>
      </c>
      <c r="B1573" s="262" t="s">
        <v>249</v>
      </c>
      <c r="C1573" s="262" t="s">
        <v>418</v>
      </c>
      <c r="D1573" s="262" t="s">
        <v>917</v>
      </c>
      <c r="E1573" s="263" t="s">
        <v>37</v>
      </c>
      <c r="F1573" s="370">
        <v>860724.54</v>
      </c>
      <c r="G1573" s="370">
        <v>860724.54</v>
      </c>
      <c r="H1573" s="368">
        <f t="shared" si="50"/>
        <v>100</v>
      </c>
      <c r="I1573" s="147" t="str">
        <f t="shared" si="49"/>
        <v>01061120061000120</v>
      </c>
    </row>
    <row r="1574" spans="1:9" ht="25.5">
      <c r="A1574" s="54" t="s">
        <v>1081</v>
      </c>
      <c r="B1574" s="262" t="s">
        <v>249</v>
      </c>
      <c r="C1574" s="262" t="s">
        <v>418</v>
      </c>
      <c r="D1574" s="262" t="s">
        <v>917</v>
      </c>
      <c r="E1574" s="263" t="s">
        <v>411</v>
      </c>
      <c r="F1574" s="370">
        <v>661078.73</v>
      </c>
      <c r="G1574" s="370">
        <v>661078.73</v>
      </c>
      <c r="H1574" s="368">
        <f t="shared" si="50"/>
        <v>100</v>
      </c>
      <c r="I1574" s="147" t="str">
        <f t="shared" si="49"/>
        <v>01061120061000121</v>
      </c>
    </row>
    <row r="1575" spans="1:9" ht="51">
      <c r="A1575" s="54" t="s">
        <v>1195</v>
      </c>
      <c r="B1575" s="262" t="s">
        <v>249</v>
      </c>
      <c r="C1575" s="262" t="s">
        <v>418</v>
      </c>
      <c r="D1575" s="262" t="s">
        <v>917</v>
      </c>
      <c r="E1575" s="263" t="s">
        <v>1196</v>
      </c>
      <c r="F1575" s="370">
        <v>199645.81</v>
      </c>
      <c r="G1575" s="370">
        <v>199645.81</v>
      </c>
      <c r="H1575" s="368">
        <f t="shared" si="50"/>
        <v>100</v>
      </c>
      <c r="I1575" s="147" t="str">
        <f t="shared" si="49"/>
        <v>01061120061000129</v>
      </c>
    </row>
    <row r="1576" spans="1:9" ht="89.25">
      <c r="A1576" s="54" t="s">
        <v>694</v>
      </c>
      <c r="B1576" s="262" t="s">
        <v>249</v>
      </c>
      <c r="C1576" s="262" t="s">
        <v>418</v>
      </c>
      <c r="D1576" s="262" t="s">
        <v>918</v>
      </c>
      <c r="E1576" s="263" t="s">
        <v>1468</v>
      </c>
      <c r="F1576" s="370">
        <v>57127.63</v>
      </c>
      <c r="G1576" s="370">
        <v>34000</v>
      </c>
      <c r="H1576" s="368">
        <f t="shared" si="50"/>
        <v>59.515859488657242</v>
      </c>
      <c r="I1576" s="147" t="str">
        <f t="shared" si="49"/>
        <v>01061120067000</v>
      </c>
    </row>
    <row r="1577" spans="1:9" ht="63.75">
      <c r="A1577" s="54" t="s">
        <v>1754</v>
      </c>
      <c r="B1577" s="262" t="s">
        <v>249</v>
      </c>
      <c r="C1577" s="262" t="s">
        <v>418</v>
      </c>
      <c r="D1577" s="262" t="s">
        <v>918</v>
      </c>
      <c r="E1577" s="263" t="s">
        <v>322</v>
      </c>
      <c r="F1577" s="370">
        <v>57127.63</v>
      </c>
      <c r="G1577" s="370">
        <v>34000</v>
      </c>
      <c r="H1577" s="368">
        <f t="shared" si="50"/>
        <v>59.515859488657242</v>
      </c>
      <c r="I1577" s="147" t="str">
        <f t="shared" ref="I1577:I1640" si="51">CONCATENATE(C1577,D1577,E1577)</f>
        <v>01061120067000100</v>
      </c>
    </row>
    <row r="1578" spans="1:9" ht="25.5">
      <c r="A1578" s="54" t="s">
        <v>1509</v>
      </c>
      <c r="B1578" s="262" t="s">
        <v>249</v>
      </c>
      <c r="C1578" s="262" t="s">
        <v>418</v>
      </c>
      <c r="D1578" s="262" t="s">
        <v>918</v>
      </c>
      <c r="E1578" s="263" t="s">
        <v>37</v>
      </c>
      <c r="F1578" s="370">
        <v>57127.63</v>
      </c>
      <c r="G1578" s="370">
        <v>34000</v>
      </c>
      <c r="H1578" s="368">
        <f t="shared" si="50"/>
        <v>59.515859488657242</v>
      </c>
      <c r="I1578" s="147" t="str">
        <f t="shared" si="51"/>
        <v>01061120067000120</v>
      </c>
    </row>
    <row r="1579" spans="1:9" ht="38.25">
      <c r="A1579" s="54" t="s">
        <v>412</v>
      </c>
      <c r="B1579" s="262" t="s">
        <v>249</v>
      </c>
      <c r="C1579" s="262" t="s">
        <v>418</v>
      </c>
      <c r="D1579" s="262" t="s">
        <v>918</v>
      </c>
      <c r="E1579" s="263" t="s">
        <v>413</v>
      </c>
      <c r="F1579" s="370">
        <v>57127.63</v>
      </c>
      <c r="G1579" s="370">
        <v>34000</v>
      </c>
      <c r="H1579" s="368">
        <f t="shared" si="50"/>
        <v>59.515859488657242</v>
      </c>
      <c r="I1579" s="147" t="str">
        <f t="shared" si="51"/>
        <v>01061120067000122</v>
      </c>
    </row>
    <row r="1580" spans="1:9" ht="89.25">
      <c r="A1580" s="54" t="s">
        <v>1061</v>
      </c>
      <c r="B1580" s="262" t="s">
        <v>249</v>
      </c>
      <c r="C1580" s="262" t="s">
        <v>418</v>
      </c>
      <c r="D1580" s="262" t="s">
        <v>1060</v>
      </c>
      <c r="E1580" s="263" t="s">
        <v>1468</v>
      </c>
      <c r="F1580" s="370">
        <v>1295183.53</v>
      </c>
      <c r="G1580" s="370">
        <v>1295183.53</v>
      </c>
      <c r="H1580" s="368">
        <f t="shared" si="50"/>
        <v>100</v>
      </c>
      <c r="I1580" s="147" t="str">
        <f t="shared" si="51"/>
        <v>0106112006Б000</v>
      </c>
    </row>
    <row r="1581" spans="1:9" ht="63.75">
      <c r="A1581" s="54" t="s">
        <v>1754</v>
      </c>
      <c r="B1581" s="262" t="s">
        <v>249</v>
      </c>
      <c r="C1581" s="262" t="s">
        <v>418</v>
      </c>
      <c r="D1581" s="262" t="s">
        <v>1060</v>
      </c>
      <c r="E1581" s="263" t="s">
        <v>322</v>
      </c>
      <c r="F1581" s="370">
        <v>1295183.53</v>
      </c>
      <c r="G1581" s="370">
        <v>1295183.53</v>
      </c>
      <c r="H1581" s="368">
        <f t="shared" si="50"/>
        <v>100</v>
      </c>
      <c r="I1581" s="147" t="str">
        <f t="shared" si="51"/>
        <v>0106112006Б000100</v>
      </c>
    </row>
    <row r="1582" spans="1:9" ht="25.5">
      <c r="A1582" s="54" t="s">
        <v>1509</v>
      </c>
      <c r="B1582" s="262" t="s">
        <v>249</v>
      </c>
      <c r="C1582" s="262" t="s">
        <v>418</v>
      </c>
      <c r="D1582" s="262" t="s">
        <v>1060</v>
      </c>
      <c r="E1582" s="263" t="s">
        <v>37</v>
      </c>
      <c r="F1582" s="370">
        <v>1295183.53</v>
      </c>
      <c r="G1582" s="370">
        <v>1295183.53</v>
      </c>
      <c r="H1582" s="368">
        <f t="shared" si="50"/>
        <v>100</v>
      </c>
      <c r="I1582" s="147" t="str">
        <f t="shared" si="51"/>
        <v>0106112006Б000120</v>
      </c>
    </row>
    <row r="1583" spans="1:9" ht="25.5">
      <c r="A1583" s="54" t="s">
        <v>1081</v>
      </c>
      <c r="B1583" s="262" t="s">
        <v>249</v>
      </c>
      <c r="C1583" s="262" t="s">
        <v>418</v>
      </c>
      <c r="D1583" s="262" t="s">
        <v>1060</v>
      </c>
      <c r="E1583" s="263" t="s">
        <v>411</v>
      </c>
      <c r="F1583" s="370">
        <v>994764.63</v>
      </c>
      <c r="G1583" s="370">
        <v>994764.63</v>
      </c>
      <c r="H1583" s="368">
        <f t="shared" si="50"/>
        <v>100</v>
      </c>
      <c r="I1583" s="147" t="str">
        <f t="shared" si="51"/>
        <v>0106112006Б000121</v>
      </c>
    </row>
    <row r="1584" spans="1:9" ht="51">
      <c r="A1584" s="54" t="s">
        <v>1195</v>
      </c>
      <c r="B1584" s="262" t="s">
        <v>249</v>
      </c>
      <c r="C1584" s="262" t="s">
        <v>418</v>
      </c>
      <c r="D1584" s="262" t="s">
        <v>1060</v>
      </c>
      <c r="E1584" s="263" t="s">
        <v>1196</v>
      </c>
      <c r="F1584" s="370">
        <v>300418.90000000002</v>
      </c>
      <c r="G1584" s="370">
        <v>300418.90000000002</v>
      </c>
      <c r="H1584" s="368">
        <f t="shared" si="50"/>
        <v>100</v>
      </c>
      <c r="I1584" s="147" t="str">
        <f t="shared" si="51"/>
        <v>0106112006Б000129</v>
      </c>
    </row>
    <row r="1585" spans="1:9" ht="76.5">
      <c r="A1585" s="54" t="s">
        <v>695</v>
      </c>
      <c r="B1585" s="262" t="s">
        <v>249</v>
      </c>
      <c r="C1585" s="262" t="s">
        <v>418</v>
      </c>
      <c r="D1585" s="262" t="s">
        <v>919</v>
      </c>
      <c r="E1585" s="263" t="s">
        <v>1468</v>
      </c>
      <c r="F1585" s="370">
        <v>511751</v>
      </c>
      <c r="G1585" s="370">
        <v>410239.73</v>
      </c>
      <c r="H1585" s="368">
        <f t="shared" si="50"/>
        <v>80.163933240970692</v>
      </c>
      <c r="I1585" s="147" t="str">
        <f t="shared" si="51"/>
        <v>0106112006Г000</v>
      </c>
    </row>
    <row r="1586" spans="1:9" ht="25.5">
      <c r="A1586" s="54" t="s">
        <v>1755</v>
      </c>
      <c r="B1586" s="262" t="s">
        <v>249</v>
      </c>
      <c r="C1586" s="262" t="s">
        <v>418</v>
      </c>
      <c r="D1586" s="262" t="s">
        <v>919</v>
      </c>
      <c r="E1586" s="263" t="s">
        <v>1756</v>
      </c>
      <c r="F1586" s="370">
        <v>511751</v>
      </c>
      <c r="G1586" s="370">
        <v>410239.73</v>
      </c>
      <c r="H1586" s="368">
        <f t="shared" si="50"/>
        <v>80.163933240970692</v>
      </c>
      <c r="I1586" s="147" t="str">
        <f t="shared" si="51"/>
        <v>0106112006Г000200</v>
      </c>
    </row>
    <row r="1587" spans="1:9" ht="38.25">
      <c r="A1587" s="54" t="s">
        <v>1502</v>
      </c>
      <c r="B1587" s="262" t="s">
        <v>249</v>
      </c>
      <c r="C1587" s="262" t="s">
        <v>418</v>
      </c>
      <c r="D1587" s="262" t="s">
        <v>919</v>
      </c>
      <c r="E1587" s="263" t="s">
        <v>1503</v>
      </c>
      <c r="F1587" s="370">
        <v>511751</v>
      </c>
      <c r="G1587" s="370">
        <v>410239.73</v>
      </c>
      <c r="H1587" s="368">
        <f t="shared" si="50"/>
        <v>80.163933240970692</v>
      </c>
      <c r="I1587" s="147" t="str">
        <f t="shared" si="51"/>
        <v>0106112006Г000240</v>
      </c>
    </row>
    <row r="1588" spans="1:9">
      <c r="A1588" s="54" t="s">
        <v>1577</v>
      </c>
      <c r="B1588" s="262" t="s">
        <v>249</v>
      </c>
      <c r="C1588" s="262" t="s">
        <v>418</v>
      </c>
      <c r="D1588" s="262" t="s">
        <v>919</v>
      </c>
      <c r="E1588" s="263" t="s">
        <v>416</v>
      </c>
      <c r="F1588" s="370">
        <v>511751</v>
      </c>
      <c r="G1588" s="370">
        <v>410239.73</v>
      </c>
      <c r="H1588" s="368">
        <f t="shared" si="50"/>
        <v>80.163933240970692</v>
      </c>
      <c r="I1588" s="147" t="str">
        <f t="shared" si="51"/>
        <v>0106112006Г000244</v>
      </c>
    </row>
    <row r="1589" spans="1:9" ht="63.75">
      <c r="A1589" s="54" t="s">
        <v>2051</v>
      </c>
      <c r="B1589" s="262" t="s">
        <v>249</v>
      </c>
      <c r="C1589" s="262" t="s">
        <v>418</v>
      </c>
      <c r="D1589" s="262" t="s">
        <v>2052</v>
      </c>
      <c r="E1589" s="263" t="s">
        <v>1468</v>
      </c>
      <c r="F1589" s="370">
        <v>180000</v>
      </c>
      <c r="G1589" s="370">
        <v>15000</v>
      </c>
      <c r="H1589" s="368">
        <f t="shared" si="50"/>
        <v>8.3333333333333321</v>
      </c>
      <c r="I1589" s="147" t="str">
        <f t="shared" si="51"/>
        <v>0106112006Ф000</v>
      </c>
    </row>
    <row r="1590" spans="1:9" ht="25.5">
      <c r="A1590" s="54" t="s">
        <v>1755</v>
      </c>
      <c r="B1590" s="262" t="s">
        <v>249</v>
      </c>
      <c r="C1590" s="262" t="s">
        <v>418</v>
      </c>
      <c r="D1590" s="262" t="s">
        <v>2052</v>
      </c>
      <c r="E1590" s="263" t="s">
        <v>1756</v>
      </c>
      <c r="F1590" s="370">
        <v>180000</v>
      </c>
      <c r="G1590" s="370">
        <v>15000</v>
      </c>
      <c r="H1590" s="368">
        <f t="shared" si="50"/>
        <v>8.3333333333333321</v>
      </c>
      <c r="I1590" s="147" t="str">
        <f t="shared" si="51"/>
        <v>0106112006Ф000200</v>
      </c>
    </row>
    <row r="1591" spans="1:9" ht="38.25">
      <c r="A1591" s="54" t="s">
        <v>1502</v>
      </c>
      <c r="B1591" s="262" t="s">
        <v>249</v>
      </c>
      <c r="C1591" s="262" t="s">
        <v>418</v>
      </c>
      <c r="D1591" s="262" t="s">
        <v>2052</v>
      </c>
      <c r="E1591" s="263" t="s">
        <v>1503</v>
      </c>
      <c r="F1591" s="370">
        <v>180000</v>
      </c>
      <c r="G1591" s="370">
        <v>15000</v>
      </c>
      <c r="H1591" s="368">
        <f t="shared" si="50"/>
        <v>8.3333333333333321</v>
      </c>
      <c r="I1591" s="147" t="str">
        <f t="shared" si="51"/>
        <v>0106112006Ф000240</v>
      </c>
    </row>
    <row r="1592" spans="1:9">
      <c r="A1592" s="54" t="s">
        <v>1577</v>
      </c>
      <c r="B1592" s="262" t="s">
        <v>249</v>
      </c>
      <c r="C1592" s="262" t="s">
        <v>418</v>
      </c>
      <c r="D1592" s="262" t="s">
        <v>2052</v>
      </c>
      <c r="E1592" s="263" t="s">
        <v>416</v>
      </c>
      <c r="F1592" s="370">
        <v>180000</v>
      </c>
      <c r="G1592" s="370">
        <v>15000</v>
      </c>
      <c r="H1592" s="368">
        <f t="shared" si="50"/>
        <v>8.3333333333333321</v>
      </c>
      <c r="I1592" s="147" t="str">
        <f t="shared" si="51"/>
        <v>0106112006Ф000244</v>
      </c>
    </row>
    <row r="1593" spans="1:9" ht="51">
      <c r="A1593" s="54" t="s">
        <v>1103</v>
      </c>
      <c r="B1593" s="262" t="s">
        <v>249</v>
      </c>
      <c r="C1593" s="262" t="s">
        <v>418</v>
      </c>
      <c r="D1593" s="262" t="s">
        <v>1104</v>
      </c>
      <c r="E1593" s="263" t="s">
        <v>1468</v>
      </c>
      <c r="F1593" s="370">
        <v>188258.41</v>
      </c>
      <c r="G1593" s="370">
        <v>188258.41</v>
      </c>
      <c r="H1593" s="368">
        <f t="shared" si="50"/>
        <v>100</v>
      </c>
      <c r="I1593" s="147" t="str">
        <f t="shared" si="51"/>
        <v>0106112006Э000</v>
      </c>
    </row>
    <row r="1594" spans="1:9" ht="25.5">
      <c r="A1594" s="54" t="s">
        <v>1755</v>
      </c>
      <c r="B1594" s="262" t="s">
        <v>249</v>
      </c>
      <c r="C1594" s="262" t="s">
        <v>418</v>
      </c>
      <c r="D1594" s="262" t="s">
        <v>1104</v>
      </c>
      <c r="E1594" s="263" t="s">
        <v>1756</v>
      </c>
      <c r="F1594" s="370">
        <v>188258.41</v>
      </c>
      <c r="G1594" s="370">
        <v>188258.41</v>
      </c>
      <c r="H1594" s="368">
        <f t="shared" si="50"/>
        <v>100</v>
      </c>
      <c r="I1594" s="147" t="str">
        <f t="shared" si="51"/>
        <v>0106112006Э000200</v>
      </c>
    </row>
    <row r="1595" spans="1:9" ht="38.25">
      <c r="A1595" s="54" t="s">
        <v>1502</v>
      </c>
      <c r="B1595" s="262" t="s">
        <v>249</v>
      </c>
      <c r="C1595" s="262" t="s">
        <v>418</v>
      </c>
      <c r="D1595" s="262" t="s">
        <v>1104</v>
      </c>
      <c r="E1595" s="263" t="s">
        <v>1503</v>
      </c>
      <c r="F1595" s="370">
        <v>188258.41</v>
      </c>
      <c r="G1595" s="370">
        <v>188258.41</v>
      </c>
      <c r="H1595" s="368">
        <f t="shared" si="50"/>
        <v>100</v>
      </c>
      <c r="I1595" s="147" t="str">
        <f t="shared" si="51"/>
        <v>0106112006Э000240</v>
      </c>
    </row>
    <row r="1596" spans="1:9">
      <c r="A1596" s="54" t="s">
        <v>1577</v>
      </c>
      <c r="B1596" s="262" t="s">
        <v>249</v>
      </c>
      <c r="C1596" s="262" t="s">
        <v>418</v>
      </c>
      <c r="D1596" s="262" t="s">
        <v>1104</v>
      </c>
      <c r="E1596" s="263" t="s">
        <v>416</v>
      </c>
      <c r="F1596" s="370">
        <v>188258.41</v>
      </c>
      <c r="G1596" s="370">
        <v>188258.41</v>
      </c>
      <c r="H1596" s="368">
        <f t="shared" si="50"/>
        <v>100</v>
      </c>
      <c r="I1596" s="147" t="str">
        <f t="shared" si="51"/>
        <v>0106112006Э000244</v>
      </c>
    </row>
    <row r="1597" spans="1:9" ht="76.5">
      <c r="A1597" s="54" t="s">
        <v>630</v>
      </c>
      <c r="B1597" s="262" t="s">
        <v>249</v>
      </c>
      <c r="C1597" s="262" t="s">
        <v>418</v>
      </c>
      <c r="D1597" s="262" t="s">
        <v>920</v>
      </c>
      <c r="E1597" s="263" t="s">
        <v>1468</v>
      </c>
      <c r="F1597" s="370">
        <v>484940</v>
      </c>
      <c r="G1597" s="370">
        <v>484940</v>
      </c>
      <c r="H1597" s="368">
        <f t="shared" si="50"/>
        <v>100</v>
      </c>
      <c r="I1597" s="147" t="str">
        <f t="shared" si="51"/>
        <v>010611200Ч0060</v>
      </c>
    </row>
    <row r="1598" spans="1:9" ht="63.75">
      <c r="A1598" s="54" t="s">
        <v>1754</v>
      </c>
      <c r="B1598" s="262" t="s">
        <v>249</v>
      </c>
      <c r="C1598" s="262" t="s">
        <v>418</v>
      </c>
      <c r="D1598" s="262" t="s">
        <v>920</v>
      </c>
      <c r="E1598" s="263" t="s">
        <v>322</v>
      </c>
      <c r="F1598" s="370">
        <v>484940</v>
      </c>
      <c r="G1598" s="370">
        <v>484940</v>
      </c>
      <c r="H1598" s="368">
        <f t="shared" si="50"/>
        <v>100</v>
      </c>
      <c r="I1598" s="147" t="str">
        <f t="shared" si="51"/>
        <v>010611200Ч0060100</v>
      </c>
    </row>
    <row r="1599" spans="1:9" ht="25.5">
      <c r="A1599" s="54" t="s">
        <v>1509</v>
      </c>
      <c r="B1599" s="262" t="s">
        <v>249</v>
      </c>
      <c r="C1599" s="262" t="s">
        <v>418</v>
      </c>
      <c r="D1599" s="262" t="s">
        <v>920</v>
      </c>
      <c r="E1599" s="263" t="s">
        <v>37</v>
      </c>
      <c r="F1599" s="370">
        <v>484940</v>
      </c>
      <c r="G1599" s="370">
        <v>484940</v>
      </c>
      <c r="H1599" s="368">
        <f t="shared" si="50"/>
        <v>100</v>
      </c>
      <c r="I1599" s="147" t="str">
        <f t="shared" si="51"/>
        <v>010611200Ч0060120</v>
      </c>
    </row>
    <row r="1600" spans="1:9" ht="25.5">
      <c r="A1600" s="54" t="s">
        <v>1081</v>
      </c>
      <c r="B1600" s="262" t="s">
        <v>249</v>
      </c>
      <c r="C1600" s="262" t="s">
        <v>418</v>
      </c>
      <c r="D1600" s="262" t="s">
        <v>920</v>
      </c>
      <c r="E1600" s="263" t="s">
        <v>411</v>
      </c>
      <c r="F1600" s="370">
        <v>372458</v>
      </c>
      <c r="G1600" s="370">
        <v>372458</v>
      </c>
      <c r="H1600" s="368">
        <f t="shared" si="50"/>
        <v>100</v>
      </c>
      <c r="I1600" s="147" t="str">
        <f t="shared" si="51"/>
        <v>010611200Ч0060121</v>
      </c>
    </row>
    <row r="1601" spans="1:9" ht="51">
      <c r="A1601" s="54" t="s">
        <v>1195</v>
      </c>
      <c r="B1601" s="262" t="s">
        <v>249</v>
      </c>
      <c r="C1601" s="262" t="s">
        <v>418</v>
      </c>
      <c r="D1601" s="262" t="s">
        <v>920</v>
      </c>
      <c r="E1601" s="263" t="s">
        <v>1196</v>
      </c>
      <c r="F1601" s="370">
        <v>112482</v>
      </c>
      <c r="G1601" s="370">
        <v>112482</v>
      </c>
      <c r="H1601" s="368">
        <f t="shared" si="50"/>
        <v>100</v>
      </c>
      <c r="I1601" s="147" t="str">
        <f t="shared" si="51"/>
        <v>010611200Ч0060129</v>
      </c>
    </row>
    <row r="1602" spans="1:9" ht="102">
      <c r="A1602" s="54" t="s">
        <v>1831</v>
      </c>
      <c r="B1602" s="262" t="s">
        <v>249</v>
      </c>
      <c r="C1602" s="262" t="s">
        <v>418</v>
      </c>
      <c r="D1602" s="262" t="s">
        <v>1786</v>
      </c>
      <c r="E1602" s="263" t="s">
        <v>1468</v>
      </c>
      <c r="F1602" s="370">
        <v>15000</v>
      </c>
      <c r="G1602" s="370">
        <v>15000</v>
      </c>
      <c r="H1602" s="368">
        <f t="shared" si="50"/>
        <v>100</v>
      </c>
      <c r="I1602" s="147" t="str">
        <f t="shared" si="51"/>
        <v>010611200Ч0070</v>
      </c>
    </row>
    <row r="1603" spans="1:9" ht="25.5">
      <c r="A1603" s="54" t="s">
        <v>1755</v>
      </c>
      <c r="B1603" s="262" t="s">
        <v>249</v>
      </c>
      <c r="C1603" s="262" t="s">
        <v>418</v>
      </c>
      <c r="D1603" s="262" t="s">
        <v>1786</v>
      </c>
      <c r="E1603" s="263" t="s">
        <v>1756</v>
      </c>
      <c r="F1603" s="370">
        <v>15000</v>
      </c>
      <c r="G1603" s="370">
        <v>15000</v>
      </c>
      <c r="H1603" s="368">
        <f t="shared" si="50"/>
        <v>100</v>
      </c>
      <c r="I1603" s="147" t="str">
        <f t="shared" si="51"/>
        <v>010611200Ч0070200</v>
      </c>
    </row>
    <row r="1604" spans="1:9" ht="38.25">
      <c r="A1604" s="54" t="s">
        <v>1502</v>
      </c>
      <c r="B1604" s="262" t="s">
        <v>249</v>
      </c>
      <c r="C1604" s="262" t="s">
        <v>418</v>
      </c>
      <c r="D1604" s="262" t="s">
        <v>1786</v>
      </c>
      <c r="E1604" s="263" t="s">
        <v>1503</v>
      </c>
      <c r="F1604" s="370">
        <v>15000</v>
      </c>
      <c r="G1604" s="370">
        <v>15000</v>
      </c>
      <c r="H1604" s="368">
        <f t="shared" si="50"/>
        <v>100</v>
      </c>
      <c r="I1604" s="147" t="str">
        <f t="shared" si="51"/>
        <v>010611200Ч0070240</v>
      </c>
    </row>
    <row r="1605" spans="1:9">
      <c r="A1605" s="54" t="s">
        <v>1577</v>
      </c>
      <c r="B1605" s="262" t="s">
        <v>249</v>
      </c>
      <c r="C1605" s="262" t="s">
        <v>418</v>
      </c>
      <c r="D1605" s="262" t="s">
        <v>1786</v>
      </c>
      <c r="E1605" s="263" t="s">
        <v>416</v>
      </c>
      <c r="F1605" s="370">
        <v>15000</v>
      </c>
      <c r="G1605" s="370">
        <v>15000</v>
      </c>
      <c r="H1605" s="368">
        <f t="shared" si="50"/>
        <v>100</v>
      </c>
      <c r="I1605" s="147" t="str">
        <f t="shared" si="51"/>
        <v>010611200Ч0070244</v>
      </c>
    </row>
    <row r="1606" spans="1:9">
      <c r="A1606" s="54" t="s">
        <v>70</v>
      </c>
      <c r="B1606" s="262" t="s">
        <v>249</v>
      </c>
      <c r="C1606" s="262" t="s">
        <v>515</v>
      </c>
      <c r="D1606" s="262" t="s">
        <v>1468</v>
      </c>
      <c r="E1606" s="263" t="s">
        <v>1468</v>
      </c>
      <c r="F1606" s="370">
        <v>1442379.99</v>
      </c>
      <c r="G1606" s="394">
        <v>0</v>
      </c>
      <c r="H1606" s="368">
        <f t="shared" si="50"/>
        <v>0</v>
      </c>
      <c r="I1606" s="147" t="str">
        <f t="shared" si="51"/>
        <v>0111</v>
      </c>
    </row>
    <row r="1607" spans="1:9" ht="25.5">
      <c r="A1607" s="54" t="s">
        <v>710</v>
      </c>
      <c r="B1607" s="262" t="s">
        <v>249</v>
      </c>
      <c r="C1607" s="262" t="s">
        <v>515</v>
      </c>
      <c r="D1607" s="262" t="s">
        <v>1151</v>
      </c>
      <c r="E1607" s="263" t="s">
        <v>1468</v>
      </c>
      <c r="F1607" s="370">
        <v>1442379.99</v>
      </c>
      <c r="G1607" s="394">
        <v>0</v>
      </c>
      <c r="H1607" s="368">
        <f t="shared" si="50"/>
        <v>0</v>
      </c>
      <c r="I1607" s="147" t="str">
        <f t="shared" si="51"/>
        <v>01119000000000</v>
      </c>
    </row>
    <row r="1608" spans="1:9" ht="38.25">
      <c r="A1608" s="54" t="s">
        <v>516</v>
      </c>
      <c r="B1608" s="262" t="s">
        <v>249</v>
      </c>
      <c r="C1608" s="262" t="s">
        <v>515</v>
      </c>
      <c r="D1608" s="262" t="s">
        <v>1152</v>
      </c>
      <c r="E1608" s="263" t="s">
        <v>1468</v>
      </c>
      <c r="F1608" s="370">
        <v>1442379.99</v>
      </c>
      <c r="G1608" s="394">
        <v>0</v>
      </c>
      <c r="H1608" s="368">
        <f t="shared" ref="H1608:H1671" si="52">G1608/F1608*100</f>
        <v>0</v>
      </c>
      <c r="I1608" s="147" t="str">
        <f t="shared" si="51"/>
        <v>01119010000000</v>
      </c>
    </row>
    <row r="1609" spans="1:9" ht="38.25">
      <c r="A1609" s="54" t="s">
        <v>516</v>
      </c>
      <c r="B1609" s="262" t="s">
        <v>249</v>
      </c>
      <c r="C1609" s="262" t="s">
        <v>515</v>
      </c>
      <c r="D1609" s="262" t="s">
        <v>921</v>
      </c>
      <c r="E1609" s="263" t="s">
        <v>1468</v>
      </c>
      <c r="F1609" s="370">
        <v>1442379.99</v>
      </c>
      <c r="G1609" s="394">
        <v>0</v>
      </c>
      <c r="H1609" s="368">
        <f t="shared" si="52"/>
        <v>0</v>
      </c>
      <c r="I1609" s="147" t="str">
        <f t="shared" si="51"/>
        <v>01119010080000</v>
      </c>
    </row>
    <row r="1610" spans="1:9">
      <c r="A1610" s="54" t="s">
        <v>1757</v>
      </c>
      <c r="B1610" s="262" t="s">
        <v>249</v>
      </c>
      <c r="C1610" s="262" t="s">
        <v>515</v>
      </c>
      <c r="D1610" s="262" t="s">
        <v>921</v>
      </c>
      <c r="E1610" s="263" t="s">
        <v>1758</v>
      </c>
      <c r="F1610" s="370">
        <v>1442379.99</v>
      </c>
      <c r="G1610" s="394">
        <v>0</v>
      </c>
      <c r="H1610" s="368">
        <f t="shared" si="52"/>
        <v>0</v>
      </c>
      <c r="I1610" s="147" t="str">
        <f t="shared" si="51"/>
        <v>01119010080000800</v>
      </c>
    </row>
    <row r="1611" spans="1:9">
      <c r="A1611" s="54" t="s">
        <v>517</v>
      </c>
      <c r="B1611" s="262" t="s">
        <v>249</v>
      </c>
      <c r="C1611" s="262" t="s">
        <v>515</v>
      </c>
      <c r="D1611" s="262" t="s">
        <v>921</v>
      </c>
      <c r="E1611" s="263" t="s">
        <v>518</v>
      </c>
      <c r="F1611" s="370">
        <v>1442379.99</v>
      </c>
      <c r="G1611" s="394">
        <v>0</v>
      </c>
      <c r="H1611" s="368">
        <f t="shared" si="52"/>
        <v>0</v>
      </c>
      <c r="I1611" s="147" t="str">
        <f t="shared" si="51"/>
        <v>01119010080000870</v>
      </c>
    </row>
    <row r="1612" spans="1:9">
      <c r="A1612" s="54" t="s">
        <v>261</v>
      </c>
      <c r="B1612" s="262" t="s">
        <v>249</v>
      </c>
      <c r="C1612" s="262" t="s">
        <v>424</v>
      </c>
      <c r="D1612" s="262" t="s">
        <v>1468</v>
      </c>
      <c r="E1612" s="263" t="s">
        <v>1468</v>
      </c>
      <c r="F1612" s="370">
        <v>537235.81000000006</v>
      </c>
      <c r="G1612" s="370">
        <v>415245.81</v>
      </c>
      <c r="H1612" s="368">
        <f t="shared" si="52"/>
        <v>77.293025198748381</v>
      </c>
      <c r="I1612" s="147" t="str">
        <f t="shared" si="51"/>
        <v>0113</v>
      </c>
    </row>
    <row r="1613" spans="1:9" ht="25.5">
      <c r="A1613" s="54" t="s">
        <v>1947</v>
      </c>
      <c r="B1613" s="262" t="s">
        <v>249</v>
      </c>
      <c r="C1613" s="262" t="s">
        <v>424</v>
      </c>
      <c r="D1613" s="262" t="s">
        <v>1139</v>
      </c>
      <c r="E1613" s="263" t="s">
        <v>1468</v>
      </c>
      <c r="F1613" s="370">
        <v>215600</v>
      </c>
      <c r="G1613" s="370">
        <v>189300</v>
      </c>
      <c r="H1613" s="368">
        <f t="shared" si="52"/>
        <v>87.801484230055664</v>
      </c>
      <c r="I1613" s="147" t="str">
        <f t="shared" si="51"/>
        <v>01131100000000</v>
      </c>
    </row>
    <row r="1614" spans="1:9" ht="63.75">
      <c r="A1614" s="54" t="s">
        <v>1948</v>
      </c>
      <c r="B1614" s="262" t="s">
        <v>249</v>
      </c>
      <c r="C1614" s="262" t="s">
        <v>424</v>
      </c>
      <c r="D1614" s="262" t="s">
        <v>1140</v>
      </c>
      <c r="E1614" s="263" t="s">
        <v>1468</v>
      </c>
      <c r="F1614" s="370">
        <v>215600</v>
      </c>
      <c r="G1614" s="370">
        <v>189300</v>
      </c>
      <c r="H1614" s="368">
        <f t="shared" si="52"/>
        <v>87.801484230055664</v>
      </c>
      <c r="I1614" s="147" t="str">
        <f t="shared" si="51"/>
        <v>01131110000000</v>
      </c>
    </row>
    <row r="1615" spans="1:9" ht="127.5">
      <c r="A1615" s="54" t="s">
        <v>631</v>
      </c>
      <c r="B1615" s="262" t="s">
        <v>249</v>
      </c>
      <c r="C1615" s="262" t="s">
        <v>424</v>
      </c>
      <c r="D1615" s="262" t="s">
        <v>922</v>
      </c>
      <c r="E1615" s="263" t="s">
        <v>1468</v>
      </c>
      <c r="F1615" s="370">
        <v>215600</v>
      </c>
      <c r="G1615" s="370">
        <v>189300</v>
      </c>
      <c r="H1615" s="368">
        <f t="shared" si="52"/>
        <v>87.801484230055664</v>
      </c>
      <c r="I1615" s="147" t="str">
        <f t="shared" si="51"/>
        <v>01131110075140</v>
      </c>
    </row>
    <row r="1616" spans="1:9">
      <c r="A1616" s="54" t="s">
        <v>1765</v>
      </c>
      <c r="B1616" s="262" t="s">
        <v>249</v>
      </c>
      <c r="C1616" s="262" t="s">
        <v>424</v>
      </c>
      <c r="D1616" s="262" t="s">
        <v>922</v>
      </c>
      <c r="E1616" s="263" t="s">
        <v>1766</v>
      </c>
      <c r="F1616" s="370">
        <v>215600</v>
      </c>
      <c r="G1616" s="370">
        <v>189300</v>
      </c>
      <c r="H1616" s="368">
        <f t="shared" si="52"/>
        <v>87.801484230055664</v>
      </c>
      <c r="I1616" s="147" t="str">
        <f t="shared" si="51"/>
        <v>01131110075140500</v>
      </c>
    </row>
    <row r="1617" spans="1:9">
      <c r="A1617" s="54" t="s">
        <v>523</v>
      </c>
      <c r="B1617" s="262" t="s">
        <v>249</v>
      </c>
      <c r="C1617" s="262" t="s">
        <v>424</v>
      </c>
      <c r="D1617" s="262" t="s">
        <v>922</v>
      </c>
      <c r="E1617" s="263" t="s">
        <v>524</v>
      </c>
      <c r="F1617" s="370">
        <v>215600</v>
      </c>
      <c r="G1617" s="370">
        <v>189300</v>
      </c>
      <c r="H1617" s="368">
        <f t="shared" si="52"/>
        <v>87.801484230055664</v>
      </c>
      <c r="I1617" s="147" t="str">
        <f t="shared" si="51"/>
        <v>01131110075140530</v>
      </c>
    </row>
    <row r="1618" spans="1:9" ht="25.5">
      <c r="A1618" s="54" t="s">
        <v>710</v>
      </c>
      <c r="B1618" s="262" t="s">
        <v>249</v>
      </c>
      <c r="C1618" s="262" t="s">
        <v>424</v>
      </c>
      <c r="D1618" s="262" t="s">
        <v>1151</v>
      </c>
      <c r="E1618" s="263" t="s">
        <v>1468</v>
      </c>
      <c r="F1618" s="370">
        <v>321635.81</v>
      </c>
      <c r="G1618" s="370">
        <v>225945.81</v>
      </c>
      <c r="H1618" s="368">
        <f t="shared" si="52"/>
        <v>70.248959529724004</v>
      </c>
      <c r="I1618" s="147" t="str">
        <f t="shared" si="51"/>
        <v>01139000000000</v>
      </c>
    </row>
    <row r="1619" spans="1:9" ht="25.5">
      <c r="A1619" s="54" t="s">
        <v>520</v>
      </c>
      <c r="B1619" s="262" t="s">
        <v>249</v>
      </c>
      <c r="C1619" s="262" t="s">
        <v>424</v>
      </c>
      <c r="D1619" s="262" t="s">
        <v>1155</v>
      </c>
      <c r="E1619" s="263" t="s">
        <v>1468</v>
      </c>
      <c r="F1619" s="370">
        <v>321635.81</v>
      </c>
      <c r="G1619" s="370">
        <v>225945.81</v>
      </c>
      <c r="H1619" s="368">
        <f t="shared" si="52"/>
        <v>70.248959529724004</v>
      </c>
      <c r="I1619" s="147" t="str">
        <f t="shared" si="51"/>
        <v>01139090000000</v>
      </c>
    </row>
    <row r="1620" spans="1:9" ht="25.5">
      <c r="A1620" s="54" t="s">
        <v>520</v>
      </c>
      <c r="B1620" s="262" t="s">
        <v>249</v>
      </c>
      <c r="C1620" s="262" t="s">
        <v>424</v>
      </c>
      <c r="D1620" s="262" t="s">
        <v>923</v>
      </c>
      <c r="E1620" s="263" t="s">
        <v>1468</v>
      </c>
      <c r="F1620" s="370">
        <v>321635.81</v>
      </c>
      <c r="G1620" s="370">
        <v>225945.81</v>
      </c>
      <c r="H1620" s="368">
        <f t="shared" si="52"/>
        <v>70.248959529724004</v>
      </c>
      <c r="I1620" s="147" t="str">
        <f t="shared" si="51"/>
        <v>01139090080000</v>
      </c>
    </row>
    <row r="1621" spans="1:9">
      <c r="A1621" s="54" t="s">
        <v>1757</v>
      </c>
      <c r="B1621" s="262" t="s">
        <v>249</v>
      </c>
      <c r="C1621" s="262" t="s">
        <v>424</v>
      </c>
      <c r="D1621" s="262" t="s">
        <v>923</v>
      </c>
      <c r="E1621" s="263" t="s">
        <v>1758</v>
      </c>
      <c r="F1621" s="370">
        <v>321635.81</v>
      </c>
      <c r="G1621" s="370">
        <v>225945.81</v>
      </c>
      <c r="H1621" s="368">
        <f t="shared" si="52"/>
        <v>70.248959529724004</v>
      </c>
      <c r="I1621" s="147" t="str">
        <f t="shared" si="51"/>
        <v>01139090080000800</v>
      </c>
    </row>
    <row r="1622" spans="1:9">
      <c r="A1622" s="54" t="s">
        <v>1516</v>
      </c>
      <c r="B1622" s="262" t="s">
        <v>249</v>
      </c>
      <c r="C1622" s="262" t="s">
        <v>424</v>
      </c>
      <c r="D1622" s="262" t="s">
        <v>923</v>
      </c>
      <c r="E1622" s="263" t="s">
        <v>242</v>
      </c>
      <c r="F1622" s="370">
        <v>321635.81</v>
      </c>
      <c r="G1622" s="370">
        <v>225945.81</v>
      </c>
      <c r="H1622" s="368">
        <f t="shared" si="52"/>
        <v>70.248959529724004</v>
      </c>
      <c r="I1622" s="147" t="str">
        <f t="shared" si="51"/>
        <v>01139090080000830</v>
      </c>
    </row>
    <row r="1623" spans="1:9" ht="38.25">
      <c r="A1623" s="54" t="s">
        <v>1425</v>
      </c>
      <c r="B1623" s="262" t="s">
        <v>249</v>
      </c>
      <c r="C1623" s="262" t="s">
        <v>424</v>
      </c>
      <c r="D1623" s="262" t="s">
        <v>923</v>
      </c>
      <c r="E1623" s="263" t="s">
        <v>521</v>
      </c>
      <c r="F1623" s="370">
        <v>321635.81</v>
      </c>
      <c r="G1623" s="370">
        <v>225945.81</v>
      </c>
      <c r="H1623" s="368">
        <f t="shared" si="52"/>
        <v>70.248959529724004</v>
      </c>
      <c r="I1623" s="147" t="str">
        <f t="shared" si="51"/>
        <v>01139090080000831</v>
      </c>
    </row>
    <row r="1624" spans="1:9">
      <c r="A1624" s="54" t="s">
        <v>228</v>
      </c>
      <c r="B1624" s="262" t="s">
        <v>249</v>
      </c>
      <c r="C1624" s="262" t="s">
        <v>1377</v>
      </c>
      <c r="D1624" s="262" t="s">
        <v>1468</v>
      </c>
      <c r="E1624" s="263" t="s">
        <v>1468</v>
      </c>
      <c r="F1624" s="370">
        <v>4523000</v>
      </c>
      <c r="G1624" s="370">
        <v>4523000</v>
      </c>
      <c r="H1624" s="368">
        <f t="shared" si="52"/>
        <v>100</v>
      </c>
      <c r="I1624" s="147" t="str">
        <f t="shared" si="51"/>
        <v>0200</v>
      </c>
    </row>
    <row r="1625" spans="1:9">
      <c r="A1625" s="54" t="s">
        <v>229</v>
      </c>
      <c r="B1625" s="262" t="s">
        <v>249</v>
      </c>
      <c r="C1625" s="262" t="s">
        <v>522</v>
      </c>
      <c r="D1625" s="262" t="s">
        <v>1468</v>
      </c>
      <c r="E1625" s="263" t="s">
        <v>1468</v>
      </c>
      <c r="F1625" s="370">
        <v>4523000</v>
      </c>
      <c r="G1625" s="370">
        <v>4523000</v>
      </c>
      <c r="H1625" s="368">
        <f t="shared" si="52"/>
        <v>100</v>
      </c>
      <c r="I1625" s="147" t="str">
        <f t="shared" si="51"/>
        <v>0203</v>
      </c>
    </row>
    <row r="1626" spans="1:9" ht="25.5">
      <c r="A1626" s="54" t="s">
        <v>1947</v>
      </c>
      <c r="B1626" s="262" t="s">
        <v>249</v>
      </c>
      <c r="C1626" s="262" t="s">
        <v>522</v>
      </c>
      <c r="D1626" s="262" t="s">
        <v>1139</v>
      </c>
      <c r="E1626" s="263" t="s">
        <v>1468</v>
      </c>
      <c r="F1626" s="370">
        <v>4523000</v>
      </c>
      <c r="G1626" s="370">
        <v>4523000</v>
      </c>
      <c r="H1626" s="368">
        <f t="shared" si="52"/>
        <v>100</v>
      </c>
      <c r="I1626" s="147" t="str">
        <f t="shared" si="51"/>
        <v>02031100000000</v>
      </c>
    </row>
    <row r="1627" spans="1:9" ht="63.75">
      <c r="A1627" s="54" t="s">
        <v>1948</v>
      </c>
      <c r="B1627" s="262" t="s">
        <v>249</v>
      </c>
      <c r="C1627" s="262" t="s">
        <v>522</v>
      </c>
      <c r="D1627" s="262" t="s">
        <v>1140</v>
      </c>
      <c r="E1627" s="263" t="s">
        <v>1468</v>
      </c>
      <c r="F1627" s="370">
        <v>4523000</v>
      </c>
      <c r="G1627" s="370">
        <v>4523000</v>
      </c>
      <c r="H1627" s="368">
        <f t="shared" si="52"/>
        <v>100</v>
      </c>
      <c r="I1627" s="147" t="str">
        <f t="shared" si="51"/>
        <v>02031110000000</v>
      </c>
    </row>
    <row r="1628" spans="1:9" ht="127.5">
      <c r="A1628" s="54" t="s">
        <v>632</v>
      </c>
      <c r="B1628" s="262" t="s">
        <v>249</v>
      </c>
      <c r="C1628" s="262" t="s">
        <v>522</v>
      </c>
      <c r="D1628" s="262" t="s">
        <v>924</v>
      </c>
      <c r="E1628" s="263" t="s">
        <v>1468</v>
      </c>
      <c r="F1628" s="370">
        <v>4523000</v>
      </c>
      <c r="G1628" s="370">
        <v>4523000</v>
      </c>
      <c r="H1628" s="368">
        <f t="shared" si="52"/>
        <v>100</v>
      </c>
      <c r="I1628" s="147" t="str">
        <f t="shared" si="51"/>
        <v>02031110051180</v>
      </c>
    </row>
    <row r="1629" spans="1:9">
      <c r="A1629" s="54" t="s">
        <v>1765</v>
      </c>
      <c r="B1629" s="262" t="s">
        <v>249</v>
      </c>
      <c r="C1629" s="262" t="s">
        <v>522</v>
      </c>
      <c r="D1629" s="262" t="s">
        <v>924</v>
      </c>
      <c r="E1629" s="263" t="s">
        <v>1766</v>
      </c>
      <c r="F1629" s="370">
        <v>4523000</v>
      </c>
      <c r="G1629" s="370">
        <v>4523000</v>
      </c>
      <c r="H1629" s="368">
        <f t="shared" si="52"/>
        <v>100</v>
      </c>
      <c r="I1629" s="147" t="str">
        <f t="shared" si="51"/>
        <v>02031110051180500</v>
      </c>
    </row>
    <row r="1630" spans="1:9">
      <c r="A1630" s="54" t="s">
        <v>523</v>
      </c>
      <c r="B1630" s="262" t="s">
        <v>249</v>
      </c>
      <c r="C1630" s="262" t="s">
        <v>522</v>
      </c>
      <c r="D1630" s="262" t="s">
        <v>924</v>
      </c>
      <c r="E1630" s="263" t="s">
        <v>524</v>
      </c>
      <c r="F1630" s="370">
        <v>4523000</v>
      </c>
      <c r="G1630" s="370">
        <v>4523000</v>
      </c>
      <c r="H1630" s="368">
        <f t="shared" si="52"/>
        <v>100</v>
      </c>
      <c r="I1630" s="147" t="str">
        <f t="shared" si="51"/>
        <v>02031110051180530</v>
      </c>
    </row>
    <row r="1631" spans="1:9" ht="25.5">
      <c r="A1631" s="54" t="s">
        <v>282</v>
      </c>
      <c r="B1631" s="262" t="s">
        <v>249</v>
      </c>
      <c r="C1631" s="262" t="s">
        <v>1359</v>
      </c>
      <c r="D1631" s="262" t="s">
        <v>1468</v>
      </c>
      <c r="E1631" s="263" t="s">
        <v>1468</v>
      </c>
      <c r="F1631" s="370">
        <v>1760357</v>
      </c>
      <c r="G1631" s="370">
        <v>1760357</v>
      </c>
      <c r="H1631" s="368">
        <f t="shared" si="52"/>
        <v>100</v>
      </c>
      <c r="I1631" s="147" t="str">
        <f t="shared" si="51"/>
        <v>0300</v>
      </c>
    </row>
    <row r="1632" spans="1:9">
      <c r="A1632" s="54" t="s">
        <v>133</v>
      </c>
      <c r="B1632" s="262" t="s">
        <v>249</v>
      </c>
      <c r="C1632" s="262" t="s">
        <v>433</v>
      </c>
      <c r="D1632" s="262" t="s">
        <v>1468</v>
      </c>
      <c r="E1632" s="263" t="s">
        <v>1468</v>
      </c>
      <c r="F1632" s="370">
        <v>1760357</v>
      </c>
      <c r="G1632" s="370">
        <v>1760357</v>
      </c>
      <c r="H1632" s="368">
        <f t="shared" si="52"/>
        <v>100</v>
      </c>
      <c r="I1632" s="147" t="str">
        <f t="shared" si="51"/>
        <v>0310</v>
      </c>
    </row>
    <row r="1633" spans="1:9" ht="38.25">
      <c r="A1633" s="54" t="s">
        <v>549</v>
      </c>
      <c r="B1633" s="262" t="s">
        <v>249</v>
      </c>
      <c r="C1633" s="262" t="s">
        <v>433</v>
      </c>
      <c r="D1633" s="262" t="s">
        <v>1117</v>
      </c>
      <c r="E1633" s="263" t="s">
        <v>1468</v>
      </c>
      <c r="F1633" s="370">
        <v>1760357</v>
      </c>
      <c r="G1633" s="370">
        <v>1760357</v>
      </c>
      <c r="H1633" s="368">
        <f t="shared" si="52"/>
        <v>100</v>
      </c>
      <c r="I1633" s="147" t="str">
        <f t="shared" si="51"/>
        <v>03100400000000</v>
      </c>
    </row>
    <row r="1634" spans="1:9" ht="25.5">
      <c r="A1634" s="54" t="s">
        <v>552</v>
      </c>
      <c r="B1634" s="262" t="s">
        <v>249</v>
      </c>
      <c r="C1634" s="262" t="s">
        <v>433</v>
      </c>
      <c r="D1634" s="262" t="s">
        <v>1119</v>
      </c>
      <c r="E1634" s="263" t="s">
        <v>1468</v>
      </c>
      <c r="F1634" s="370">
        <v>1760357</v>
      </c>
      <c r="G1634" s="370">
        <v>1760357</v>
      </c>
      <c r="H1634" s="368">
        <f t="shared" si="52"/>
        <v>100</v>
      </c>
      <c r="I1634" s="147" t="str">
        <f t="shared" si="51"/>
        <v>03100420000000</v>
      </c>
    </row>
    <row r="1635" spans="1:9" ht="89.25">
      <c r="A1635" s="54" t="s">
        <v>1845</v>
      </c>
      <c r="B1635" s="262" t="s">
        <v>249</v>
      </c>
      <c r="C1635" s="262" t="s">
        <v>433</v>
      </c>
      <c r="D1635" s="262" t="s">
        <v>1421</v>
      </c>
      <c r="E1635" s="263" t="s">
        <v>1468</v>
      </c>
      <c r="F1635" s="370">
        <v>1760357</v>
      </c>
      <c r="G1635" s="370">
        <v>1760357</v>
      </c>
      <c r="H1635" s="368">
        <f t="shared" si="52"/>
        <v>100</v>
      </c>
      <c r="I1635" s="147" t="str">
        <f t="shared" si="51"/>
        <v>03100420074120</v>
      </c>
    </row>
    <row r="1636" spans="1:9">
      <c r="A1636" s="54" t="s">
        <v>1765</v>
      </c>
      <c r="B1636" s="262" t="s">
        <v>249</v>
      </c>
      <c r="C1636" s="262" t="s">
        <v>433</v>
      </c>
      <c r="D1636" s="262" t="s">
        <v>1421</v>
      </c>
      <c r="E1636" s="263" t="s">
        <v>1766</v>
      </c>
      <c r="F1636" s="370">
        <v>1760357</v>
      </c>
      <c r="G1636" s="370">
        <v>1760357</v>
      </c>
      <c r="H1636" s="368">
        <f t="shared" si="52"/>
        <v>100</v>
      </c>
      <c r="I1636" s="147" t="str">
        <f t="shared" si="51"/>
        <v>03100420074120500</v>
      </c>
    </row>
    <row r="1637" spans="1:9">
      <c r="A1637" s="54" t="s">
        <v>94</v>
      </c>
      <c r="B1637" s="262" t="s">
        <v>249</v>
      </c>
      <c r="C1637" s="262" t="s">
        <v>433</v>
      </c>
      <c r="D1637" s="262" t="s">
        <v>1421</v>
      </c>
      <c r="E1637" s="263" t="s">
        <v>519</v>
      </c>
      <c r="F1637" s="370">
        <v>1760357</v>
      </c>
      <c r="G1637" s="370">
        <v>1760357</v>
      </c>
      <c r="H1637" s="368">
        <f t="shared" si="52"/>
        <v>100</v>
      </c>
      <c r="I1637" s="147" t="str">
        <f t="shared" si="51"/>
        <v>03100420074120540</v>
      </c>
    </row>
    <row r="1638" spans="1:9">
      <c r="A1638" s="54" t="s">
        <v>218</v>
      </c>
      <c r="B1638" s="262" t="s">
        <v>249</v>
      </c>
      <c r="C1638" s="262" t="s">
        <v>1362</v>
      </c>
      <c r="D1638" s="262" t="s">
        <v>1468</v>
      </c>
      <c r="E1638" s="263" t="s">
        <v>1468</v>
      </c>
      <c r="F1638" s="370">
        <v>29393700</v>
      </c>
      <c r="G1638" s="370">
        <v>29393699.579999998</v>
      </c>
      <c r="H1638" s="368">
        <f t="shared" si="52"/>
        <v>99.999998571122376</v>
      </c>
      <c r="I1638" s="147" t="str">
        <f t="shared" si="51"/>
        <v>0400</v>
      </c>
    </row>
    <row r="1639" spans="1:9">
      <c r="A1639" s="54" t="s">
        <v>298</v>
      </c>
      <c r="B1639" s="262" t="s">
        <v>249</v>
      </c>
      <c r="C1639" s="262" t="s">
        <v>446</v>
      </c>
      <c r="D1639" s="262" t="s">
        <v>1468</v>
      </c>
      <c r="E1639" s="263" t="s">
        <v>1468</v>
      </c>
      <c r="F1639" s="370">
        <v>29393700</v>
      </c>
      <c r="G1639" s="370">
        <v>29393699.579999998</v>
      </c>
      <c r="H1639" s="368">
        <f t="shared" si="52"/>
        <v>99.999998571122376</v>
      </c>
      <c r="I1639" s="147" t="str">
        <f t="shared" si="51"/>
        <v>0409</v>
      </c>
    </row>
    <row r="1640" spans="1:9" ht="25.5">
      <c r="A1640" s="54" t="s">
        <v>576</v>
      </c>
      <c r="B1640" s="262" t="s">
        <v>249</v>
      </c>
      <c r="C1640" s="262" t="s">
        <v>446</v>
      </c>
      <c r="D1640" s="262" t="s">
        <v>1133</v>
      </c>
      <c r="E1640" s="263" t="s">
        <v>1468</v>
      </c>
      <c r="F1640" s="370">
        <v>29393700</v>
      </c>
      <c r="G1640" s="370">
        <v>29393699.579999998</v>
      </c>
      <c r="H1640" s="368">
        <f t="shared" si="52"/>
        <v>99.999998571122376</v>
      </c>
      <c r="I1640" s="147" t="str">
        <f t="shared" si="51"/>
        <v>04090900000000</v>
      </c>
    </row>
    <row r="1641" spans="1:9">
      <c r="A1641" s="54" t="s">
        <v>577</v>
      </c>
      <c r="B1641" s="262" t="s">
        <v>249</v>
      </c>
      <c r="C1641" s="262" t="s">
        <v>446</v>
      </c>
      <c r="D1641" s="262" t="s">
        <v>1134</v>
      </c>
      <c r="E1641" s="263" t="s">
        <v>1468</v>
      </c>
      <c r="F1641" s="370">
        <v>29114900</v>
      </c>
      <c r="G1641" s="370">
        <v>29114899.579999998</v>
      </c>
      <c r="H1641" s="368">
        <f t="shared" si="52"/>
        <v>99.999998557439653</v>
      </c>
      <c r="I1641" s="147" t="str">
        <f t="shared" ref="I1641:I1704" si="53">CONCATENATE(C1641,D1641,E1641)</f>
        <v>04090910000000</v>
      </c>
    </row>
    <row r="1642" spans="1:9" ht="76.5">
      <c r="A1642" s="54" t="s">
        <v>1952</v>
      </c>
      <c r="B1642" s="262" t="s">
        <v>249</v>
      </c>
      <c r="C1642" s="262" t="s">
        <v>446</v>
      </c>
      <c r="D1642" s="262" t="s">
        <v>1038</v>
      </c>
      <c r="E1642" s="263" t="s">
        <v>1468</v>
      </c>
      <c r="F1642" s="370">
        <v>7783900</v>
      </c>
      <c r="G1642" s="370">
        <v>7783900</v>
      </c>
      <c r="H1642" s="368">
        <f t="shared" si="52"/>
        <v>100</v>
      </c>
      <c r="I1642" s="147" t="str">
        <f t="shared" si="53"/>
        <v>04090910075080</v>
      </c>
    </row>
    <row r="1643" spans="1:9">
      <c r="A1643" s="54" t="s">
        <v>1765</v>
      </c>
      <c r="B1643" s="262" t="s">
        <v>249</v>
      </c>
      <c r="C1643" s="262" t="s">
        <v>446</v>
      </c>
      <c r="D1643" s="262" t="s">
        <v>1038</v>
      </c>
      <c r="E1643" s="263" t="s">
        <v>1766</v>
      </c>
      <c r="F1643" s="370">
        <v>7783900</v>
      </c>
      <c r="G1643" s="370">
        <v>7783900</v>
      </c>
      <c r="H1643" s="368">
        <f t="shared" si="52"/>
        <v>100</v>
      </c>
      <c r="I1643" s="147" t="str">
        <f t="shared" si="53"/>
        <v>04090910075080500</v>
      </c>
    </row>
    <row r="1644" spans="1:9">
      <c r="A1644" s="54" t="s">
        <v>94</v>
      </c>
      <c r="B1644" s="262" t="s">
        <v>249</v>
      </c>
      <c r="C1644" s="262" t="s">
        <v>446</v>
      </c>
      <c r="D1644" s="262" t="s">
        <v>1038</v>
      </c>
      <c r="E1644" s="263" t="s">
        <v>519</v>
      </c>
      <c r="F1644" s="370">
        <v>7783900</v>
      </c>
      <c r="G1644" s="370">
        <v>7783900</v>
      </c>
      <c r="H1644" s="368">
        <f t="shared" si="52"/>
        <v>100</v>
      </c>
      <c r="I1644" s="147" t="str">
        <f t="shared" si="53"/>
        <v>04090910075080540</v>
      </c>
    </row>
    <row r="1645" spans="1:9" ht="89.25">
      <c r="A1645" s="54" t="s">
        <v>1877</v>
      </c>
      <c r="B1645" s="262" t="s">
        <v>249</v>
      </c>
      <c r="C1645" s="262" t="s">
        <v>446</v>
      </c>
      <c r="D1645" s="262" t="s">
        <v>1878</v>
      </c>
      <c r="E1645" s="263" t="s">
        <v>1468</v>
      </c>
      <c r="F1645" s="370">
        <v>21331000</v>
      </c>
      <c r="G1645" s="370">
        <v>21330999.579999998</v>
      </c>
      <c r="H1645" s="368">
        <f t="shared" si="52"/>
        <v>99.999998031034636</v>
      </c>
      <c r="I1645" s="147" t="str">
        <f t="shared" si="53"/>
        <v>04090910075090</v>
      </c>
    </row>
    <row r="1646" spans="1:9">
      <c r="A1646" s="54" t="s">
        <v>1765</v>
      </c>
      <c r="B1646" s="262" t="s">
        <v>249</v>
      </c>
      <c r="C1646" s="262" t="s">
        <v>446</v>
      </c>
      <c r="D1646" s="262" t="s">
        <v>1878</v>
      </c>
      <c r="E1646" s="263" t="s">
        <v>1766</v>
      </c>
      <c r="F1646" s="370">
        <v>21331000</v>
      </c>
      <c r="G1646" s="370">
        <v>21330999.579999998</v>
      </c>
      <c r="H1646" s="368">
        <f t="shared" si="52"/>
        <v>99.999998031034636</v>
      </c>
      <c r="I1646" s="147" t="str">
        <f t="shared" si="53"/>
        <v>04090910075090500</v>
      </c>
    </row>
    <row r="1647" spans="1:9">
      <c r="A1647" s="54" t="s">
        <v>94</v>
      </c>
      <c r="B1647" s="262" t="s">
        <v>249</v>
      </c>
      <c r="C1647" s="262" t="s">
        <v>446</v>
      </c>
      <c r="D1647" s="262" t="s">
        <v>1878</v>
      </c>
      <c r="E1647" s="263" t="s">
        <v>519</v>
      </c>
      <c r="F1647" s="370">
        <v>21331000</v>
      </c>
      <c r="G1647" s="370">
        <v>21330999.579999998</v>
      </c>
      <c r="H1647" s="368">
        <f t="shared" si="52"/>
        <v>99.999998031034636</v>
      </c>
      <c r="I1647" s="147" t="str">
        <f t="shared" si="53"/>
        <v>04090910075090540</v>
      </c>
    </row>
    <row r="1648" spans="1:9" ht="25.5">
      <c r="A1648" s="54" t="s">
        <v>581</v>
      </c>
      <c r="B1648" s="262" t="s">
        <v>249</v>
      </c>
      <c r="C1648" s="262" t="s">
        <v>446</v>
      </c>
      <c r="D1648" s="262" t="s">
        <v>1136</v>
      </c>
      <c r="E1648" s="263" t="s">
        <v>1468</v>
      </c>
      <c r="F1648" s="370">
        <v>278800</v>
      </c>
      <c r="G1648" s="370">
        <v>278800</v>
      </c>
      <c r="H1648" s="368">
        <f t="shared" si="52"/>
        <v>100</v>
      </c>
      <c r="I1648" s="147" t="str">
        <f t="shared" si="53"/>
        <v>04090930000000</v>
      </c>
    </row>
    <row r="1649" spans="1:9" ht="102">
      <c r="A1649" s="54" t="s">
        <v>1954</v>
      </c>
      <c r="B1649" s="262" t="s">
        <v>249</v>
      </c>
      <c r="C1649" s="262" t="s">
        <v>446</v>
      </c>
      <c r="D1649" s="262" t="s">
        <v>1955</v>
      </c>
      <c r="E1649" s="263" t="s">
        <v>1468</v>
      </c>
      <c r="F1649" s="370">
        <v>278800</v>
      </c>
      <c r="G1649" s="370">
        <v>278800</v>
      </c>
      <c r="H1649" s="368">
        <f t="shared" si="52"/>
        <v>100</v>
      </c>
      <c r="I1649" s="147" t="str">
        <f t="shared" si="53"/>
        <v>0409093R374920</v>
      </c>
    </row>
    <row r="1650" spans="1:9">
      <c r="A1650" s="54" t="s">
        <v>1765</v>
      </c>
      <c r="B1650" s="262" t="s">
        <v>249</v>
      </c>
      <c r="C1650" s="262" t="s">
        <v>446</v>
      </c>
      <c r="D1650" s="262" t="s">
        <v>1955</v>
      </c>
      <c r="E1650" s="263" t="s">
        <v>1766</v>
      </c>
      <c r="F1650" s="370">
        <v>278800</v>
      </c>
      <c r="G1650" s="370">
        <v>278800</v>
      </c>
      <c r="H1650" s="368">
        <f t="shared" si="52"/>
        <v>100</v>
      </c>
      <c r="I1650" s="147" t="str">
        <f t="shared" si="53"/>
        <v>0409093R374920500</v>
      </c>
    </row>
    <row r="1651" spans="1:9">
      <c r="A1651" s="54" t="s">
        <v>94</v>
      </c>
      <c r="B1651" s="262" t="s">
        <v>249</v>
      </c>
      <c r="C1651" s="262" t="s">
        <v>446</v>
      </c>
      <c r="D1651" s="262" t="s">
        <v>1955</v>
      </c>
      <c r="E1651" s="263" t="s">
        <v>519</v>
      </c>
      <c r="F1651" s="370">
        <v>278800</v>
      </c>
      <c r="G1651" s="370">
        <v>278800</v>
      </c>
      <c r="H1651" s="368">
        <f t="shared" si="52"/>
        <v>100</v>
      </c>
      <c r="I1651" s="147" t="str">
        <f t="shared" si="53"/>
        <v>0409093R374920540</v>
      </c>
    </row>
    <row r="1652" spans="1:9">
      <c r="A1652" s="54" t="s">
        <v>283</v>
      </c>
      <c r="B1652" s="262" t="s">
        <v>249</v>
      </c>
      <c r="C1652" s="262" t="s">
        <v>1363</v>
      </c>
      <c r="D1652" s="262" t="s">
        <v>1468</v>
      </c>
      <c r="E1652" s="263" t="s">
        <v>1468</v>
      </c>
      <c r="F1652" s="370">
        <v>4544112</v>
      </c>
      <c r="G1652" s="370">
        <v>4412269.2</v>
      </c>
      <c r="H1652" s="368">
        <f t="shared" si="52"/>
        <v>97.098601442922188</v>
      </c>
      <c r="I1652" s="147" t="str">
        <f t="shared" si="53"/>
        <v>0500</v>
      </c>
    </row>
    <row r="1653" spans="1:9">
      <c r="A1653" s="54" t="s">
        <v>46</v>
      </c>
      <c r="B1653" s="262" t="s">
        <v>249</v>
      </c>
      <c r="C1653" s="262" t="s">
        <v>476</v>
      </c>
      <c r="D1653" s="262" t="s">
        <v>1468</v>
      </c>
      <c r="E1653" s="263" t="s">
        <v>1468</v>
      </c>
      <c r="F1653" s="370">
        <v>4544112</v>
      </c>
      <c r="G1653" s="370">
        <v>4412269.2</v>
      </c>
      <c r="H1653" s="368">
        <f t="shared" si="52"/>
        <v>97.098601442922188</v>
      </c>
      <c r="I1653" s="147" t="str">
        <f t="shared" si="53"/>
        <v>0503</v>
      </c>
    </row>
    <row r="1654" spans="1:9" ht="25.5">
      <c r="A1654" s="54" t="s">
        <v>1947</v>
      </c>
      <c r="B1654" s="262" t="s">
        <v>249</v>
      </c>
      <c r="C1654" s="262" t="s">
        <v>476</v>
      </c>
      <c r="D1654" s="262" t="s">
        <v>1139</v>
      </c>
      <c r="E1654" s="263" t="s">
        <v>1468</v>
      </c>
      <c r="F1654" s="370">
        <v>4544112</v>
      </c>
      <c r="G1654" s="370">
        <v>4412269.2</v>
      </c>
      <c r="H1654" s="368">
        <f t="shared" si="52"/>
        <v>97.098601442922188</v>
      </c>
      <c r="I1654" s="147" t="str">
        <f t="shared" si="53"/>
        <v>05031100000000</v>
      </c>
    </row>
    <row r="1655" spans="1:9" ht="63.75">
      <c r="A1655" s="54" t="s">
        <v>1948</v>
      </c>
      <c r="B1655" s="262" t="s">
        <v>249</v>
      </c>
      <c r="C1655" s="262" t="s">
        <v>476</v>
      </c>
      <c r="D1655" s="262" t="s">
        <v>1140</v>
      </c>
      <c r="E1655" s="263" t="s">
        <v>1468</v>
      </c>
      <c r="F1655" s="370">
        <v>4544112</v>
      </c>
      <c r="G1655" s="370">
        <v>4412269.2</v>
      </c>
      <c r="H1655" s="368">
        <f t="shared" si="52"/>
        <v>97.098601442922188</v>
      </c>
      <c r="I1655" s="147" t="str">
        <f t="shared" si="53"/>
        <v>05031110000000</v>
      </c>
    </row>
    <row r="1656" spans="1:9" ht="153">
      <c r="A1656" s="54" t="s">
        <v>1949</v>
      </c>
      <c r="B1656" s="262" t="s">
        <v>249</v>
      </c>
      <c r="C1656" s="262" t="s">
        <v>476</v>
      </c>
      <c r="D1656" s="262" t="s">
        <v>1058</v>
      </c>
      <c r="E1656" s="263" t="s">
        <v>1468</v>
      </c>
      <c r="F1656" s="375">
        <v>2747520</v>
      </c>
      <c r="G1656" s="375">
        <v>2615677.2000000002</v>
      </c>
      <c r="H1656" s="368">
        <f t="shared" si="52"/>
        <v>95.2013888888889</v>
      </c>
      <c r="I1656" s="147" t="str">
        <f t="shared" si="53"/>
        <v>05031110077410</v>
      </c>
    </row>
    <row r="1657" spans="1:9">
      <c r="A1657" s="54" t="s">
        <v>1765</v>
      </c>
      <c r="B1657" s="262" t="s">
        <v>249</v>
      </c>
      <c r="C1657" s="262" t="s">
        <v>476</v>
      </c>
      <c r="D1657" s="262" t="s">
        <v>1058</v>
      </c>
      <c r="E1657" s="263" t="s">
        <v>1766</v>
      </c>
      <c r="F1657" s="375">
        <v>2747520</v>
      </c>
      <c r="G1657" s="375">
        <v>2615677.2000000002</v>
      </c>
      <c r="H1657" s="368">
        <f t="shared" si="52"/>
        <v>95.2013888888889</v>
      </c>
      <c r="I1657" s="147" t="str">
        <f t="shared" si="53"/>
        <v>05031110077410500</v>
      </c>
    </row>
    <row r="1658" spans="1:9">
      <c r="A1658" s="54" t="s">
        <v>94</v>
      </c>
      <c r="B1658" s="262" t="s">
        <v>249</v>
      </c>
      <c r="C1658" s="262" t="s">
        <v>476</v>
      </c>
      <c r="D1658" s="262" t="s">
        <v>1058</v>
      </c>
      <c r="E1658" s="263" t="s">
        <v>519</v>
      </c>
      <c r="F1658" s="375">
        <v>2747520</v>
      </c>
      <c r="G1658" s="375">
        <v>2615677.2000000002</v>
      </c>
      <c r="H1658" s="368">
        <f t="shared" si="52"/>
        <v>95.2013888888889</v>
      </c>
      <c r="I1658" s="147" t="str">
        <f t="shared" si="53"/>
        <v>05031110077410540</v>
      </c>
    </row>
    <row r="1659" spans="1:9" ht="114.75">
      <c r="A1659" s="54" t="s">
        <v>1950</v>
      </c>
      <c r="B1659" s="262" t="s">
        <v>249</v>
      </c>
      <c r="C1659" s="262" t="s">
        <v>476</v>
      </c>
      <c r="D1659" s="262" t="s">
        <v>1951</v>
      </c>
      <c r="E1659" s="263" t="s">
        <v>1468</v>
      </c>
      <c r="F1659" s="375">
        <v>210000</v>
      </c>
      <c r="G1659" s="375">
        <v>210000</v>
      </c>
      <c r="H1659" s="368">
        <f t="shared" si="52"/>
        <v>100</v>
      </c>
      <c r="I1659" s="147" t="str">
        <f t="shared" si="53"/>
        <v>05031110077490</v>
      </c>
    </row>
    <row r="1660" spans="1:9">
      <c r="A1660" s="54" t="s">
        <v>1765</v>
      </c>
      <c r="B1660" s="262" t="s">
        <v>249</v>
      </c>
      <c r="C1660" s="262" t="s">
        <v>476</v>
      </c>
      <c r="D1660" s="262" t="s">
        <v>1951</v>
      </c>
      <c r="E1660" s="263" t="s">
        <v>1766</v>
      </c>
      <c r="F1660" s="375">
        <v>210000</v>
      </c>
      <c r="G1660" s="375">
        <v>210000</v>
      </c>
      <c r="H1660" s="368">
        <f t="shared" si="52"/>
        <v>100</v>
      </c>
      <c r="I1660" s="147" t="str">
        <f t="shared" si="53"/>
        <v>05031110077490500</v>
      </c>
    </row>
    <row r="1661" spans="1:9">
      <c r="A1661" s="54" t="s">
        <v>94</v>
      </c>
      <c r="B1661" s="262" t="s">
        <v>249</v>
      </c>
      <c r="C1661" s="262" t="s">
        <v>476</v>
      </c>
      <c r="D1661" s="262" t="s">
        <v>1951</v>
      </c>
      <c r="E1661" s="263" t="s">
        <v>519</v>
      </c>
      <c r="F1661" s="375">
        <v>210000</v>
      </c>
      <c r="G1661" s="375">
        <v>210000</v>
      </c>
      <c r="H1661" s="368">
        <f t="shared" si="52"/>
        <v>100</v>
      </c>
      <c r="I1661" s="147" t="str">
        <f t="shared" si="53"/>
        <v>05031110077490540</v>
      </c>
    </row>
    <row r="1662" spans="1:9" ht="102">
      <c r="A1662" s="54" t="s">
        <v>2083</v>
      </c>
      <c r="B1662" s="262" t="s">
        <v>249</v>
      </c>
      <c r="C1662" s="262" t="s">
        <v>476</v>
      </c>
      <c r="D1662" s="262" t="s">
        <v>2084</v>
      </c>
      <c r="E1662" s="263" t="s">
        <v>1468</v>
      </c>
      <c r="F1662" s="375">
        <v>60060</v>
      </c>
      <c r="G1662" s="375">
        <v>60060</v>
      </c>
      <c r="H1662" s="368">
        <f t="shared" si="52"/>
        <v>100</v>
      </c>
      <c r="I1662" s="147" t="str">
        <f t="shared" si="53"/>
        <v>050311100L299F</v>
      </c>
    </row>
    <row r="1663" spans="1:9">
      <c r="A1663" s="54" t="s">
        <v>1765</v>
      </c>
      <c r="B1663" s="262" t="s">
        <v>249</v>
      </c>
      <c r="C1663" s="262" t="s">
        <v>476</v>
      </c>
      <c r="D1663" s="262" t="s">
        <v>2084</v>
      </c>
      <c r="E1663" s="263" t="s">
        <v>1766</v>
      </c>
      <c r="F1663" s="375">
        <v>60060</v>
      </c>
      <c r="G1663" s="375">
        <v>60060</v>
      </c>
      <c r="H1663" s="368">
        <f t="shared" si="52"/>
        <v>100</v>
      </c>
      <c r="I1663" s="147" t="str">
        <f t="shared" si="53"/>
        <v>050311100L299F500</v>
      </c>
    </row>
    <row r="1664" spans="1:9">
      <c r="A1664" s="54" t="s">
        <v>94</v>
      </c>
      <c r="B1664" s="262" t="s">
        <v>249</v>
      </c>
      <c r="C1664" s="262" t="s">
        <v>476</v>
      </c>
      <c r="D1664" s="262" t="s">
        <v>2084</v>
      </c>
      <c r="E1664" s="263" t="s">
        <v>519</v>
      </c>
      <c r="F1664" s="375">
        <v>60060</v>
      </c>
      <c r="G1664" s="375">
        <v>60060</v>
      </c>
      <c r="H1664" s="368">
        <f t="shared" si="52"/>
        <v>100</v>
      </c>
      <c r="I1664" s="147" t="str">
        <f t="shared" si="53"/>
        <v>050311100L299F540</v>
      </c>
    </row>
    <row r="1665" spans="1:9" ht="114.75">
      <c r="A1665" s="54" t="s">
        <v>1956</v>
      </c>
      <c r="B1665" s="262" t="s">
        <v>249</v>
      </c>
      <c r="C1665" s="262" t="s">
        <v>476</v>
      </c>
      <c r="D1665" s="262" t="s">
        <v>1868</v>
      </c>
      <c r="E1665" s="263" t="s">
        <v>1468</v>
      </c>
      <c r="F1665" s="375">
        <v>1526532</v>
      </c>
      <c r="G1665" s="375">
        <v>1526532</v>
      </c>
      <c r="H1665" s="368">
        <f t="shared" si="52"/>
        <v>100</v>
      </c>
      <c r="I1665" s="147" t="str">
        <f t="shared" si="53"/>
        <v>0503111F255550</v>
      </c>
    </row>
    <row r="1666" spans="1:9">
      <c r="A1666" s="54" t="s">
        <v>1765</v>
      </c>
      <c r="B1666" s="262" t="s">
        <v>249</v>
      </c>
      <c r="C1666" s="262" t="s">
        <v>476</v>
      </c>
      <c r="D1666" s="262" t="s">
        <v>1868</v>
      </c>
      <c r="E1666" s="263" t="s">
        <v>1766</v>
      </c>
      <c r="F1666" s="375">
        <v>1526532</v>
      </c>
      <c r="G1666" s="375">
        <v>1526532</v>
      </c>
      <c r="H1666" s="368">
        <f t="shared" si="52"/>
        <v>100</v>
      </c>
      <c r="I1666" s="147" t="str">
        <f t="shared" si="53"/>
        <v>0503111F255550500</v>
      </c>
    </row>
    <row r="1667" spans="1:9">
      <c r="A1667" s="54" t="s">
        <v>94</v>
      </c>
      <c r="B1667" s="262" t="s">
        <v>249</v>
      </c>
      <c r="C1667" s="262" t="s">
        <v>476</v>
      </c>
      <c r="D1667" s="262" t="s">
        <v>1868</v>
      </c>
      <c r="E1667" s="263" t="s">
        <v>519</v>
      </c>
      <c r="F1667" s="375">
        <v>1526532</v>
      </c>
      <c r="G1667" s="375">
        <v>1526532</v>
      </c>
      <c r="H1667" s="368">
        <f t="shared" si="52"/>
        <v>100</v>
      </c>
      <c r="I1667" s="147" t="str">
        <f t="shared" si="53"/>
        <v>0503111F255550540</v>
      </c>
    </row>
    <row r="1668" spans="1:9">
      <c r="A1668" s="54" t="s">
        <v>1598</v>
      </c>
      <c r="B1668" s="262" t="s">
        <v>249</v>
      </c>
      <c r="C1668" s="262" t="s">
        <v>1599</v>
      </c>
      <c r="D1668" s="262" t="s">
        <v>1468</v>
      </c>
      <c r="E1668" s="263" t="s">
        <v>1468</v>
      </c>
      <c r="F1668" s="375">
        <v>10459660</v>
      </c>
      <c r="G1668" s="375">
        <v>6738160</v>
      </c>
      <c r="H1668" s="368">
        <f t="shared" si="52"/>
        <v>64.420449613084941</v>
      </c>
      <c r="I1668" s="147" t="str">
        <f t="shared" si="53"/>
        <v>0600</v>
      </c>
    </row>
    <row r="1669" spans="1:9" ht="25.5">
      <c r="A1669" s="54" t="s">
        <v>1600</v>
      </c>
      <c r="B1669" s="262" t="s">
        <v>249</v>
      </c>
      <c r="C1669" s="262" t="s">
        <v>1601</v>
      </c>
      <c r="D1669" s="262" t="s">
        <v>1468</v>
      </c>
      <c r="E1669" s="263" t="s">
        <v>1468</v>
      </c>
      <c r="F1669" s="375">
        <v>10459660</v>
      </c>
      <c r="G1669" s="375">
        <v>6738160</v>
      </c>
      <c r="H1669" s="368">
        <f t="shared" si="52"/>
        <v>64.420449613084941</v>
      </c>
      <c r="I1669" s="147" t="str">
        <f t="shared" si="53"/>
        <v>0605</v>
      </c>
    </row>
    <row r="1670" spans="1:9" ht="38.25">
      <c r="A1670" s="54" t="s">
        <v>545</v>
      </c>
      <c r="B1670" s="262" t="s">
        <v>249</v>
      </c>
      <c r="C1670" s="262" t="s">
        <v>1601</v>
      </c>
      <c r="D1670" s="262" t="s">
        <v>1113</v>
      </c>
      <c r="E1670" s="263" t="s">
        <v>1468</v>
      </c>
      <c r="F1670" s="375">
        <v>10459660</v>
      </c>
      <c r="G1670" s="375">
        <v>6738160</v>
      </c>
      <c r="H1670" s="368">
        <f t="shared" si="52"/>
        <v>64.420449613084941</v>
      </c>
      <c r="I1670" s="147" t="str">
        <f t="shared" si="53"/>
        <v>06050300000000</v>
      </c>
    </row>
    <row r="1671" spans="1:9" ht="25.5">
      <c r="A1671" s="54" t="s">
        <v>950</v>
      </c>
      <c r="B1671" s="262" t="s">
        <v>249</v>
      </c>
      <c r="C1671" s="262" t="s">
        <v>1601</v>
      </c>
      <c r="D1671" s="262" t="s">
        <v>1201</v>
      </c>
      <c r="E1671" s="263" t="s">
        <v>1468</v>
      </c>
      <c r="F1671" s="375">
        <v>10459660</v>
      </c>
      <c r="G1671" s="375">
        <v>6738160</v>
      </c>
      <c r="H1671" s="368">
        <f t="shared" si="52"/>
        <v>64.420449613084941</v>
      </c>
      <c r="I1671" s="147" t="str">
        <f t="shared" si="53"/>
        <v>06050360000000</v>
      </c>
    </row>
    <row r="1672" spans="1:9" ht="114.75">
      <c r="A1672" s="54" t="s">
        <v>1966</v>
      </c>
      <c r="B1672" s="262" t="s">
        <v>249</v>
      </c>
      <c r="C1672" s="262" t="s">
        <v>1601</v>
      </c>
      <c r="D1672" s="262" t="s">
        <v>1967</v>
      </c>
      <c r="E1672" s="263" t="s">
        <v>1468</v>
      </c>
      <c r="F1672" s="375">
        <v>10459660</v>
      </c>
      <c r="G1672" s="375">
        <v>6738160</v>
      </c>
      <c r="H1672" s="368">
        <f t="shared" ref="H1672:H1722" si="54">G1672/F1672*100</f>
        <v>64.420449613084941</v>
      </c>
      <c r="I1672" s="147" t="str">
        <f t="shared" si="53"/>
        <v>06050360074630</v>
      </c>
    </row>
    <row r="1673" spans="1:9">
      <c r="A1673" s="54" t="s">
        <v>1765</v>
      </c>
      <c r="B1673" s="262" t="s">
        <v>249</v>
      </c>
      <c r="C1673" s="262" t="s">
        <v>1601</v>
      </c>
      <c r="D1673" s="262" t="s">
        <v>1967</v>
      </c>
      <c r="E1673" s="263" t="s">
        <v>1766</v>
      </c>
      <c r="F1673" s="375">
        <v>10459660</v>
      </c>
      <c r="G1673" s="375">
        <v>6738160</v>
      </c>
      <c r="H1673" s="368">
        <f t="shared" si="54"/>
        <v>64.420449613084941</v>
      </c>
      <c r="I1673" s="147" t="str">
        <f t="shared" si="53"/>
        <v>06050360074630500</v>
      </c>
    </row>
    <row r="1674" spans="1:9">
      <c r="A1674" s="54" t="s">
        <v>94</v>
      </c>
      <c r="B1674" s="262" t="s">
        <v>249</v>
      </c>
      <c r="C1674" s="262" t="s">
        <v>1601</v>
      </c>
      <c r="D1674" s="262" t="s">
        <v>1967</v>
      </c>
      <c r="E1674" s="263" t="s">
        <v>519</v>
      </c>
      <c r="F1674" s="375">
        <v>10459660</v>
      </c>
      <c r="G1674" s="375">
        <v>6738160</v>
      </c>
      <c r="H1674" s="368">
        <f t="shared" si="54"/>
        <v>64.420449613084941</v>
      </c>
      <c r="I1674" s="147" t="str">
        <f t="shared" si="53"/>
        <v>06050360074630540</v>
      </c>
    </row>
    <row r="1675" spans="1:9">
      <c r="A1675" s="54" t="s">
        <v>173</v>
      </c>
      <c r="B1675" s="262" t="s">
        <v>249</v>
      </c>
      <c r="C1675" s="262" t="s">
        <v>1364</v>
      </c>
      <c r="D1675" s="262" t="s">
        <v>1468</v>
      </c>
      <c r="E1675" s="263" t="s">
        <v>1468</v>
      </c>
      <c r="F1675" s="375">
        <v>2143763.85</v>
      </c>
      <c r="G1675" s="375">
        <v>2143763.85</v>
      </c>
      <c r="H1675" s="368">
        <f t="shared" si="54"/>
        <v>100</v>
      </c>
      <c r="I1675" s="147" t="str">
        <f t="shared" si="53"/>
        <v>0700</v>
      </c>
    </row>
    <row r="1676" spans="1:9">
      <c r="A1676" s="54" t="s">
        <v>1238</v>
      </c>
      <c r="B1676" s="262" t="s">
        <v>249</v>
      </c>
      <c r="C1676" s="262" t="s">
        <v>453</v>
      </c>
      <c r="D1676" s="262" t="s">
        <v>1468</v>
      </c>
      <c r="E1676" s="263" t="s">
        <v>1468</v>
      </c>
      <c r="F1676" s="375">
        <v>2143763.85</v>
      </c>
      <c r="G1676" s="375">
        <v>2143763.85</v>
      </c>
      <c r="H1676" s="368">
        <f t="shared" si="54"/>
        <v>100</v>
      </c>
      <c r="I1676" s="147" t="str">
        <f t="shared" si="53"/>
        <v>0707</v>
      </c>
    </row>
    <row r="1677" spans="1:9">
      <c r="A1677" s="54" t="s">
        <v>559</v>
      </c>
      <c r="B1677" s="262" t="s">
        <v>249</v>
      </c>
      <c r="C1677" s="262" t="s">
        <v>453</v>
      </c>
      <c r="D1677" s="262" t="s">
        <v>1124</v>
      </c>
      <c r="E1677" s="263" t="s">
        <v>1468</v>
      </c>
      <c r="F1677" s="375">
        <v>2143763.85</v>
      </c>
      <c r="G1677" s="375">
        <v>2143763.85</v>
      </c>
      <c r="H1677" s="368">
        <f t="shared" si="54"/>
        <v>100</v>
      </c>
      <c r="I1677" s="147" t="str">
        <f t="shared" si="53"/>
        <v>07070600000000</v>
      </c>
    </row>
    <row r="1678" spans="1:9" ht="25.5">
      <c r="A1678" s="54" t="s">
        <v>560</v>
      </c>
      <c r="B1678" s="262" t="s">
        <v>249</v>
      </c>
      <c r="C1678" s="262" t="s">
        <v>453</v>
      </c>
      <c r="D1678" s="262" t="s">
        <v>1125</v>
      </c>
      <c r="E1678" s="263" t="s">
        <v>1468</v>
      </c>
      <c r="F1678" s="375">
        <v>2143763.85</v>
      </c>
      <c r="G1678" s="375">
        <v>2143763.85</v>
      </c>
      <c r="H1678" s="368">
        <f t="shared" si="54"/>
        <v>100</v>
      </c>
      <c r="I1678" s="147" t="str">
        <f t="shared" si="53"/>
        <v>07070610000000</v>
      </c>
    </row>
    <row r="1679" spans="1:9" ht="76.5">
      <c r="A1679" s="54" t="s">
        <v>525</v>
      </c>
      <c r="B1679" s="262" t="s">
        <v>249</v>
      </c>
      <c r="C1679" s="262" t="s">
        <v>453</v>
      </c>
      <c r="D1679" s="262" t="s">
        <v>927</v>
      </c>
      <c r="E1679" s="263" t="s">
        <v>1468</v>
      </c>
      <c r="F1679" s="375">
        <v>2143763.85</v>
      </c>
      <c r="G1679" s="375">
        <v>2143763.85</v>
      </c>
      <c r="H1679" s="368">
        <f t="shared" si="54"/>
        <v>100</v>
      </c>
      <c r="I1679" s="147" t="str">
        <f t="shared" si="53"/>
        <v>070706100Ч0050</v>
      </c>
    </row>
    <row r="1680" spans="1:9">
      <c r="A1680" s="54" t="s">
        <v>1765</v>
      </c>
      <c r="B1680" s="262" t="s">
        <v>249</v>
      </c>
      <c r="C1680" s="262" t="s">
        <v>453</v>
      </c>
      <c r="D1680" s="262" t="s">
        <v>927</v>
      </c>
      <c r="E1680" s="263" t="s">
        <v>1766</v>
      </c>
      <c r="F1680" s="375">
        <v>2143763.85</v>
      </c>
      <c r="G1680" s="375">
        <v>2143763.85</v>
      </c>
      <c r="H1680" s="368">
        <f t="shared" si="54"/>
        <v>100</v>
      </c>
      <c r="I1680" s="147" t="str">
        <f t="shared" si="53"/>
        <v>070706100Ч0050500</v>
      </c>
    </row>
    <row r="1681" spans="1:9">
      <c r="A1681" s="54" t="s">
        <v>94</v>
      </c>
      <c r="B1681" s="262" t="s">
        <v>249</v>
      </c>
      <c r="C1681" s="262" t="s">
        <v>453</v>
      </c>
      <c r="D1681" s="262" t="s">
        <v>927</v>
      </c>
      <c r="E1681" s="263" t="s">
        <v>519</v>
      </c>
      <c r="F1681" s="375">
        <v>2143763.85</v>
      </c>
      <c r="G1681" s="375">
        <v>2143763.85</v>
      </c>
      <c r="H1681" s="368">
        <f t="shared" si="54"/>
        <v>100</v>
      </c>
      <c r="I1681" s="147" t="str">
        <f t="shared" si="53"/>
        <v>070706100Ч0050540</v>
      </c>
    </row>
    <row r="1682" spans="1:9">
      <c r="A1682" s="54" t="s">
        <v>291</v>
      </c>
      <c r="B1682" s="262" t="s">
        <v>249</v>
      </c>
      <c r="C1682" s="262" t="s">
        <v>1378</v>
      </c>
      <c r="D1682" s="262" t="s">
        <v>1468</v>
      </c>
      <c r="E1682" s="263" t="s">
        <v>1468</v>
      </c>
      <c r="F1682" s="375">
        <v>60600</v>
      </c>
      <c r="G1682" s="375">
        <v>60600</v>
      </c>
      <c r="H1682" s="368">
        <f t="shared" si="54"/>
        <v>100</v>
      </c>
      <c r="I1682" s="147" t="str">
        <f t="shared" si="53"/>
        <v>0900</v>
      </c>
    </row>
    <row r="1683" spans="1:9">
      <c r="A1683" s="54" t="s">
        <v>1379</v>
      </c>
      <c r="B1683" s="262" t="s">
        <v>249</v>
      </c>
      <c r="C1683" s="262" t="s">
        <v>461</v>
      </c>
      <c r="D1683" s="262" t="s">
        <v>1468</v>
      </c>
      <c r="E1683" s="263" t="s">
        <v>1468</v>
      </c>
      <c r="F1683" s="375">
        <v>60600</v>
      </c>
      <c r="G1683" s="375">
        <v>60600</v>
      </c>
      <c r="H1683" s="368">
        <f t="shared" si="54"/>
        <v>100</v>
      </c>
      <c r="I1683" s="147" t="str">
        <f t="shared" si="53"/>
        <v>0909</v>
      </c>
    </row>
    <row r="1684" spans="1:9" ht="25.5">
      <c r="A1684" s="54" t="s">
        <v>710</v>
      </c>
      <c r="B1684" s="262" t="s">
        <v>249</v>
      </c>
      <c r="C1684" s="262" t="s">
        <v>461</v>
      </c>
      <c r="D1684" s="262" t="s">
        <v>1151</v>
      </c>
      <c r="E1684" s="263" t="s">
        <v>1468</v>
      </c>
      <c r="F1684" s="375">
        <v>60600</v>
      </c>
      <c r="G1684" s="375">
        <v>60600</v>
      </c>
      <c r="H1684" s="368">
        <f t="shared" si="54"/>
        <v>100</v>
      </c>
      <c r="I1684" s="147" t="str">
        <f t="shared" si="53"/>
        <v>09099000000000</v>
      </c>
    </row>
    <row r="1685" spans="1:9" ht="25.5">
      <c r="A1685" s="54" t="s">
        <v>520</v>
      </c>
      <c r="B1685" s="262" t="s">
        <v>249</v>
      </c>
      <c r="C1685" s="262" t="s">
        <v>461</v>
      </c>
      <c r="D1685" s="262" t="s">
        <v>1155</v>
      </c>
      <c r="E1685" s="263" t="s">
        <v>1468</v>
      </c>
      <c r="F1685" s="375">
        <v>60600</v>
      </c>
      <c r="G1685" s="375">
        <v>60600</v>
      </c>
      <c r="H1685" s="368">
        <f t="shared" si="54"/>
        <v>100</v>
      </c>
      <c r="I1685" s="147" t="str">
        <f t="shared" si="53"/>
        <v>09099090000000</v>
      </c>
    </row>
    <row r="1686" spans="1:9" ht="51">
      <c r="A1686" s="54" t="s">
        <v>462</v>
      </c>
      <c r="B1686" s="262" t="s">
        <v>249</v>
      </c>
      <c r="C1686" s="262" t="s">
        <v>461</v>
      </c>
      <c r="D1686" s="262" t="s">
        <v>928</v>
      </c>
      <c r="E1686" s="263" t="s">
        <v>1468</v>
      </c>
      <c r="F1686" s="375">
        <v>60600</v>
      </c>
      <c r="G1686" s="375">
        <v>60600</v>
      </c>
      <c r="H1686" s="368">
        <f t="shared" si="54"/>
        <v>100</v>
      </c>
      <c r="I1686" s="147" t="str">
        <f t="shared" si="53"/>
        <v>09099090075550</v>
      </c>
    </row>
    <row r="1687" spans="1:9">
      <c r="A1687" s="54" t="s">
        <v>1765</v>
      </c>
      <c r="B1687" s="262" t="s">
        <v>249</v>
      </c>
      <c r="C1687" s="262" t="s">
        <v>461</v>
      </c>
      <c r="D1687" s="262" t="s">
        <v>928</v>
      </c>
      <c r="E1687" s="263" t="s">
        <v>1766</v>
      </c>
      <c r="F1687" s="375">
        <v>60600</v>
      </c>
      <c r="G1687" s="375">
        <v>60600</v>
      </c>
      <c r="H1687" s="368">
        <f t="shared" si="54"/>
        <v>100</v>
      </c>
      <c r="I1687" s="147" t="str">
        <f t="shared" si="53"/>
        <v>09099090075550500</v>
      </c>
    </row>
    <row r="1688" spans="1:9">
      <c r="A1688" s="54" t="s">
        <v>94</v>
      </c>
      <c r="B1688" s="262" t="s">
        <v>249</v>
      </c>
      <c r="C1688" s="262" t="s">
        <v>461</v>
      </c>
      <c r="D1688" s="262" t="s">
        <v>928</v>
      </c>
      <c r="E1688" s="263" t="s">
        <v>519</v>
      </c>
      <c r="F1688" s="375">
        <v>60600</v>
      </c>
      <c r="G1688" s="375">
        <v>60600</v>
      </c>
      <c r="H1688" s="368">
        <f t="shared" si="54"/>
        <v>100</v>
      </c>
      <c r="I1688" s="147" t="str">
        <f t="shared" si="53"/>
        <v>09099090075550540</v>
      </c>
    </row>
    <row r="1689" spans="1:9" ht="25.5">
      <c r="A1689" s="54" t="s">
        <v>294</v>
      </c>
      <c r="B1689" s="262" t="s">
        <v>249</v>
      </c>
      <c r="C1689" s="262" t="s">
        <v>1380</v>
      </c>
      <c r="D1689" s="262" t="s">
        <v>1468</v>
      </c>
      <c r="E1689" s="263" t="s">
        <v>1468</v>
      </c>
      <c r="F1689" s="375">
        <v>3112.33</v>
      </c>
      <c r="G1689" s="375">
        <v>3112.33</v>
      </c>
      <c r="H1689" s="368">
        <f t="shared" si="54"/>
        <v>100</v>
      </c>
      <c r="I1689" s="147" t="str">
        <f t="shared" si="53"/>
        <v>1300</v>
      </c>
    </row>
    <row r="1690" spans="1:9" ht="25.5">
      <c r="A1690" s="54" t="s">
        <v>295</v>
      </c>
      <c r="B1690" s="262" t="s">
        <v>249</v>
      </c>
      <c r="C1690" s="262" t="s">
        <v>526</v>
      </c>
      <c r="D1690" s="262" t="s">
        <v>1468</v>
      </c>
      <c r="E1690" s="263" t="s">
        <v>1468</v>
      </c>
      <c r="F1690" s="375">
        <v>3112.33</v>
      </c>
      <c r="G1690" s="375">
        <v>3112.33</v>
      </c>
      <c r="H1690" s="368">
        <f t="shared" si="54"/>
        <v>100</v>
      </c>
      <c r="I1690" s="147" t="str">
        <f t="shared" si="53"/>
        <v>1301</v>
      </c>
    </row>
    <row r="1691" spans="1:9" ht="25.5">
      <c r="A1691" s="54" t="s">
        <v>710</v>
      </c>
      <c r="B1691" s="262" t="s">
        <v>249</v>
      </c>
      <c r="C1691" s="262" t="s">
        <v>526</v>
      </c>
      <c r="D1691" s="262" t="s">
        <v>1151</v>
      </c>
      <c r="E1691" s="263" t="s">
        <v>1468</v>
      </c>
      <c r="F1691" s="375">
        <v>3112.33</v>
      </c>
      <c r="G1691" s="375">
        <v>3112.33</v>
      </c>
      <c r="H1691" s="368">
        <f t="shared" si="54"/>
        <v>100</v>
      </c>
      <c r="I1691" s="147" t="str">
        <f t="shared" si="53"/>
        <v>13019000000000</v>
      </c>
    </row>
    <row r="1692" spans="1:9" ht="25.5">
      <c r="A1692" s="54" t="s">
        <v>520</v>
      </c>
      <c r="B1692" s="262" t="s">
        <v>249</v>
      </c>
      <c r="C1692" s="262" t="s">
        <v>526</v>
      </c>
      <c r="D1692" s="262" t="s">
        <v>1155</v>
      </c>
      <c r="E1692" s="263" t="s">
        <v>1468</v>
      </c>
      <c r="F1692" s="375">
        <v>3112.33</v>
      </c>
      <c r="G1692" s="375">
        <v>3112.33</v>
      </c>
      <c r="H1692" s="368">
        <f t="shared" si="54"/>
        <v>100</v>
      </c>
      <c r="I1692" s="147" t="str">
        <f t="shared" si="53"/>
        <v>13019090000000</v>
      </c>
    </row>
    <row r="1693" spans="1:9" ht="25.5">
      <c r="A1693" s="54" t="s">
        <v>520</v>
      </c>
      <c r="B1693" s="262" t="s">
        <v>249</v>
      </c>
      <c r="C1693" s="262" t="s">
        <v>526</v>
      </c>
      <c r="D1693" s="262" t="s">
        <v>923</v>
      </c>
      <c r="E1693" s="263" t="s">
        <v>1468</v>
      </c>
      <c r="F1693" s="375">
        <v>3112.33</v>
      </c>
      <c r="G1693" s="375">
        <v>3112.33</v>
      </c>
      <c r="H1693" s="368">
        <f t="shared" si="54"/>
        <v>100</v>
      </c>
      <c r="I1693" s="147" t="str">
        <f t="shared" si="53"/>
        <v>13019090080000</v>
      </c>
    </row>
    <row r="1694" spans="1:9" ht="25.5">
      <c r="A1694" s="54" t="s">
        <v>1767</v>
      </c>
      <c r="B1694" s="262" t="s">
        <v>249</v>
      </c>
      <c r="C1694" s="262" t="s">
        <v>526</v>
      </c>
      <c r="D1694" s="262" t="s">
        <v>923</v>
      </c>
      <c r="E1694" s="263" t="s">
        <v>1768</v>
      </c>
      <c r="F1694" s="375">
        <v>3112.33</v>
      </c>
      <c r="G1694" s="375">
        <v>3112.33</v>
      </c>
      <c r="H1694" s="368">
        <f t="shared" si="54"/>
        <v>100</v>
      </c>
      <c r="I1694" s="147" t="str">
        <f t="shared" si="53"/>
        <v>13019090080000700</v>
      </c>
    </row>
    <row r="1695" spans="1:9">
      <c r="A1695" s="54" t="s">
        <v>527</v>
      </c>
      <c r="B1695" s="262" t="s">
        <v>249</v>
      </c>
      <c r="C1695" s="262" t="s">
        <v>526</v>
      </c>
      <c r="D1695" s="262" t="s">
        <v>923</v>
      </c>
      <c r="E1695" s="263" t="s">
        <v>528</v>
      </c>
      <c r="F1695" s="375">
        <v>3112.33</v>
      </c>
      <c r="G1695" s="375">
        <v>3112.33</v>
      </c>
      <c r="H1695" s="368">
        <f t="shared" si="54"/>
        <v>100</v>
      </c>
      <c r="I1695" s="147" t="str">
        <f t="shared" si="53"/>
        <v>13019090080000730</v>
      </c>
    </row>
    <row r="1696" spans="1:9" ht="38.25">
      <c r="A1696" s="54" t="s">
        <v>1381</v>
      </c>
      <c r="B1696" s="262" t="s">
        <v>249</v>
      </c>
      <c r="C1696" s="262" t="s">
        <v>1382</v>
      </c>
      <c r="D1696" s="262" t="s">
        <v>1468</v>
      </c>
      <c r="E1696" s="263" t="s">
        <v>1468</v>
      </c>
      <c r="F1696" s="375">
        <v>110697797</v>
      </c>
      <c r="G1696" s="375">
        <f>G1697+G1708</f>
        <v>110697797</v>
      </c>
      <c r="H1696" s="368">
        <f t="shared" si="54"/>
        <v>100</v>
      </c>
      <c r="I1696" s="147" t="str">
        <f t="shared" si="53"/>
        <v>1400</v>
      </c>
    </row>
    <row r="1697" spans="1:9" ht="38.25">
      <c r="A1697" s="54" t="s">
        <v>255</v>
      </c>
      <c r="B1697" s="262" t="s">
        <v>249</v>
      </c>
      <c r="C1697" s="262" t="s">
        <v>529</v>
      </c>
      <c r="D1697" s="262" t="s">
        <v>1468</v>
      </c>
      <c r="E1697" s="263" t="s">
        <v>1468</v>
      </c>
      <c r="F1697" s="375">
        <v>82239100</v>
      </c>
      <c r="G1697" s="375">
        <v>82239100</v>
      </c>
      <c r="H1697" s="368">
        <f t="shared" si="54"/>
        <v>100</v>
      </c>
      <c r="I1697" s="147" t="str">
        <f t="shared" si="53"/>
        <v>1401</v>
      </c>
    </row>
    <row r="1698" spans="1:9" ht="25.5">
      <c r="A1698" s="54" t="s">
        <v>1947</v>
      </c>
      <c r="B1698" s="262" t="s">
        <v>249</v>
      </c>
      <c r="C1698" s="262" t="s">
        <v>529</v>
      </c>
      <c r="D1698" s="262" t="s">
        <v>1139</v>
      </c>
      <c r="E1698" s="263" t="s">
        <v>1468</v>
      </c>
      <c r="F1698" s="375">
        <v>82239100</v>
      </c>
      <c r="G1698" s="375">
        <v>82239100</v>
      </c>
      <c r="H1698" s="368">
        <f t="shared" si="54"/>
        <v>100</v>
      </c>
      <c r="I1698" s="147" t="str">
        <f t="shared" si="53"/>
        <v>14011100000000</v>
      </c>
    </row>
    <row r="1699" spans="1:9" ht="63.75">
      <c r="A1699" s="54" t="s">
        <v>1948</v>
      </c>
      <c r="B1699" s="262" t="s">
        <v>249</v>
      </c>
      <c r="C1699" s="262" t="s">
        <v>529</v>
      </c>
      <c r="D1699" s="262" t="s">
        <v>1140</v>
      </c>
      <c r="E1699" s="263" t="s">
        <v>1468</v>
      </c>
      <c r="F1699" s="375">
        <v>82239100</v>
      </c>
      <c r="G1699" s="375">
        <v>82239100</v>
      </c>
      <c r="H1699" s="368">
        <f t="shared" si="54"/>
        <v>100</v>
      </c>
      <c r="I1699" s="147" t="str">
        <f t="shared" si="53"/>
        <v>14011110000000</v>
      </c>
    </row>
    <row r="1700" spans="1:9" ht="153">
      <c r="A1700" s="54" t="s">
        <v>1214</v>
      </c>
      <c r="B1700" s="262" t="s">
        <v>249</v>
      </c>
      <c r="C1700" s="262" t="s">
        <v>529</v>
      </c>
      <c r="D1700" s="262" t="s">
        <v>929</v>
      </c>
      <c r="E1700" s="263" t="s">
        <v>1468</v>
      </c>
      <c r="F1700" s="375">
        <v>41401000</v>
      </c>
      <c r="G1700" s="375">
        <v>41401000</v>
      </c>
      <c r="H1700" s="368">
        <f t="shared" si="54"/>
        <v>100</v>
      </c>
      <c r="I1700" s="147" t="str">
        <f t="shared" si="53"/>
        <v>14011110076010</v>
      </c>
    </row>
    <row r="1701" spans="1:9">
      <c r="A1701" s="54" t="s">
        <v>1765</v>
      </c>
      <c r="B1701" s="262" t="s">
        <v>249</v>
      </c>
      <c r="C1701" s="262" t="s">
        <v>529</v>
      </c>
      <c r="D1701" s="262" t="s">
        <v>929</v>
      </c>
      <c r="E1701" s="263" t="s">
        <v>1766</v>
      </c>
      <c r="F1701" s="375">
        <v>41401000</v>
      </c>
      <c r="G1701" s="375">
        <v>41401000</v>
      </c>
      <c r="H1701" s="368">
        <f t="shared" si="54"/>
        <v>100</v>
      </c>
      <c r="I1701" s="147" t="str">
        <f t="shared" si="53"/>
        <v>14011110076010500</v>
      </c>
    </row>
    <row r="1702" spans="1:9">
      <c r="A1702" s="54" t="s">
        <v>1514</v>
      </c>
      <c r="B1702" s="262" t="s">
        <v>249</v>
      </c>
      <c r="C1702" s="262" t="s">
        <v>529</v>
      </c>
      <c r="D1702" s="262" t="s">
        <v>929</v>
      </c>
      <c r="E1702" s="263" t="s">
        <v>1515</v>
      </c>
      <c r="F1702" s="375">
        <v>41401000</v>
      </c>
      <c r="G1702" s="375">
        <v>41401000</v>
      </c>
      <c r="H1702" s="368">
        <f t="shared" si="54"/>
        <v>100</v>
      </c>
      <c r="I1702" s="147" t="str">
        <f t="shared" si="53"/>
        <v>14011110076010510</v>
      </c>
    </row>
    <row r="1703" spans="1:9" ht="25.5">
      <c r="A1703" s="54" t="s">
        <v>645</v>
      </c>
      <c r="B1703" s="262" t="s">
        <v>249</v>
      </c>
      <c r="C1703" s="262" t="s">
        <v>529</v>
      </c>
      <c r="D1703" s="262" t="s">
        <v>929</v>
      </c>
      <c r="E1703" s="263" t="s">
        <v>530</v>
      </c>
      <c r="F1703" s="375">
        <v>41401000</v>
      </c>
      <c r="G1703" s="375">
        <v>41401000</v>
      </c>
      <c r="H1703" s="368">
        <f t="shared" si="54"/>
        <v>100</v>
      </c>
      <c r="I1703" s="147" t="str">
        <f t="shared" si="53"/>
        <v>14011110076010511</v>
      </c>
    </row>
    <row r="1704" spans="1:9" ht="114.75">
      <c r="A1704" s="54" t="s">
        <v>634</v>
      </c>
      <c r="B1704" s="262" t="s">
        <v>249</v>
      </c>
      <c r="C1704" s="262" t="s">
        <v>529</v>
      </c>
      <c r="D1704" s="262" t="s">
        <v>930</v>
      </c>
      <c r="E1704" s="263" t="s">
        <v>1468</v>
      </c>
      <c r="F1704" s="375">
        <v>40838100</v>
      </c>
      <c r="G1704" s="375">
        <v>40838100</v>
      </c>
      <c r="H1704" s="368">
        <f t="shared" si="54"/>
        <v>100</v>
      </c>
      <c r="I1704" s="147" t="str">
        <f t="shared" si="53"/>
        <v>14011110080130</v>
      </c>
    </row>
    <row r="1705" spans="1:9">
      <c r="A1705" s="54" t="s">
        <v>1765</v>
      </c>
      <c r="B1705" s="262" t="s">
        <v>249</v>
      </c>
      <c r="C1705" s="262" t="s">
        <v>529</v>
      </c>
      <c r="D1705" s="262" t="s">
        <v>930</v>
      </c>
      <c r="E1705" s="263" t="s">
        <v>1766</v>
      </c>
      <c r="F1705" s="375">
        <v>40838100</v>
      </c>
      <c r="G1705" s="375">
        <v>40838100</v>
      </c>
      <c r="H1705" s="368">
        <f t="shared" si="54"/>
        <v>100</v>
      </c>
      <c r="I1705" s="147" t="str">
        <f t="shared" ref="I1705:I1722" si="55">CONCATENATE(C1705,D1705,E1705)</f>
        <v>14011110080130500</v>
      </c>
    </row>
    <row r="1706" spans="1:9">
      <c r="A1706" s="54" t="s">
        <v>1514</v>
      </c>
      <c r="B1706" s="262" t="s">
        <v>249</v>
      </c>
      <c r="C1706" s="262" t="s">
        <v>529</v>
      </c>
      <c r="D1706" s="262" t="s">
        <v>930</v>
      </c>
      <c r="E1706" s="263" t="s">
        <v>1515</v>
      </c>
      <c r="F1706" s="375">
        <v>40838100</v>
      </c>
      <c r="G1706" s="375">
        <v>40838100</v>
      </c>
      <c r="H1706" s="368">
        <f t="shared" si="54"/>
        <v>100</v>
      </c>
      <c r="I1706" s="147" t="str">
        <f t="shared" si="55"/>
        <v>14011110080130510</v>
      </c>
    </row>
    <row r="1707" spans="1:9" ht="25.5">
      <c r="A1707" s="54" t="s">
        <v>645</v>
      </c>
      <c r="B1707" s="262" t="s">
        <v>249</v>
      </c>
      <c r="C1707" s="262" t="s">
        <v>529</v>
      </c>
      <c r="D1707" s="262" t="s">
        <v>930</v>
      </c>
      <c r="E1707" s="263" t="s">
        <v>530</v>
      </c>
      <c r="F1707" s="375">
        <v>40838100</v>
      </c>
      <c r="G1707" s="375">
        <v>40838100</v>
      </c>
      <c r="H1707" s="368">
        <f t="shared" si="54"/>
        <v>100</v>
      </c>
      <c r="I1707" s="147" t="str">
        <f t="shared" si="55"/>
        <v>14011110080130511</v>
      </c>
    </row>
    <row r="1708" spans="1:9" ht="25.5">
      <c r="A1708" s="54" t="s">
        <v>296</v>
      </c>
      <c r="B1708" s="262" t="s">
        <v>249</v>
      </c>
      <c r="C1708" s="262" t="s">
        <v>531</v>
      </c>
      <c r="D1708" s="262" t="s">
        <v>1468</v>
      </c>
      <c r="E1708" s="263" t="s">
        <v>1468</v>
      </c>
      <c r="F1708" s="375">
        <v>28458697</v>
      </c>
      <c r="G1708" s="375">
        <v>28458697</v>
      </c>
      <c r="H1708" s="368">
        <f t="shared" si="54"/>
        <v>100</v>
      </c>
      <c r="I1708" s="147" t="str">
        <f t="shared" si="55"/>
        <v>1403</v>
      </c>
    </row>
    <row r="1709" spans="1:9" ht="25.5">
      <c r="A1709" s="54" t="s">
        <v>1947</v>
      </c>
      <c r="B1709" s="262" t="s">
        <v>249</v>
      </c>
      <c r="C1709" s="262" t="s">
        <v>531</v>
      </c>
      <c r="D1709" s="262" t="s">
        <v>1139</v>
      </c>
      <c r="E1709" s="263" t="s">
        <v>1468</v>
      </c>
      <c r="F1709" s="375">
        <v>28458697</v>
      </c>
      <c r="G1709" s="375">
        <v>28458697</v>
      </c>
      <c r="H1709" s="368">
        <f t="shared" si="54"/>
        <v>100</v>
      </c>
      <c r="I1709" s="147" t="str">
        <f t="shared" si="55"/>
        <v>14031100000000</v>
      </c>
    </row>
    <row r="1710" spans="1:9" ht="63.75">
      <c r="A1710" s="54" t="s">
        <v>1948</v>
      </c>
      <c r="B1710" s="262" t="s">
        <v>249</v>
      </c>
      <c r="C1710" s="262" t="s">
        <v>531</v>
      </c>
      <c r="D1710" s="262" t="s">
        <v>1140</v>
      </c>
      <c r="E1710" s="263" t="s">
        <v>1468</v>
      </c>
      <c r="F1710" s="375">
        <v>28458697</v>
      </c>
      <c r="G1710" s="375">
        <v>28458697</v>
      </c>
      <c r="H1710" s="368">
        <f t="shared" si="54"/>
        <v>100</v>
      </c>
      <c r="I1710" s="147" t="str">
        <f t="shared" si="55"/>
        <v>14031110000000</v>
      </c>
    </row>
    <row r="1711" spans="1:9" ht="165.75">
      <c r="A1711" s="54" t="s">
        <v>1055</v>
      </c>
      <c r="B1711" s="262" t="s">
        <v>249</v>
      </c>
      <c r="C1711" s="262" t="s">
        <v>531</v>
      </c>
      <c r="D1711" s="262" t="s">
        <v>1054</v>
      </c>
      <c r="E1711" s="263" t="s">
        <v>1468</v>
      </c>
      <c r="F1711" s="375">
        <v>3845000</v>
      </c>
      <c r="G1711" s="375">
        <v>3845000</v>
      </c>
      <c r="H1711" s="368">
        <f t="shared" si="54"/>
        <v>100</v>
      </c>
      <c r="I1711" s="147" t="str">
        <f t="shared" si="55"/>
        <v>14031110010210</v>
      </c>
    </row>
    <row r="1712" spans="1:9">
      <c r="A1712" s="54" t="s">
        <v>1765</v>
      </c>
      <c r="B1712" s="262" t="s">
        <v>249</v>
      </c>
      <c r="C1712" s="262" t="s">
        <v>531</v>
      </c>
      <c r="D1712" s="262" t="s">
        <v>1054</v>
      </c>
      <c r="E1712" s="263" t="s">
        <v>1766</v>
      </c>
      <c r="F1712" s="375">
        <v>3845000</v>
      </c>
      <c r="G1712" s="375">
        <v>3845000</v>
      </c>
      <c r="H1712" s="368">
        <f t="shared" si="54"/>
        <v>100</v>
      </c>
      <c r="I1712" s="147" t="str">
        <f t="shared" si="55"/>
        <v>14031110010210500</v>
      </c>
    </row>
    <row r="1713" spans="1:9">
      <c r="A1713" s="54" t="s">
        <v>94</v>
      </c>
      <c r="B1713" s="262" t="s">
        <v>249</v>
      </c>
      <c r="C1713" s="262" t="s">
        <v>531</v>
      </c>
      <c r="D1713" s="262" t="s">
        <v>1054</v>
      </c>
      <c r="E1713" s="263" t="s">
        <v>519</v>
      </c>
      <c r="F1713" s="375">
        <v>3845000</v>
      </c>
      <c r="G1713" s="375">
        <v>3845000</v>
      </c>
      <c r="H1713" s="368">
        <f t="shared" si="54"/>
        <v>100</v>
      </c>
      <c r="I1713" s="147" t="str">
        <f t="shared" si="55"/>
        <v>14031110010210540</v>
      </c>
    </row>
    <row r="1714" spans="1:9" ht="204">
      <c r="A1714" s="54" t="s">
        <v>2059</v>
      </c>
      <c r="B1714" s="262" t="s">
        <v>249</v>
      </c>
      <c r="C1714" s="262" t="s">
        <v>531</v>
      </c>
      <c r="D1714" s="262" t="s">
        <v>2060</v>
      </c>
      <c r="E1714" s="263" t="s">
        <v>1468</v>
      </c>
      <c r="F1714" s="375">
        <v>222000</v>
      </c>
      <c r="G1714" s="375">
        <v>222000</v>
      </c>
      <c r="H1714" s="368">
        <f t="shared" si="54"/>
        <v>100</v>
      </c>
      <c r="I1714" s="147" t="str">
        <f t="shared" si="55"/>
        <v>14031110010230</v>
      </c>
    </row>
    <row r="1715" spans="1:9">
      <c r="A1715" s="54" t="s">
        <v>1765</v>
      </c>
      <c r="B1715" s="262" t="s">
        <v>249</v>
      </c>
      <c r="C1715" s="262" t="s">
        <v>531</v>
      </c>
      <c r="D1715" s="262" t="s">
        <v>2060</v>
      </c>
      <c r="E1715" s="263" t="s">
        <v>1766</v>
      </c>
      <c r="F1715" s="375">
        <v>222000</v>
      </c>
      <c r="G1715" s="375">
        <v>222000</v>
      </c>
      <c r="H1715" s="368">
        <f t="shared" si="54"/>
        <v>100</v>
      </c>
      <c r="I1715" s="147" t="str">
        <f t="shared" si="55"/>
        <v>14031110010230500</v>
      </c>
    </row>
    <row r="1716" spans="1:9">
      <c r="A1716" s="54" t="s">
        <v>94</v>
      </c>
      <c r="B1716" s="262" t="s">
        <v>249</v>
      </c>
      <c r="C1716" s="262" t="s">
        <v>531</v>
      </c>
      <c r="D1716" s="262" t="s">
        <v>2060</v>
      </c>
      <c r="E1716" s="263" t="s">
        <v>519</v>
      </c>
      <c r="F1716" s="375">
        <v>222000</v>
      </c>
      <c r="G1716" s="375">
        <v>222000</v>
      </c>
      <c r="H1716" s="368">
        <f t="shared" si="54"/>
        <v>100</v>
      </c>
      <c r="I1716" s="147" t="str">
        <f t="shared" si="55"/>
        <v>14031110010230540</v>
      </c>
    </row>
    <row r="1717" spans="1:9" ht="255">
      <c r="A1717" s="54" t="s">
        <v>2053</v>
      </c>
      <c r="B1717" s="262" t="s">
        <v>249</v>
      </c>
      <c r="C1717" s="262" t="s">
        <v>531</v>
      </c>
      <c r="D1717" s="262" t="s">
        <v>2054</v>
      </c>
      <c r="E1717" s="263" t="s">
        <v>1468</v>
      </c>
      <c r="F1717" s="375">
        <v>604100</v>
      </c>
      <c r="G1717" s="375">
        <v>604100</v>
      </c>
      <c r="H1717" s="368">
        <f t="shared" si="54"/>
        <v>100</v>
      </c>
      <c r="I1717" s="147" t="str">
        <f t="shared" si="55"/>
        <v>14031110010380</v>
      </c>
    </row>
    <row r="1718" spans="1:9">
      <c r="A1718" s="54" t="s">
        <v>1765</v>
      </c>
      <c r="B1718" s="262" t="s">
        <v>249</v>
      </c>
      <c r="C1718" s="262" t="s">
        <v>531</v>
      </c>
      <c r="D1718" s="262" t="s">
        <v>2054</v>
      </c>
      <c r="E1718" s="263" t="s">
        <v>1766</v>
      </c>
      <c r="F1718" s="375">
        <v>604100</v>
      </c>
      <c r="G1718" s="375">
        <v>604100</v>
      </c>
      <c r="H1718" s="368">
        <f t="shared" si="54"/>
        <v>100</v>
      </c>
      <c r="I1718" s="147" t="str">
        <f t="shared" si="55"/>
        <v>14031110010380500</v>
      </c>
    </row>
    <row r="1719" spans="1:9">
      <c r="A1719" s="54" t="s">
        <v>94</v>
      </c>
      <c r="B1719" s="262" t="s">
        <v>249</v>
      </c>
      <c r="C1719" s="262" t="s">
        <v>531</v>
      </c>
      <c r="D1719" s="262" t="s">
        <v>2054</v>
      </c>
      <c r="E1719" s="263" t="s">
        <v>519</v>
      </c>
      <c r="F1719" s="375">
        <v>604100</v>
      </c>
      <c r="G1719" s="375">
        <v>604100</v>
      </c>
      <c r="H1719" s="368">
        <f t="shared" si="54"/>
        <v>100</v>
      </c>
      <c r="I1719" s="147" t="str">
        <f t="shared" si="55"/>
        <v>14031110010380540</v>
      </c>
    </row>
    <row r="1720" spans="1:9" ht="114.75">
      <c r="A1720" s="54" t="s">
        <v>635</v>
      </c>
      <c r="B1720" s="262" t="s">
        <v>249</v>
      </c>
      <c r="C1720" s="262" t="s">
        <v>531</v>
      </c>
      <c r="D1720" s="262" t="s">
        <v>931</v>
      </c>
      <c r="E1720" s="263" t="s">
        <v>1468</v>
      </c>
      <c r="F1720" s="375">
        <v>23787597</v>
      </c>
      <c r="G1720" s="375">
        <v>23787597</v>
      </c>
      <c r="H1720" s="368">
        <f t="shared" si="54"/>
        <v>100</v>
      </c>
      <c r="I1720" s="147" t="str">
        <f t="shared" si="55"/>
        <v>14031110080120</v>
      </c>
    </row>
    <row r="1721" spans="1:9">
      <c r="A1721" s="54" t="s">
        <v>1765</v>
      </c>
      <c r="B1721" s="262" t="s">
        <v>249</v>
      </c>
      <c r="C1721" s="262" t="s">
        <v>531</v>
      </c>
      <c r="D1721" s="262" t="s">
        <v>931</v>
      </c>
      <c r="E1721" s="263" t="s">
        <v>1766</v>
      </c>
      <c r="F1721" s="375">
        <v>23787597</v>
      </c>
      <c r="G1721" s="375">
        <v>23787597</v>
      </c>
      <c r="H1721" s="368">
        <f t="shared" si="54"/>
        <v>100</v>
      </c>
      <c r="I1721" s="147" t="str">
        <f t="shared" si="55"/>
        <v>14031110080120500</v>
      </c>
    </row>
    <row r="1722" spans="1:9">
      <c r="A1722" s="54" t="s">
        <v>94</v>
      </c>
      <c r="B1722" s="262" t="s">
        <v>249</v>
      </c>
      <c r="C1722" s="262" t="s">
        <v>531</v>
      </c>
      <c r="D1722" s="262" t="s">
        <v>931</v>
      </c>
      <c r="E1722" s="263" t="s">
        <v>519</v>
      </c>
      <c r="F1722" s="375">
        <v>23787597</v>
      </c>
      <c r="G1722" s="375">
        <v>23787597</v>
      </c>
      <c r="H1722" s="368">
        <f t="shared" si="54"/>
        <v>100</v>
      </c>
      <c r="I1722" s="147" t="str">
        <f t="shared" si="55"/>
        <v>14031110080120540</v>
      </c>
    </row>
  </sheetData>
  <autoFilter ref="A6:J1722">
    <filterColumn colId="0"/>
    <filterColumn colId="1"/>
    <filterColumn colId="2"/>
    <filterColumn colId="3"/>
    <filterColumn colId="4"/>
    <filterColumn colId="5"/>
    <filterColumn colId="6"/>
    <filterColumn colId="7"/>
  </autoFilter>
  <mergeCells count="8">
    <mergeCell ref="H5:H6"/>
    <mergeCell ref="A2:H2"/>
    <mergeCell ref="A3:G3"/>
    <mergeCell ref="G5:G6"/>
    <mergeCell ref="A1:F1"/>
    <mergeCell ref="A5:A6"/>
    <mergeCell ref="B5:E5"/>
    <mergeCell ref="F5:F6"/>
  </mergeCells>
  <phoneticPr fontId="3" type="noConversion"/>
  <pageMargins left="0.98425196850393704" right="0.23622047244094491" top="0.19685039370078741" bottom="0.19685039370078741" header="0.15748031496062992" footer="0.15748031496062992"/>
  <pageSetup paperSize="9" scale="70" fitToHeight="0" orientation="portrait" r:id="rId1"/>
  <headerFooter alignWithMargins="0"/>
</worksheet>
</file>

<file path=xl/worksheets/sheet7.xml><?xml version="1.0" encoding="utf-8"?>
<worksheet xmlns="http://schemas.openxmlformats.org/spreadsheetml/2006/main" xmlns:r="http://schemas.openxmlformats.org/officeDocument/2006/relationships">
  <sheetPr>
    <tabColor rgb="FFFF0000"/>
  </sheetPr>
  <dimension ref="A1:I1090"/>
  <sheetViews>
    <sheetView topLeftCell="A2" workbookViewId="0">
      <selection activeCell="A2" sqref="A1:XFD2"/>
    </sheetView>
  </sheetViews>
  <sheetFormatPr defaultRowHeight="12.75"/>
  <cols>
    <col min="1" max="1" width="38.85546875" style="150" customWidth="1"/>
    <col min="2" max="2" width="7.28515625" style="150" customWidth="1"/>
    <col min="3" max="3" width="8" style="150" customWidth="1"/>
    <col min="4" max="4" width="11.7109375" style="150" customWidth="1"/>
    <col min="5" max="5" width="9.42578125" style="150" customWidth="1"/>
    <col min="6" max="7" width="19.7109375" style="4" customWidth="1"/>
    <col min="8" max="8" width="15.5703125" style="4" customWidth="1"/>
    <col min="9" max="9" width="13.5703125" style="4" bestFit="1" customWidth="1"/>
    <col min="10" max="16384" width="9.140625" style="4"/>
  </cols>
  <sheetData>
    <row r="1" spans="1:9" ht="45.75" customHeight="1">
      <c r="A1" s="442" t="str">
        <f>"Приложение №"&amp;Н2вед1&amp;"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2"/>
      <c r="C1" s="442"/>
      <c r="D1" s="442"/>
      <c r="E1" s="442"/>
      <c r="F1" s="442"/>
      <c r="G1" s="442"/>
    </row>
    <row r="2" spans="1:9" ht="53.25" customHeight="1">
      <c r="A2" s="442" t="str">
        <f>"Приложение "&amp;Н1вед1&amp;" к решению
Богучанского районного Совета депутатов
от "&amp;Р1дата&amp;" года №"&amp;Р1номер</f>
        <v>Приложение  к решению
Богучанского районного Совета депутатов
от 2020  года №</v>
      </c>
      <c r="B2" s="442"/>
      <c r="C2" s="442"/>
      <c r="D2" s="442"/>
      <c r="E2" s="442"/>
      <c r="F2" s="442"/>
      <c r="G2" s="442"/>
    </row>
    <row r="3" spans="1:9" ht="58.5" customHeight="1">
      <c r="A3" s="441" t="str">
        <f>"Ведомственная структура расходов районного бюджета на плановый период "&amp;ПлПер&amp;" годов"</f>
        <v>Ведомственная структура расходов районного бюджета на плановый период  годов</v>
      </c>
      <c r="B3" s="441"/>
      <c r="C3" s="441"/>
      <c r="D3" s="441"/>
      <c r="E3" s="441"/>
      <c r="F3" s="441"/>
      <c r="G3" s="441"/>
    </row>
    <row r="4" spans="1:9">
      <c r="G4" s="10" t="s">
        <v>95</v>
      </c>
    </row>
    <row r="5" spans="1:9">
      <c r="A5" s="476" t="s">
        <v>1773</v>
      </c>
      <c r="B5" s="478" t="s">
        <v>212</v>
      </c>
      <c r="C5" s="479"/>
      <c r="D5" s="479"/>
      <c r="E5" s="480"/>
      <c r="F5" s="481" t="s">
        <v>1488</v>
      </c>
      <c r="G5" s="481" t="s">
        <v>1633</v>
      </c>
    </row>
    <row r="6" spans="1:9" ht="41.25" customHeight="1">
      <c r="A6" s="477"/>
      <c r="B6" s="352" t="s">
        <v>1770</v>
      </c>
      <c r="C6" s="352" t="s">
        <v>1769</v>
      </c>
      <c r="D6" s="352" t="s">
        <v>1771</v>
      </c>
      <c r="E6" s="352" t="s">
        <v>1772</v>
      </c>
      <c r="F6" s="481"/>
      <c r="G6" s="481"/>
    </row>
    <row r="7" spans="1:9" s="13" customFormat="1">
      <c r="A7" s="315" t="s">
        <v>96</v>
      </c>
      <c r="B7" s="316" t="s">
        <v>1468</v>
      </c>
      <c r="C7" s="316" t="s">
        <v>1468</v>
      </c>
      <c r="D7" s="316" t="s">
        <v>1468</v>
      </c>
      <c r="E7" s="317" t="s">
        <v>1468</v>
      </c>
      <c r="F7" s="215">
        <f>1903103151+22470000</f>
        <v>1925573151</v>
      </c>
      <c r="G7" s="215">
        <f>1882974463+45430000</f>
        <v>1928404463</v>
      </c>
      <c r="I7" s="98"/>
    </row>
    <row r="8" spans="1:9">
      <c r="A8" s="216" t="s">
        <v>408</v>
      </c>
      <c r="B8" s="211" t="s">
        <v>213</v>
      </c>
      <c r="C8" s="211" t="s">
        <v>1468</v>
      </c>
      <c r="D8" s="211" t="s">
        <v>1468</v>
      </c>
      <c r="E8" s="211" t="s">
        <v>1468</v>
      </c>
      <c r="F8" s="213">
        <v>4652622</v>
      </c>
      <c r="G8" s="213">
        <v>4652622</v>
      </c>
      <c r="H8" s="99"/>
    </row>
    <row r="9" spans="1:9">
      <c r="A9" s="216" t="s">
        <v>278</v>
      </c>
      <c r="B9" s="211" t="s">
        <v>213</v>
      </c>
      <c r="C9" s="211" t="s">
        <v>1357</v>
      </c>
      <c r="D9" s="211" t="s">
        <v>1468</v>
      </c>
      <c r="E9" s="211" t="s">
        <v>1468</v>
      </c>
      <c r="F9" s="213">
        <v>4652622</v>
      </c>
      <c r="G9" s="213">
        <v>4652622</v>
      </c>
      <c r="H9" s="147" t="str">
        <f>CONCATENATE(C9,,D9,E9)</f>
        <v>0100</v>
      </c>
    </row>
    <row r="10" spans="1:9" ht="63.75">
      <c r="A10" s="216" t="s">
        <v>93</v>
      </c>
      <c r="B10" s="211" t="s">
        <v>213</v>
      </c>
      <c r="C10" s="211" t="s">
        <v>414</v>
      </c>
      <c r="D10" s="211" t="s">
        <v>1468</v>
      </c>
      <c r="E10" s="211" t="s">
        <v>1468</v>
      </c>
      <c r="F10" s="213">
        <v>4652622</v>
      </c>
      <c r="G10" s="213">
        <v>4652622</v>
      </c>
      <c r="H10" s="147" t="str">
        <f t="shared" ref="H10:H73" si="0">CONCATENATE(C10,,D10,E10)</f>
        <v>0103</v>
      </c>
    </row>
    <row r="11" spans="1:9" ht="38.25">
      <c r="A11" s="216" t="s">
        <v>708</v>
      </c>
      <c r="B11" s="211" t="s">
        <v>213</v>
      </c>
      <c r="C11" s="211" t="s">
        <v>414</v>
      </c>
      <c r="D11" s="211" t="s">
        <v>1146</v>
      </c>
      <c r="E11" s="211" t="s">
        <v>1468</v>
      </c>
      <c r="F11" s="213">
        <v>4652622</v>
      </c>
      <c r="G11" s="213">
        <v>4652622</v>
      </c>
      <c r="H11" s="147" t="str">
        <f t="shared" si="0"/>
        <v>01038000000000</v>
      </c>
    </row>
    <row r="12" spans="1:9" ht="51">
      <c r="A12" s="216" t="s">
        <v>709</v>
      </c>
      <c r="B12" s="211" t="s">
        <v>213</v>
      </c>
      <c r="C12" s="211" t="s">
        <v>414</v>
      </c>
      <c r="D12" s="211" t="s">
        <v>1148</v>
      </c>
      <c r="E12" s="211" t="s">
        <v>1468</v>
      </c>
      <c r="F12" s="213">
        <v>1948820</v>
      </c>
      <c r="G12" s="213">
        <v>1948820</v>
      </c>
      <c r="H12" s="147" t="str">
        <f t="shared" si="0"/>
        <v>01038020000000</v>
      </c>
    </row>
    <row r="13" spans="1:9" ht="51">
      <c r="A13" s="216" t="s">
        <v>415</v>
      </c>
      <c r="B13" s="211" t="s">
        <v>213</v>
      </c>
      <c r="C13" s="211" t="s">
        <v>414</v>
      </c>
      <c r="D13" s="211" t="s">
        <v>766</v>
      </c>
      <c r="E13" s="211" t="s">
        <v>1468</v>
      </c>
      <c r="F13" s="213">
        <v>1948820</v>
      </c>
      <c r="G13" s="213">
        <v>1948820</v>
      </c>
      <c r="H13" s="147" t="str">
        <f t="shared" si="0"/>
        <v>01038020060000</v>
      </c>
    </row>
    <row r="14" spans="1:9" ht="76.5">
      <c r="A14" s="216" t="s">
        <v>1754</v>
      </c>
      <c r="B14" s="211" t="s">
        <v>213</v>
      </c>
      <c r="C14" s="211" t="s">
        <v>414</v>
      </c>
      <c r="D14" s="211" t="s">
        <v>766</v>
      </c>
      <c r="E14" s="211" t="s">
        <v>322</v>
      </c>
      <c r="F14" s="213">
        <v>1948820</v>
      </c>
      <c r="G14" s="213">
        <v>1948820</v>
      </c>
      <c r="H14" s="147" t="str">
        <f t="shared" si="0"/>
        <v>01038020060000100</v>
      </c>
    </row>
    <row r="15" spans="1:9" ht="38.25">
      <c r="A15" s="216" t="s">
        <v>1509</v>
      </c>
      <c r="B15" s="211" t="s">
        <v>213</v>
      </c>
      <c r="C15" s="211" t="s">
        <v>414</v>
      </c>
      <c r="D15" s="211" t="s">
        <v>766</v>
      </c>
      <c r="E15" s="211" t="s">
        <v>37</v>
      </c>
      <c r="F15" s="213">
        <v>1948820</v>
      </c>
      <c r="G15" s="213">
        <v>1948820</v>
      </c>
      <c r="H15" s="147" t="str">
        <f t="shared" si="0"/>
        <v>01038020060000120</v>
      </c>
    </row>
    <row r="16" spans="1:9" ht="25.5">
      <c r="A16" s="216" t="s">
        <v>1081</v>
      </c>
      <c r="B16" s="211" t="s">
        <v>213</v>
      </c>
      <c r="C16" s="211" t="s">
        <v>414</v>
      </c>
      <c r="D16" s="211" t="s">
        <v>766</v>
      </c>
      <c r="E16" s="211" t="s">
        <v>411</v>
      </c>
      <c r="F16" s="213">
        <v>1496790</v>
      </c>
      <c r="G16" s="213">
        <v>1496790</v>
      </c>
      <c r="H16" s="147" t="str">
        <f t="shared" si="0"/>
        <v>01038020060000121</v>
      </c>
    </row>
    <row r="17" spans="1:8" ht="63.75">
      <c r="A17" s="216" t="s">
        <v>1195</v>
      </c>
      <c r="B17" s="211" t="s">
        <v>213</v>
      </c>
      <c r="C17" s="211" t="s">
        <v>414</v>
      </c>
      <c r="D17" s="211" t="s">
        <v>766</v>
      </c>
      <c r="E17" s="211" t="s">
        <v>1196</v>
      </c>
      <c r="F17" s="213">
        <v>452030</v>
      </c>
      <c r="G17" s="213">
        <v>452030</v>
      </c>
      <c r="H17" s="147" t="str">
        <f t="shared" si="0"/>
        <v>01038020060000129</v>
      </c>
    </row>
    <row r="18" spans="1:8" ht="63.75">
      <c r="A18" s="216" t="s">
        <v>417</v>
      </c>
      <c r="B18" s="211" t="s">
        <v>213</v>
      </c>
      <c r="C18" s="211" t="s">
        <v>414</v>
      </c>
      <c r="D18" s="211" t="s">
        <v>1149</v>
      </c>
      <c r="E18" s="211" t="s">
        <v>1468</v>
      </c>
      <c r="F18" s="213">
        <v>2703802</v>
      </c>
      <c r="G18" s="213">
        <v>2703802</v>
      </c>
      <c r="H18" s="147" t="str">
        <f t="shared" si="0"/>
        <v>01038030000000</v>
      </c>
    </row>
    <row r="19" spans="1:8" ht="63.75">
      <c r="A19" s="216" t="s">
        <v>417</v>
      </c>
      <c r="B19" s="211" t="s">
        <v>213</v>
      </c>
      <c r="C19" s="211" t="s">
        <v>414</v>
      </c>
      <c r="D19" s="211" t="s">
        <v>768</v>
      </c>
      <c r="E19" s="211" t="s">
        <v>1468</v>
      </c>
      <c r="F19" s="213">
        <v>2703802</v>
      </c>
      <c r="G19" s="213">
        <v>2703802</v>
      </c>
      <c r="H19" s="147" t="str">
        <f t="shared" si="0"/>
        <v>01038030060000</v>
      </c>
    </row>
    <row r="20" spans="1:8" ht="76.5">
      <c r="A20" s="216" t="s">
        <v>1754</v>
      </c>
      <c r="B20" s="211" t="s">
        <v>213</v>
      </c>
      <c r="C20" s="211" t="s">
        <v>414</v>
      </c>
      <c r="D20" s="211" t="s">
        <v>768</v>
      </c>
      <c r="E20" s="211" t="s">
        <v>322</v>
      </c>
      <c r="F20" s="213">
        <v>2703802</v>
      </c>
      <c r="G20" s="213">
        <v>2703802</v>
      </c>
      <c r="H20" s="147" t="str">
        <f t="shared" si="0"/>
        <v>01038030060000100</v>
      </c>
    </row>
    <row r="21" spans="1:8" ht="38.25">
      <c r="A21" s="216" t="s">
        <v>1509</v>
      </c>
      <c r="B21" s="211" t="s">
        <v>213</v>
      </c>
      <c r="C21" s="211" t="s">
        <v>414</v>
      </c>
      <c r="D21" s="211" t="s">
        <v>768</v>
      </c>
      <c r="E21" s="211" t="s">
        <v>37</v>
      </c>
      <c r="F21" s="213">
        <v>2703802</v>
      </c>
      <c r="G21" s="213">
        <v>2703802</v>
      </c>
      <c r="H21" s="147" t="str">
        <f t="shared" si="0"/>
        <v>01038030060000120</v>
      </c>
    </row>
    <row r="22" spans="1:8" ht="25.5">
      <c r="A22" s="216" t="s">
        <v>1081</v>
      </c>
      <c r="B22" s="211" t="s">
        <v>213</v>
      </c>
      <c r="C22" s="211" t="s">
        <v>414</v>
      </c>
      <c r="D22" s="211" t="s">
        <v>768</v>
      </c>
      <c r="E22" s="211" t="s">
        <v>411</v>
      </c>
      <c r="F22" s="213">
        <v>2090482</v>
      </c>
      <c r="G22" s="213">
        <v>2090482</v>
      </c>
      <c r="H22" s="147" t="str">
        <f t="shared" si="0"/>
        <v>01038030060000121</v>
      </c>
    </row>
    <row r="23" spans="1:8" ht="63.75">
      <c r="A23" s="216" t="s">
        <v>1195</v>
      </c>
      <c r="B23" s="211" t="s">
        <v>213</v>
      </c>
      <c r="C23" s="211" t="s">
        <v>414</v>
      </c>
      <c r="D23" s="211" t="s">
        <v>768</v>
      </c>
      <c r="E23" s="211" t="s">
        <v>1196</v>
      </c>
      <c r="F23" s="213">
        <v>613320</v>
      </c>
      <c r="G23" s="213">
        <v>613320</v>
      </c>
      <c r="H23" s="147" t="str">
        <f t="shared" si="0"/>
        <v>01038030060000129</v>
      </c>
    </row>
    <row r="24" spans="1:8" ht="25.5">
      <c r="A24" s="216" t="s">
        <v>215</v>
      </c>
      <c r="B24" s="211" t="s">
        <v>214</v>
      </c>
      <c r="C24" s="211" t="s">
        <v>1468</v>
      </c>
      <c r="D24" s="211" t="s">
        <v>1468</v>
      </c>
      <c r="E24" s="211" t="s">
        <v>1468</v>
      </c>
      <c r="F24" s="213">
        <v>1578741</v>
      </c>
      <c r="G24" s="213">
        <v>1578741</v>
      </c>
      <c r="H24" s="147" t="str">
        <f t="shared" si="0"/>
        <v/>
      </c>
    </row>
    <row r="25" spans="1:8">
      <c r="A25" s="216" t="s">
        <v>278</v>
      </c>
      <c r="B25" s="211" t="s">
        <v>214</v>
      </c>
      <c r="C25" s="211" t="s">
        <v>1357</v>
      </c>
      <c r="D25" s="211" t="s">
        <v>1468</v>
      </c>
      <c r="E25" s="211" t="s">
        <v>1468</v>
      </c>
      <c r="F25" s="213">
        <v>1578741</v>
      </c>
      <c r="G25" s="213">
        <v>1578741</v>
      </c>
      <c r="H25" s="147" t="str">
        <f t="shared" si="0"/>
        <v>0100</v>
      </c>
    </row>
    <row r="26" spans="1:8" ht="51">
      <c r="A26" s="216" t="s">
        <v>260</v>
      </c>
      <c r="B26" s="211" t="s">
        <v>214</v>
      </c>
      <c r="C26" s="211" t="s">
        <v>418</v>
      </c>
      <c r="D26" s="211" t="s">
        <v>1468</v>
      </c>
      <c r="E26" s="211" t="s">
        <v>1468</v>
      </c>
      <c r="F26" s="213">
        <v>1578741</v>
      </c>
      <c r="G26" s="213">
        <v>1578741</v>
      </c>
      <c r="H26" s="147" t="str">
        <f t="shared" si="0"/>
        <v>0106</v>
      </c>
    </row>
    <row r="27" spans="1:8" ht="38.25">
      <c r="A27" s="216" t="s">
        <v>708</v>
      </c>
      <c r="B27" s="211" t="s">
        <v>214</v>
      </c>
      <c r="C27" s="211" t="s">
        <v>418</v>
      </c>
      <c r="D27" s="211" t="s">
        <v>1146</v>
      </c>
      <c r="E27" s="211" t="s">
        <v>1468</v>
      </c>
      <c r="F27" s="213">
        <v>1578741</v>
      </c>
      <c r="G27" s="213">
        <v>1578741</v>
      </c>
      <c r="H27" s="147" t="str">
        <f t="shared" si="0"/>
        <v>01068000000000</v>
      </c>
    </row>
    <row r="28" spans="1:8" ht="51">
      <c r="A28" s="216" t="s">
        <v>709</v>
      </c>
      <c r="B28" s="211" t="s">
        <v>214</v>
      </c>
      <c r="C28" s="211" t="s">
        <v>418</v>
      </c>
      <c r="D28" s="211" t="s">
        <v>1148</v>
      </c>
      <c r="E28" s="211" t="s">
        <v>1468</v>
      </c>
      <c r="F28" s="213">
        <v>649607</v>
      </c>
      <c r="G28" s="213">
        <v>649607</v>
      </c>
      <c r="H28" s="147" t="str">
        <f t="shared" si="0"/>
        <v>01068020000000</v>
      </c>
    </row>
    <row r="29" spans="1:8" ht="51">
      <c r="A29" s="216" t="s">
        <v>415</v>
      </c>
      <c r="B29" s="211" t="s">
        <v>214</v>
      </c>
      <c r="C29" s="211" t="s">
        <v>418</v>
      </c>
      <c r="D29" s="211" t="s">
        <v>766</v>
      </c>
      <c r="E29" s="211" t="s">
        <v>1468</v>
      </c>
      <c r="F29" s="213">
        <v>649607</v>
      </c>
      <c r="G29" s="213">
        <v>649607</v>
      </c>
      <c r="H29" s="147" t="str">
        <f t="shared" si="0"/>
        <v>01068020060000</v>
      </c>
    </row>
    <row r="30" spans="1:8" ht="76.5">
      <c r="A30" s="216" t="s">
        <v>1754</v>
      </c>
      <c r="B30" s="211" t="s">
        <v>214</v>
      </c>
      <c r="C30" s="211" t="s">
        <v>418</v>
      </c>
      <c r="D30" s="211" t="s">
        <v>766</v>
      </c>
      <c r="E30" s="211" t="s">
        <v>322</v>
      </c>
      <c r="F30" s="213">
        <v>649607</v>
      </c>
      <c r="G30" s="213">
        <v>649607</v>
      </c>
      <c r="H30" s="147" t="str">
        <f t="shared" si="0"/>
        <v>01068020060000100</v>
      </c>
    </row>
    <row r="31" spans="1:8" ht="38.25">
      <c r="A31" s="216" t="s">
        <v>1509</v>
      </c>
      <c r="B31" s="211" t="s">
        <v>214</v>
      </c>
      <c r="C31" s="211" t="s">
        <v>418</v>
      </c>
      <c r="D31" s="211" t="s">
        <v>766</v>
      </c>
      <c r="E31" s="211" t="s">
        <v>37</v>
      </c>
      <c r="F31" s="213">
        <v>649607</v>
      </c>
      <c r="G31" s="213">
        <v>649607</v>
      </c>
      <c r="H31" s="147" t="str">
        <f t="shared" si="0"/>
        <v>01068020060000120</v>
      </c>
    </row>
    <row r="32" spans="1:8" ht="25.5">
      <c r="A32" s="216" t="s">
        <v>1081</v>
      </c>
      <c r="B32" s="211" t="s">
        <v>214</v>
      </c>
      <c r="C32" s="211" t="s">
        <v>418</v>
      </c>
      <c r="D32" s="211" t="s">
        <v>766</v>
      </c>
      <c r="E32" s="211" t="s">
        <v>411</v>
      </c>
      <c r="F32" s="213">
        <v>498930</v>
      </c>
      <c r="G32" s="213">
        <v>498930</v>
      </c>
      <c r="H32" s="147" t="str">
        <f t="shared" si="0"/>
        <v>01068020060000121</v>
      </c>
    </row>
    <row r="33" spans="1:8" ht="63.75">
      <c r="A33" s="216" t="s">
        <v>1195</v>
      </c>
      <c r="B33" s="211" t="s">
        <v>214</v>
      </c>
      <c r="C33" s="211" t="s">
        <v>418</v>
      </c>
      <c r="D33" s="211" t="s">
        <v>766</v>
      </c>
      <c r="E33" s="211" t="s">
        <v>1196</v>
      </c>
      <c r="F33" s="213">
        <v>150677</v>
      </c>
      <c r="G33" s="213">
        <v>150677</v>
      </c>
      <c r="H33" s="147" t="str">
        <f t="shared" si="0"/>
        <v>01068020060000129</v>
      </c>
    </row>
    <row r="34" spans="1:8" ht="76.5">
      <c r="A34" s="216" t="s">
        <v>419</v>
      </c>
      <c r="B34" s="211" t="s">
        <v>214</v>
      </c>
      <c r="C34" s="211" t="s">
        <v>418</v>
      </c>
      <c r="D34" s="211" t="s">
        <v>1150</v>
      </c>
      <c r="E34" s="211" t="s">
        <v>1468</v>
      </c>
      <c r="F34" s="213">
        <v>929134</v>
      </c>
      <c r="G34" s="213">
        <v>929134</v>
      </c>
      <c r="H34" s="147" t="str">
        <f t="shared" si="0"/>
        <v>01068040000000</v>
      </c>
    </row>
    <row r="35" spans="1:8" ht="76.5">
      <c r="A35" s="216" t="s">
        <v>419</v>
      </c>
      <c r="B35" s="211" t="s">
        <v>214</v>
      </c>
      <c r="C35" s="211" t="s">
        <v>418</v>
      </c>
      <c r="D35" s="211" t="s">
        <v>770</v>
      </c>
      <c r="E35" s="211" t="s">
        <v>1468</v>
      </c>
      <c r="F35" s="213">
        <v>929134</v>
      </c>
      <c r="G35" s="213">
        <v>929134</v>
      </c>
      <c r="H35" s="147" t="str">
        <f t="shared" si="0"/>
        <v>01068040060000</v>
      </c>
    </row>
    <row r="36" spans="1:8" ht="76.5">
      <c r="A36" s="216" t="s">
        <v>1754</v>
      </c>
      <c r="B36" s="211" t="s">
        <v>214</v>
      </c>
      <c r="C36" s="211" t="s">
        <v>418</v>
      </c>
      <c r="D36" s="211" t="s">
        <v>770</v>
      </c>
      <c r="E36" s="211" t="s">
        <v>322</v>
      </c>
      <c r="F36" s="213">
        <v>929134</v>
      </c>
      <c r="G36" s="213">
        <v>929134</v>
      </c>
      <c r="H36" s="147" t="str">
        <f t="shared" si="0"/>
        <v>01068040060000100</v>
      </c>
    </row>
    <row r="37" spans="1:8" ht="38.25">
      <c r="A37" s="216" t="s">
        <v>1509</v>
      </c>
      <c r="B37" s="211" t="s">
        <v>214</v>
      </c>
      <c r="C37" s="211" t="s">
        <v>418</v>
      </c>
      <c r="D37" s="211" t="s">
        <v>770</v>
      </c>
      <c r="E37" s="211" t="s">
        <v>37</v>
      </c>
      <c r="F37" s="213">
        <v>929134</v>
      </c>
      <c r="G37" s="213">
        <v>929134</v>
      </c>
      <c r="H37" s="147" t="str">
        <f t="shared" si="0"/>
        <v>01068040060000120</v>
      </c>
    </row>
    <row r="38" spans="1:8" ht="25.5">
      <c r="A38" s="216" t="s">
        <v>1081</v>
      </c>
      <c r="B38" s="211" t="s">
        <v>214</v>
      </c>
      <c r="C38" s="211" t="s">
        <v>418</v>
      </c>
      <c r="D38" s="211" t="s">
        <v>770</v>
      </c>
      <c r="E38" s="211" t="s">
        <v>411</v>
      </c>
      <c r="F38" s="213">
        <v>713621</v>
      </c>
      <c r="G38" s="213">
        <v>713621</v>
      </c>
      <c r="H38" s="147" t="str">
        <f t="shared" si="0"/>
        <v>01068040060000121</v>
      </c>
    </row>
    <row r="39" spans="1:8" ht="63.75">
      <c r="A39" s="216" t="s">
        <v>1195</v>
      </c>
      <c r="B39" s="211" t="s">
        <v>214</v>
      </c>
      <c r="C39" s="211" t="s">
        <v>418</v>
      </c>
      <c r="D39" s="211" t="s">
        <v>770</v>
      </c>
      <c r="E39" s="211" t="s">
        <v>1196</v>
      </c>
      <c r="F39" s="213">
        <v>215513</v>
      </c>
      <c r="G39" s="213">
        <v>215513</v>
      </c>
      <c r="H39" s="147" t="str">
        <f t="shared" si="0"/>
        <v>01068040060000129</v>
      </c>
    </row>
    <row r="40" spans="1:8">
      <c r="A40" s="216" t="s">
        <v>216</v>
      </c>
      <c r="B40" s="211" t="s">
        <v>5</v>
      </c>
      <c r="C40" s="211" t="s">
        <v>1468</v>
      </c>
      <c r="D40" s="211" t="s">
        <v>1468</v>
      </c>
      <c r="E40" s="211" t="s">
        <v>1468</v>
      </c>
      <c r="F40" s="213">
        <v>246537637</v>
      </c>
      <c r="G40" s="213">
        <v>238168549</v>
      </c>
      <c r="H40" s="147" t="str">
        <f t="shared" si="0"/>
        <v/>
      </c>
    </row>
    <row r="41" spans="1:8">
      <c r="A41" s="216" t="s">
        <v>278</v>
      </c>
      <c r="B41" s="211" t="s">
        <v>5</v>
      </c>
      <c r="C41" s="211" t="s">
        <v>1357</v>
      </c>
      <c r="D41" s="211" t="s">
        <v>1468</v>
      </c>
      <c r="E41" s="211" t="s">
        <v>1468</v>
      </c>
      <c r="F41" s="213">
        <v>28281353</v>
      </c>
      <c r="G41" s="213">
        <v>19895265</v>
      </c>
      <c r="H41" s="147" t="str">
        <f t="shared" si="0"/>
        <v>0100</v>
      </c>
    </row>
    <row r="42" spans="1:8" ht="51">
      <c r="A42" s="216" t="s">
        <v>1737</v>
      </c>
      <c r="B42" s="211" t="s">
        <v>5</v>
      </c>
      <c r="C42" s="211" t="s">
        <v>409</v>
      </c>
      <c r="D42" s="211" t="s">
        <v>1468</v>
      </c>
      <c r="E42" s="211" t="s">
        <v>1468</v>
      </c>
      <c r="F42" s="213">
        <v>1605429</v>
      </c>
      <c r="G42" s="213">
        <v>1605429</v>
      </c>
      <c r="H42" s="147" t="str">
        <f t="shared" si="0"/>
        <v>0102</v>
      </c>
    </row>
    <row r="43" spans="1:8" ht="38.25">
      <c r="A43" s="216" t="s">
        <v>708</v>
      </c>
      <c r="B43" s="211" t="s">
        <v>5</v>
      </c>
      <c r="C43" s="211" t="s">
        <v>409</v>
      </c>
      <c r="D43" s="211" t="s">
        <v>1146</v>
      </c>
      <c r="E43" s="211" t="s">
        <v>1468</v>
      </c>
      <c r="F43" s="213">
        <v>1605429</v>
      </c>
      <c r="G43" s="213">
        <v>1605429</v>
      </c>
      <c r="H43" s="147" t="str">
        <f t="shared" si="0"/>
        <v>01028000000000</v>
      </c>
    </row>
    <row r="44" spans="1:8" ht="63.75">
      <c r="A44" s="216" t="s">
        <v>410</v>
      </c>
      <c r="B44" s="211" t="s">
        <v>5</v>
      </c>
      <c r="C44" s="211" t="s">
        <v>409</v>
      </c>
      <c r="D44" s="211" t="s">
        <v>1147</v>
      </c>
      <c r="E44" s="211" t="s">
        <v>1468</v>
      </c>
      <c r="F44" s="213">
        <v>1605429</v>
      </c>
      <c r="G44" s="213">
        <v>1605429</v>
      </c>
      <c r="H44" s="147" t="str">
        <f t="shared" si="0"/>
        <v>01028010000000</v>
      </c>
    </row>
    <row r="45" spans="1:8" ht="63.75">
      <c r="A45" s="216" t="s">
        <v>410</v>
      </c>
      <c r="B45" s="211" t="s">
        <v>5</v>
      </c>
      <c r="C45" s="211" t="s">
        <v>409</v>
      </c>
      <c r="D45" s="211" t="s">
        <v>772</v>
      </c>
      <c r="E45" s="211" t="s">
        <v>1468</v>
      </c>
      <c r="F45" s="213">
        <v>1605429</v>
      </c>
      <c r="G45" s="213">
        <v>1605429</v>
      </c>
      <c r="H45" s="147" t="str">
        <f t="shared" si="0"/>
        <v>01028010060000</v>
      </c>
    </row>
    <row r="46" spans="1:8" ht="76.5">
      <c r="A46" s="216" t="s">
        <v>1754</v>
      </c>
      <c r="B46" s="211" t="s">
        <v>5</v>
      </c>
      <c r="C46" s="211" t="s">
        <v>409</v>
      </c>
      <c r="D46" s="211" t="s">
        <v>772</v>
      </c>
      <c r="E46" s="211" t="s">
        <v>322</v>
      </c>
      <c r="F46" s="213">
        <v>1605429</v>
      </c>
      <c r="G46" s="213">
        <v>1605429</v>
      </c>
      <c r="H46" s="147" t="str">
        <f t="shared" si="0"/>
        <v>01028010060000100</v>
      </c>
    </row>
    <row r="47" spans="1:8" ht="38.25">
      <c r="A47" s="216" t="s">
        <v>1509</v>
      </c>
      <c r="B47" s="211" t="s">
        <v>5</v>
      </c>
      <c r="C47" s="211" t="s">
        <v>409</v>
      </c>
      <c r="D47" s="211" t="s">
        <v>772</v>
      </c>
      <c r="E47" s="211" t="s">
        <v>37</v>
      </c>
      <c r="F47" s="213">
        <v>1605429</v>
      </c>
      <c r="G47" s="213">
        <v>1605429</v>
      </c>
      <c r="H47" s="147" t="str">
        <f t="shared" si="0"/>
        <v>01028010060000120</v>
      </c>
    </row>
    <row r="48" spans="1:8" ht="25.5">
      <c r="A48" s="216" t="s">
        <v>1081</v>
      </c>
      <c r="B48" s="211" t="s">
        <v>5</v>
      </c>
      <c r="C48" s="211" t="s">
        <v>409</v>
      </c>
      <c r="D48" s="211" t="s">
        <v>772</v>
      </c>
      <c r="E48" s="211" t="s">
        <v>411</v>
      </c>
      <c r="F48" s="213">
        <v>1215389</v>
      </c>
      <c r="G48" s="213">
        <v>1215389</v>
      </c>
      <c r="H48" s="147" t="str">
        <f t="shared" si="0"/>
        <v>01028010060000121</v>
      </c>
    </row>
    <row r="49" spans="1:8" ht="51">
      <c r="A49" s="216" t="s">
        <v>412</v>
      </c>
      <c r="B49" s="211" t="s">
        <v>5</v>
      </c>
      <c r="C49" s="211" t="s">
        <v>409</v>
      </c>
      <c r="D49" s="211" t="s">
        <v>772</v>
      </c>
      <c r="E49" s="211" t="s">
        <v>413</v>
      </c>
      <c r="F49" s="213">
        <v>41000</v>
      </c>
      <c r="G49" s="213">
        <v>41000</v>
      </c>
      <c r="H49" s="147" t="str">
        <f t="shared" si="0"/>
        <v>01028010060000122</v>
      </c>
    </row>
    <row r="50" spans="1:8" ht="63.75">
      <c r="A50" s="216" t="s">
        <v>1195</v>
      </c>
      <c r="B50" s="211" t="s">
        <v>5</v>
      </c>
      <c r="C50" s="211" t="s">
        <v>409</v>
      </c>
      <c r="D50" s="211" t="s">
        <v>772</v>
      </c>
      <c r="E50" s="211" t="s">
        <v>1196</v>
      </c>
      <c r="F50" s="213">
        <v>349040</v>
      </c>
      <c r="G50" s="213">
        <v>349040</v>
      </c>
      <c r="H50" s="147" t="str">
        <f t="shared" si="0"/>
        <v>01028010060000129</v>
      </c>
    </row>
    <row r="51" spans="1:8" ht="63.75">
      <c r="A51" s="216" t="s">
        <v>280</v>
      </c>
      <c r="B51" s="211" t="s">
        <v>5</v>
      </c>
      <c r="C51" s="211" t="s">
        <v>420</v>
      </c>
      <c r="D51" s="211" t="s">
        <v>1468</v>
      </c>
      <c r="E51" s="211" t="s">
        <v>1468</v>
      </c>
      <c r="F51" s="213">
        <v>26260124</v>
      </c>
      <c r="G51" s="213">
        <v>17876936</v>
      </c>
      <c r="H51" s="147" t="str">
        <f t="shared" si="0"/>
        <v>0104</v>
      </c>
    </row>
    <row r="52" spans="1:8" ht="51">
      <c r="A52" s="216" t="s">
        <v>549</v>
      </c>
      <c r="B52" s="211" t="s">
        <v>5</v>
      </c>
      <c r="C52" s="211" t="s">
        <v>420</v>
      </c>
      <c r="D52" s="211" t="s">
        <v>1117</v>
      </c>
      <c r="E52" s="211" t="s">
        <v>1468</v>
      </c>
      <c r="F52" s="213">
        <v>73395</v>
      </c>
      <c r="G52" s="213">
        <v>73395</v>
      </c>
      <c r="H52" s="147" t="str">
        <f t="shared" si="0"/>
        <v>01040400000000</v>
      </c>
    </row>
    <row r="53" spans="1:8" ht="25.5">
      <c r="A53" s="216" t="s">
        <v>552</v>
      </c>
      <c r="B53" s="211" t="s">
        <v>5</v>
      </c>
      <c r="C53" s="211" t="s">
        <v>420</v>
      </c>
      <c r="D53" s="211" t="s">
        <v>1119</v>
      </c>
      <c r="E53" s="211" t="s">
        <v>1468</v>
      </c>
      <c r="F53" s="213">
        <v>73395</v>
      </c>
      <c r="G53" s="213">
        <v>73395</v>
      </c>
      <c r="H53" s="147" t="str">
        <f t="shared" si="0"/>
        <v>01040420000000</v>
      </c>
    </row>
    <row r="54" spans="1:8" ht="114.75">
      <c r="A54" s="216" t="s">
        <v>421</v>
      </c>
      <c r="B54" s="211" t="s">
        <v>5</v>
      </c>
      <c r="C54" s="211" t="s">
        <v>420</v>
      </c>
      <c r="D54" s="211" t="s">
        <v>773</v>
      </c>
      <c r="E54" s="211" t="s">
        <v>1468</v>
      </c>
      <c r="F54" s="213">
        <v>73395</v>
      </c>
      <c r="G54" s="213">
        <v>73395</v>
      </c>
      <c r="H54" s="147" t="str">
        <f t="shared" si="0"/>
        <v>01040420080040</v>
      </c>
    </row>
    <row r="55" spans="1:8" ht="38.25">
      <c r="A55" s="216" t="s">
        <v>1755</v>
      </c>
      <c r="B55" s="211" t="s">
        <v>5</v>
      </c>
      <c r="C55" s="211" t="s">
        <v>420</v>
      </c>
      <c r="D55" s="211" t="s">
        <v>773</v>
      </c>
      <c r="E55" s="211" t="s">
        <v>1756</v>
      </c>
      <c r="F55" s="213">
        <v>73395</v>
      </c>
      <c r="G55" s="213">
        <v>73395</v>
      </c>
      <c r="H55" s="147" t="str">
        <f t="shared" si="0"/>
        <v>01040420080040200</v>
      </c>
    </row>
    <row r="56" spans="1:8" ht="38.25">
      <c r="A56" s="216" t="s">
        <v>1502</v>
      </c>
      <c r="B56" s="211" t="s">
        <v>5</v>
      </c>
      <c r="C56" s="211" t="s">
        <v>420</v>
      </c>
      <c r="D56" s="211" t="s">
        <v>773</v>
      </c>
      <c r="E56" s="211" t="s">
        <v>1503</v>
      </c>
      <c r="F56" s="213">
        <v>73395</v>
      </c>
      <c r="G56" s="213">
        <v>73395</v>
      </c>
      <c r="H56" s="147" t="str">
        <f t="shared" si="0"/>
        <v>01040420080040240</v>
      </c>
    </row>
    <row r="57" spans="1:8">
      <c r="A57" s="216" t="s">
        <v>1577</v>
      </c>
      <c r="B57" s="211" t="s">
        <v>5</v>
      </c>
      <c r="C57" s="211" t="s">
        <v>420</v>
      </c>
      <c r="D57" s="211" t="s">
        <v>773</v>
      </c>
      <c r="E57" s="211" t="s">
        <v>416</v>
      </c>
      <c r="F57" s="213">
        <v>73395</v>
      </c>
      <c r="G57" s="213">
        <v>73395</v>
      </c>
      <c r="H57" s="147" t="str">
        <f t="shared" si="0"/>
        <v>01040420080040244</v>
      </c>
    </row>
    <row r="58" spans="1:8" ht="38.25">
      <c r="A58" s="216" t="s">
        <v>708</v>
      </c>
      <c r="B58" s="211" t="s">
        <v>5</v>
      </c>
      <c r="C58" s="211" t="s">
        <v>420</v>
      </c>
      <c r="D58" s="211" t="s">
        <v>1146</v>
      </c>
      <c r="E58" s="211" t="s">
        <v>1468</v>
      </c>
      <c r="F58" s="213">
        <v>26186729</v>
      </c>
      <c r="G58" s="213">
        <v>17803541</v>
      </c>
      <c r="H58" s="147" t="str">
        <f t="shared" si="0"/>
        <v>01048000000000</v>
      </c>
    </row>
    <row r="59" spans="1:8" ht="51">
      <c r="A59" s="222" t="s">
        <v>709</v>
      </c>
      <c r="B59" s="211" t="s">
        <v>5</v>
      </c>
      <c r="C59" s="211" t="s">
        <v>420</v>
      </c>
      <c r="D59" s="211" t="s">
        <v>1148</v>
      </c>
      <c r="E59" s="211" t="s">
        <v>1468</v>
      </c>
      <c r="F59" s="213">
        <v>26186729</v>
      </c>
      <c r="G59" s="213">
        <v>17803541</v>
      </c>
      <c r="H59" s="147" t="str">
        <f t="shared" si="0"/>
        <v>01048020000000</v>
      </c>
    </row>
    <row r="60" spans="1:8" ht="51">
      <c r="A60" s="216" t="s">
        <v>415</v>
      </c>
      <c r="B60" s="211" t="s">
        <v>5</v>
      </c>
      <c r="C60" s="211" t="s">
        <v>420</v>
      </c>
      <c r="D60" s="211" t="s">
        <v>766</v>
      </c>
      <c r="E60" s="211" t="s">
        <v>1468</v>
      </c>
      <c r="F60" s="213">
        <v>13966598</v>
      </c>
      <c r="G60" s="213">
        <v>9183510</v>
      </c>
      <c r="H60" s="147" t="str">
        <f t="shared" si="0"/>
        <v>01048020060000</v>
      </c>
    </row>
    <row r="61" spans="1:8" ht="76.5">
      <c r="A61" s="216" t="s">
        <v>1754</v>
      </c>
      <c r="B61" s="211" t="s">
        <v>5</v>
      </c>
      <c r="C61" s="211" t="s">
        <v>420</v>
      </c>
      <c r="D61" s="211" t="s">
        <v>766</v>
      </c>
      <c r="E61" s="211" t="s">
        <v>322</v>
      </c>
      <c r="F61" s="213">
        <v>5679878</v>
      </c>
      <c r="G61" s="213">
        <v>8896790</v>
      </c>
      <c r="H61" s="147" t="str">
        <f t="shared" si="0"/>
        <v>01048020060000100</v>
      </c>
    </row>
    <row r="62" spans="1:8" ht="38.25">
      <c r="A62" s="216" t="s">
        <v>1509</v>
      </c>
      <c r="B62" s="211" t="s">
        <v>5</v>
      </c>
      <c r="C62" s="211" t="s">
        <v>420</v>
      </c>
      <c r="D62" s="211" t="s">
        <v>766</v>
      </c>
      <c r="E62" s="211" t="s">
        <v>37</v>
      </c>
      <c r="F62" s="213">
        <v>5679878</v>
      </c>
      <c r="G62" s="213">
        <v>8896790</v>
      </c>
      <c r="H62" s="147" t="str">
        <f t="shared" si="0"/>
        <v>01048020060000120</v>
      </c>
    </row>
    <row r="63" spans="1:8" ht="25.5">
      <c r="A63" s="216" t="s">
        <v>1081</v>
      </c>
      <c r="B63" s="211" t="s">
        <v>5</v>
      </c>
      <c r="C63" s="211" t="s">
        <v>420</v>
      </c>
      <c r="D63" s="211" t="s">
        <v>766</v>
      </c>
      <c r="E63" s="211" t="s">
        <v>411</v>
      </c>
      <c r="F63" s="213">
        <v>1236465</v>
      </c>
      <c r="G63" s="213">
        <v>8483377</v>
      </c>
      <c r="H63" s="147" t="str">
        <f t="shared" si="0"/>
        <v>01048020060000121</v>
      </c>
    </row>
    <row r="64" spans="1:8" ht="51">
      <c r="A64" s="216" t="s">
        <v>412</v>
      </c>
      <c r="B64" s="211" t="s">
        <v>5</v>
      </c>
      <c r="C64" s="211" t="s">
        <v>420</v>
      </c>
      <c r="D64" s="211" t="s">
        <v>766</v>
      </c>
      <c r="E64" s="211" t="s">
        <v>413</v>
      </c>
      <c r="F64" s="213">
        <v>500000</v>
      </c>
      <c r="G64" s="213">
        <v>0</v>
      </c>
      <c r="H64" s="147" t="str">
        <f t="shared" si="0"/>
        <v>01048020060000122</v>
      </c>
    </row>
    <row r="65" spans="1:8" ht="63.75">
      <c r="A65" s="216" t="s">
        <v>1195</v>
      </c>
      <c r="B65" s="211" t="s">
        <v>5</v>
      </c>
      <c r="C65" s="211" t="s">
        <v>420</v>
      </c>
      <c r="D65" s="211" t="s">
        <v>766</v>
      </c>
      <c r="E65" s="211" t="s">
        <v>1196</v>
      </c>
      <c r="F65" s="213">
        <v>3943413</v>
      </c>
      <c r="G65" s="213">
        <v>413413</v>
      </c>
      <c r="H65" s="147" t="str">
        <f t="shared" si="0"/>
        <v>01048020060000129</v>
      </c>
    </row>
    <row r="66" spans="1:8" ht="38.25">
      <c r="A66" s="216" t="s">
        <v>1755</v>
      </c>
      <c r="B66" s="211" t="s">
        <v>5</v>
      </c>
      <c r="C66" s="211" t="s">
        <v>420</v>
      </c>
      <c r="D66" s="211" t="s">
        <v>766</v>
      </c>
      <c r="E66" s="211" t="s">
        <v>1756</v>
      </c>
      <c r="F66" s="213">
        <v>8270720</v>
      </c>
      <c r="G66" s="213">
        <v>270720</v>
      </c>
      <c r="H66" s="147" t="str">
        <f t="shared" si="0"/>
        <v>01048020060000200</v>
      </c>
    </row>
    <row r="67" spans="1:8" ht="38.25">
      <c r="A67" s="216" t="s">
        <v>1502</v>
      </c>
      <c r="B67" s="211" t="s">
        <v>5</v>
      </c>
      <c r="C67" s="211" t="s">
        <v>420</v>
      </c>
      <c r="D67" s="211" t="s">
        <v>766</v>
      </c>
      <c r="E67" s="211" t="s">
        <v>1503</v>
      </c>
      <c r="F67" s="213">
        <v>8270720</v>
      </c>
      <c r="G67" s="213">
        <v>270720</v>
      </c>
      <c r="H67" s="147" t="str">
        <f t="shared" si="0"/>
        <v>01048020060000240</v>
      </c>
    </row>
    <row r="68" spans="1:8">
      <c r="A68" s="216" t="s">
        <v>1577</v>
      </c>
      <c r="B68" s="211" t="s">
        <v>5</v>
      </c>
      <c r="C68" s="211" t="s">
        <v>420</v>
      </c>
      <c r="D68" s="211" t="s">
        <v>766</v>
      </c>
      <c r="E68" s="211" t="s">
        <v>416</v>
      </c>
      <c r="F68" s="213">
        <v>8270720</v>
      </c>
      <c r="G68" s="213">
        <v>270720</v>
      </c>
      <c r="H68" s="147" t="str">
        <f t="shared" si="0"/>
        <v>01048020060000244</v>
      </c>
    </row>
    <row r="69" spans="1:8">
      <c r="A69" s="216" t="s">
        <v>1757</v>
      </c>
      <c r="B69" s="211" t="s">
        <v>5</v>
      </c>
      <c r="C69" s="211" t="s">
        <v>420</v>
      </c>
      <c r="D69" s="211" t="s">
        <v>766</v>
      </c>
      <c r="E69" s="211" t="s">
        <v>1758</v>
      </c>
      <c r="F69" s="213">
        <v>16000</v>
      </c>
      <c r="G69" s="213">
        <v>16000</v>
      </c>
      <c r="H69" s="147" t="str">
        <f t="shared" si="0"/>
        <v>01048020060000800</v>
      </c>
    </row>
    <row r="70" spans="1:8">
      <c r="A70" s="216" t="s">
        <v>1507</v>
      </c>
      <c r="B70" s="211" t="s">
        <v>5</v>
      </c>
      <c r="C70" s="211" t="s">
        <v>420</v>
      </c>
      <c r="D70" s="211" t="s">
        <v>766</v>
      </c>
      <c r="E70" s="211" t="s">
        <v>1508</v>
      </c>
      <c r="F70" s="213">
        <v>16000</v>
      </c>
      <c r="G70" s="213">
        <v>16000</v>
      </c>
      <c r="H70" s="147" t="str">
        <f t="shared" si="0"/>
        <v>01048020060000850</v>
      </c>
    </row>
    <row r="71" spans="1:8">
      <c r="A71" s="216" t="s">
        <v>1082</v>
      </c>
      <c r="B71" s="211" t="s">
        <v>5</v>
      </c>
      <c r="C71" s="211" t="s">
        <v>420</v>
      </c>
      <c r="D71" s="211" t="s">
        <v>766</v>
      </c>
      <c r="E71" s="211" t="s">
        <v>591</v>
      </c>
      <c r="F71" s="213">
        <v>8000</v>
      </c>
      <c r="G71" s="213">
        <v>8000</v>
      </c>
      <c r="H71" s="147" t="str">
        <f t="shared" si="0"/>
        <v>01048020060000852</v>
      </c>
    </row>
    <row r="72" spans="1:8">
      <c r="A72" s="216" t="s">
        <v>1198</v>
      </c>
      <c r="B72" s="211" t="s">
        <v>5</v>
      </c>
      <c r="C72" s="211" t="s">
        <v>420</v>
      </c>
      <c r="D72" s="211" t="s">
        <v>766</v>
      </c>
      <c r="E72" s="211" t="s">
        <v>1199</v>
      </c>
      <c r="F72" s="213">
        <v>8000</v>
      </c>
      <c r="G72" s="213">
        <v>8000</v>
      </c>
      <c r="H72" s="147" t="str">
        <f t="shared" si="0"/>
        <v>01048020060000853</v>
      </c>
    </row>
    <row r="73" spans="1:8" ht="89.25">
      <c r="A73" s="216" t="s">
        <v>669</v>
      </c>
      <c r="B73" s="211" t="s">
        <v>5</v>
      </c>
      <c r="C73" s="211" t="s">
        <v>420</v>
      </c>
      <c r="D73" s="211" t="s">
        <v>776</v>
      </c>
      <c r="E73" s="211" t="s">
        <v>1468</v>
      </c>
      <c r="F73" s="213">
        <v>595090</v>
      </c>
      <c r="G73" s="213">
        <v>595090</v>
      </c>
      <c r="H73" s="147" t="str">
        <f t="shared" si="0"/>
        <v>01048020061000</v>
      </c>
    </row>
    <row r="74" spans="1:8" ht="76.5">
      <c r="A74" s="216" t="s">
        <v>1754</v>
      </c>
      <c r="B74" s="211" t="s">
        <v>5</v>
      </c>
      <c r="C74" s="211" t="s">
        <v>420</v>
      </c>
      <c r="D74" s="211" t="s">
        <v>776</v>
      </c>
      <c r="E74" s="211" t="s">
        <v>322</v>
      </c>
      <c r="F74" s="213">
        <v>595090</v>
      </c>
      <c r="G74" s="213">
        <v>595090</v>
      </c>
      <c r="H74" s="147" t="str">
        <f t="shared" ref="H74:H131" si="1">CONCATENATE(C74,,D74,E74)</f>
        <v>01048020061000100</v>
      </c>
    </row>
    <row r="75" spans="1:8" ht="38.25">
      <c r="A75" s="216" t="s">
        <v>1509</v>
      </c>
      <c r="B75" s="211" t="s">
        <v>5</v>
      </c>
      <c r="C75" s="211" t="s">
        <v>420</v>
      </c>
      <c r="D75" s="211" t="s">
        <v>776</v>
      </c>
      <c r="E75" s="211" t="s">
        <v>37</v>
      </c>
      <c r="F75" s="213">
        <v>595090</v>
      </c>
      <c r="G75" s="213">
        <v>595090</v>
      </c>
      <c r="H75" s="147" t="str">
        <f t="shared" si="1"/>
        <v>01048020061000120</v>
      </c>
    </row>
    <row r="76" spans="1:8" ht="25.5">
      <c r="A76" s="216" t="s">
        <v>1081</v>
      </c>
      <c r="B76" s="211" t="s">
        <v>5</v>
      </c>
      <c r="C76" s="211" t="s">
        <v>420</v>
      </c>
      <c r="D76" s="211" t="s">
        <v>776</v>
      </c>
      <c r="E76" s="211" t="s">
        <v>411</v>
      </c>
      <c r="F76" s="213">
        <v>457058</v>
      </c>
      <c r="G76" s="213">
        <v>457058</v>
      </c>
      <c r="H76" s="147" t="str">
        <f t="shared" si="1"/>
        <v>01048020061000121</v>
      </c>
    </row>
    <row r="77" spans="1:8" ht="63.75">
      <c r="A77" s="216" t="s">
        <v>1195</v>
      </c>
      <c r="B77" s="211" t="s">
        <v>5</v>
      </c>
      <c r="C77" s="211" t="s">
        <v>420</v>
      </c>
      <c r="D77" s="211" t="s">
        <v>776</v>
      </c>
      <c r="E77" s="211" t="s">
        <v>1196</v>
      </c>
      <c r="F77" s="213">
        <v>138032</v>
      </c>
      <c r="G77" s="213">
        <v>138032</v>
      </c>
      <c r="H77" s="147" t="str">
        <f t="shared" si="1"/>
        <v>01048020061000129</v>
      </c>
    </row>
    <row r="78" spans="1:8" ht="76.5">
      <c r="A78" s="216" t="s">
        <v>667</v>
      </c>
      <c r="B78" s="211" t="s">
        <v>5</v>
      </c>
      <c r="C78" s="211" t="s">
        <v>420</v>
      </c>
      <c r="D78" s="211" t="s">
        <v>767</v>
      </c>
      <c r="E78" s="211" t="s">
        <v>1468</v>
      </c>
      <c r="F78" s="213">
        <v>400000</v>
      </c>
      <c r="G78" s="213">
        <v>400000</v>
      </c>
      <c r="H78" s="147" t="str">
        <f t="shared" si="1"/>
        <v>01048020067000</v>
      </c>
    </row>
    <row r="79" spans="1:8" ht="76.5">
      <c r="A79" s="216" t="s">
        <v>1754</v>
      </c>
      <c r="B79" s="211" t="s">
        <v>5</v>
      </c>
      <c r="C79" s="211" t="s">
        <v>420</v>
      </c>
      <c r="D79" s="211" t="s">
        <v>767</v>
      </c>
      <c r="E79" s="211" t="s">
        <v>322</v>
      </c>
      <c r="F79" s="213">
        <v>400000</v>
      </c>
      <c r="G79" s="213">
        <v>400000</v>
      </c>
      <c r="H79" s="147" t="str">
        <f t="shared" si="1"/>
        <v>01048020067000100</v>
      </c>
    </row>
    <row r="80" spans="1:8" ht="38.25">
      <c r="A80" s="216" t="s">
        <v>1509</v>
      </c>
      <c r="B80" s="211" t="s">
        <v>5</v>
      </c>
      <c r="C80" s="211" t="s">
        <v>420</v>
      </c>
      <c r="D80" s="211" t="s">
        <v>767</v>
      </c>
      <c r="E80" s="211" t="s">
        <v>37</v>
      </c>
      <c r="F80" s="213">
        <v>400000</v>
      </c>
      <c r="G80" s="213">
        <v>400000</v>
      </c>
      <c r="H80" s="147" t="str">
        <f t="shared" si="1"/>
        <v>01048020067000120</v>
      </c>
    </row>
    <row r="81" spans="1:8" ht="51">
      <c r="A81" s="216" t="s">
        <v>412</v>
      </c>
      <c r="B81" s="211" t="s">
        <v>5</v>
      </c>
      <c r="C81" s="211" t="s">
        <v>420</v>
      </c>
      <c r="D81" s="211" t="s">
        <v>767</v>
      </c>
      <c r="E81" s="211" t="s">
        <v>413</v>
      </c>
      <c r="F81" s="213">
        <v>400000</v>
      </c>
      <c r="G81" s="213">
        <v>400000</v>
      </c>
      <c r="H81" s="147" t="str">
        <f t="shared" si="1"/>
        <v>01048020067000122</v>
      </c>
    </row>
    <row r="82" spans="1:8" ht="76.5">
      <c r="A82" s="216" t="s">
        <v>670</v>
      </c>
      <c r="B82" s="211" t="s">
        <v>5</v>
      </c>
      <c r="C82" s="211" t="s">
        <v>420</v>
      </c>
      <c r="D82" s="211" t="s">
        <v>777</v>
      </c>
      <c r="E82" s="211" t="s">
        <v>1468</v>
      </c>
      <c r="F82" s="213">
        <v>5136978</v>
      </c>
      <c r="G82" s="213">
        <v>4136878</v>
      </c>
      <c r="H82" s="147" t="str">
        <f t="shared" si="1"/>
        <v>0104802006Б000</v>
      </c>
    </row>
    <row r="83" spans="1:8" ht="76.5">
      <c r="A83" s="216" t="s">
        <v>1754</v>
      </c>
      <c r="B83" s="211" t="s">
        <v>5</v>
      </c>
      <c r="C83" s="211" t="s">
        <v>420</v>
      </c>
      <c r="D83" s="211" t="s">
        <v>777</v>
      </c>
      <c r="E83" s="211" t="s">
        <v>322</v>
      </c>
      <c r="F83" s="213">
        <v>5136978</v>
      </c>
      <c r="G83" s="213">
        <v>4136878</v>
      </c>
      <c r="H83" s="147" t="str">
        <f t="shared" si="1"/>
        <v>0104802006Б000100</v>
      </c>
    </row>
    <row r="84" spans="1:8" ht="38.25">
      <c r="A84" s="216" t="s">
        <v>1509</v>
      </c>
      <c r="B84" s="211" t="s">
        <v>5</v>
      </c>
      <c r="C84" s="211" t="s">
        <v>420</v>
      </c>
      <c r="D84" s="211" t="s">
        <v>777</v>
      </c>
      <c r="E84" s="211" t="s">
        <v>37</v>
      </c>
      <c r="F84" s="213">
        <v>5136978</v>
      </c>
      <c r="G84" s="213">
        <v>4136878</v>
      </c>
      <c r="H84" s="147" t="str">
        <f t="shared" si="1"/>
        <v>0104802006Б000120</v>
      </c>
    </row>
    <row r="85" spans="1:8" ht="25.5">
      <c r="A85" s="216" t="s">
        <v>1081</v>
      </c>
      <c r="B85" s="211" t="s">
        <v>5</v>
      </c>
      <c r="C85" s="211" t="s">
        <v>420</v>
      </c>
      <c r="D85" s="211" t="s">
        <v>777</v>
      </c>
      <c r="E85" s="211" t="s">
        <v>411</v>
      </c>
      <c r="F85" s="213">
        <v>3945452</v>
      </c>
      <c r="G85" s="213">
        <v>3945352</v>
      </c>
      <c r="H85" s="147" t="str">
        <f t="shared" si="1"/>
        <v>0104802006Б000121</v>
      </c>
    </row>
    <row r="86" spans="1:8" ht="63.75">
      <c r="A86" s="216" t="s">
        <v>1195</v>
      </c>
      <c r="B86" s="211" t="s">
        <v>5</v>
      </c>
      <c r="C86" s="211" t="s">
        <v>420</v>
      </c>
      <c r="D86" s="211" t="s">
        <v>777</v>
      </c>
      <c r="E86" s="211" t="s">
        <v>1196</v>
      </c>
      <c r="F86" s="213">
        <v>1191526</v>
      </c>
      <c r="G86" s="213">
        <v>191526</v>
      </c>
      <c r="H86" s="147" t="str">
        <f t="shared" si="1"/>
        <v>0104802006Б000129</v>
      </c>
    </row>
    <row r="87" spans="1:8" ht="51">
      <c r="A87" s="216" t="s">
        <v>1083</v>
      </c>
      <c r="B87" s="211" t="s">
        <v>5</v>
      </c>
      <c r="C87" s="211" t="s">
        <v>420</v>
      </c>
      <c r="D87" s="211" t="s">
        <v>1084</v>
      </c>
      <c r="E87" s="211" t="s">
        <v>1468</v>
      </c>
      <c r="F87" s="213">
        <v>2617000</v>
      </c>
      <c r="G87" s="213">
        <v>17000</v>
      </c>
      <c r="H87" s="147" t="str">
        <f t="shared" si="1"/>
        <v>0104802006Г000</v>
      </c>
    </row>
    <row r="88" spans="1:8" ht="38.25">
      <c r="A88" s="216" t="s">
        <v>1755</v>
      </c>
      <c r="B88" s="211" t="s">
        <v>5</v>
      </c>
      <c r="C88" s="211" t="s">
        <v>420</v>
      </c>
      <c r="D88" s="211" t="s">
        <v>1084</v>
      </c>
      <c r="E88" s="211" t="s">
        <v>1756</v>
      </c>
      <c r="F88" s="213">
        <v>2617000</v>
      </c>
      <c r="G88" s="213">
        <v>17000</v>
      </c>
      <c r="H88" s="147" t="str">
        <f t="shared" si="1"/>
        <v>0104802006Г000200</v>
      </c>
    </row>
    <row r="89" spans="1:8" ht="38.25">
      <c r="A89" s="216" t="s">
        <v>1502</v>
      </c>
      <c r="B89" s="211" t="s">
        <v>5</v>
      </c>
      <c r="C89" s="211" t="s">
        <v>420</v>
      </c>
      <c r="D89" s="211" t="s">
        <v>1084</v>
      </c>
      <c r="E89" s="211" t="s">
        <v>1503</v>
      </c>
      <c r="F89" s="213">
        <v>2617000</v>
      </c>
      <c r="G89" s="213">
        <v>17000</v>
      </c>
      <c r="H89" s="147" t="str">
        <f t="shared" si="1"/>
        <v>0104802006Г000240</v>
      </c>
    </row>
    <row r="90" spans="1:8">
      <c r="A90" s="216" t="s">
        <v>1577</v>
      </c>
      <c r="B90" s="211" t="s">
        <v>5</v>
      </c>
      <c r="C90" s="211" t="s">
        <v>420</v>
      </c>
      <c r="D90" s="211" t="s">
        <v>1084</v>
      </c>
      <c r="E90" s="211" t="s">
        <v>416</v>
      </c>
      <c r="F90" s="213">
        <v>2617000</v>
      </c>
      <c r="G90" s="213">
        <v>17000</v>
      </c>
      <c r="H90" s="147" t="str">
        <f t="shared" si="1"/>
        <v>0104802006Г000244</v>
      </c>
    </row>
    <row r="91" spans="1:8" ht="38.25">
      <c r="A91" s="216" t="s">
        <v>1236</v>
      </c>
      <c r="B91" s="211" t="s">
        <v>5</v>
      </c>
      <c r="C91" s="211" t="s">
        <v>420</v>
      </c>
      <c r="D91" s="211" t="s">
        <v>1237</v>
      </c>
      <c r="E91" s="211" t="s">
        <v>1468</v>
      </c>
      <c r="F91" s="213">
        <v>951751</v>
      </c>
      <c r="G91" s="213">
        <v>951751</v>
      </c>
      <c r="H91" s="147" t="str">
        <f t="shared" si="1"/>
        <v>0104802006Э000</v>
      </c>
    </row>
    <row r="92" spans="1:8" ht="38.25">
      <c r="A92" s="216" t="s">
        <v>1755</v>
      </c>
      <c r="B92" s="211" t="s">
        <v>5</v>
      </c>
      <c r="C92" s="211" t="s">
        <v>420</v>
      </c>
      <c r="D92" s="211" t="s">
        <v>1237</v>
      </c>
      <c r="E92" s="211" t="s">
        <v>1756</v>
      </c>
      <c r="F92" s="213">
        <v>951751</v>
      </c>
      <c r="G92" s="213">
        <v>951751</v>
      </c>
      <c r="H92" s="147" t="str">
        <f t="shared" si="1"/>
        <v>0104802006Э000200</v>
      </c>
    </row>
    <row r="93" spans="1:8" ht="38.25">
      <c r="A93" s="216" t="s">
        <v>1502</v>
      </c>
      <c r="B93" s="211" t="s">
        <v>5</v>
      </c>
      <c r="C93" s="211" t="s">
        <v>420</v>
      </c>
      <c r="D93" s="211" t="s">
        <v>1237</v>
      </c>
      <c r="E93" s="211" t="s">
        <v>1503</v>
      </c>
      <c r="F93" s="213">
        <v>951751</v>
      </c>
      <c r="G93" s="213">
        <v>951751</v>
      </c>
      <c r="H93" s="147" t="str">
        <f t="shared" si="1"/>
        <v>0104802006Э000240</v>
      </c>
    </row>
    <row r="94" spans="1:8">
      <c r="A94" s="216" t="s">
        <v>1577</v>
      </c>
      <c r="B94" s="211" t="s">
        <v>5</v>
      </c>
      <c r="C94" s="211" t="s">
        <v>420</v>
      </c>
      <c r="D94" s="211" t="s">
        <v>1237</v>
      </c>
      <c r="E94" s="211" t="s">
        <v>416</v>
      </c>
      <c r="F94" s="213">
        <v>951751</v>
      </c>
      <c r="G94" s="213">
        <v>951751</v>
      </c>
      <c r="H94" s="147" t="str">
        <f t="shared" si="1"/>
        <v>0104802006Э000244</v>
      </c>
    </row>
    <row r="95" spans="1:8" ht="102">
      <c r="A95" s="216" t="s">
        <v>422</v>
      </c>
      <c r="B95" s="211" t="s">
        <v>5</v>
      </c>
      <c r="C95" s="211" t="s">
        <v>420</v>
      </c>
      <c r="D95" s="211" t="s">
        <v>774</v>
      </c>
      <c r="E95" s="211" t="s">
        <v>1468</v>
      </c>
      <c r="F95" s="213">
        <v>648300</v>
      </c>
      <c r="G95" s="213">
        <v>648300</v>
      </c>
      <c r="H95" s="147" t="str">
        <f t="shared" si="1"/>
        <v>01048020074670</v>
      </c>
    </row>
    <row r="96" spans="1:8" ht="76.5">
      <c r="A96" s="216" t="s">
        <v>1754</v>
      </c>
      <c r="B96" s="211" t="s">
        <v>5</v>
      </c>
      <c r="C96" s="211" t="s">
        <v>420</v>
      </c>
      <c r="D96" s="211" t="s">
        <v>774</v>
      </c>
      <c r="E96" s="211" t="s">
        <v>322</v>
      </c>
      <c r="F96" s="213">
        <v>616100</v>
      </c>
      <c r="G96" s="213">
        <v>616100</v>
      </c>
      <c r="H96" s="147" t="str">
        <f t="shared" si="1"/>
        <v>01048020074670100</v>
      </c>
    </row>
    <row r="97" spans="1:8" ht="38.25">
      <c r="A97" s="216" t="s">
        <v>1509</v>
      </c>
      <c r="B97" s="211" t="s">
        <v>5</v>
      </c>
      <c r="C97" s="211" t="s">
        <v>420</v>
      </c>
      <c r="D97" s="211" t="s">
        <v>774</v>
      </c>
      <c r="E97" s="211" t="s">
        <v>37</v>
      </c>
      <c r="F97" s="213">
        <v>616100</v>
      </c>
      <c r="G97" s="213">
        <v>616100</v>
      </c>
      <c r="H97" s="147" t="str">
        <f t="shared" si="1"/>
        <v>01048020074670120</v>
      </c>
    </row>
    <row r="98" spans="1:8" ht="25.5">
      <c r="A98" s="216" t="s">
        <v>1081</v>
      </c>
      <c r="B98" s="211" t="s">
        <v>5</v>
      </c>
      <c r="C98" s="211" t="s">
        <v>420</v>
      </c>
      <c r="D98" s="211" t="s">
        <v>774</v>
      </c>
      <c r="E98" s="211" t="s">
        <v>411</v>
      </c>
      <c r="F98" s="213">
        <v>462903</v>
      </c>
      <c r="G98" s="213">
        <v>462903</v>
      </c>
      <c r="H98" s="147" t="str">
        <f t="shared" si="1"/>
        <v>01048020074670121</v>
      </c>
    </row>
    <row r="99" spans="1:8" ht="51">
      <c r="A99" s="216" t="s">
        <v>412</v>
      </c>
      <c r="B99" s="211" t="s">
        <v>5</v>
      </c>
      <c r="C99" s="211" t="s">
        <v>420</v>
      </c>
      <c r="D99" s="211" t="s">
        <v>774</v>
      </c>
      <c r="E99" s="211" t="s">
        <v>413</v>
      </c>
      <c r="F99" s="213">
        <v>13400</v>
      </c>
      <c r="G99" s="213">
        <v>13400</v>
      </c>
      <c r="H99" s="147" t="str">
        <f t="shared" si="1"/>
        <v>01048020074670122</v>
      </c>
    </row>
    <row r="100" spans="1:8" ht="63.75">
      <c r="A100" s="216" t="s">
        <v>1195</v>
      </c>
      <c r="B100" s="211" t="s">
        <v>5</v>
      </c>
      <c r="C100" s="211" t="s">
        <v>420</v>
      </c>
      <c r="D100" s="211" t="s">
        <v>774</v>
      </c>
      <c r="E100" s="211" t="s">
        <v>1196</v>
      </c>
      <c r="F100" s="213">
        <v>139797</v>
      </c>
      <c r="G100" s="213">
        <v>139797</v>
      </c>
      <c r="H100" s="147" t="str">
        <f t="shared" si="1"/>
        <v>01048020074670129</v>
      </c>
    </row>
    <row r="101" spans="1:8" ht="38.25">
      <c r="A101" s="216" t="s">
        <v>1755</v>
      </c>
      <c r="B101" s="211" t="s">
        <v>5</v>
      </c>
      <c r="C101" s="211" t="s">
        <v>420</v>
      </c>
      <c r="D101" s="211" t="s">
        <v>774</v>
      </c>
      <c r="E101" s="211" t="s">
        <v>1756</v>
      </c>
      <c r="F101" s="213">
        <v>32200</v>
      </c>
      <c r="G101" s="213">
        <v>32200</v>
      </c>
      <c r="H101" s="147" t="str">
        <f t="shared" si="1"/>
        <v>01048020074670200</v>
      </c>
    </row>
    <row r="102" spans="1:8" ht="38.25">
      <c r="A102" s="216" t="s">
        <v>1502</v>
      </c>
      <c r="B102" s="211" t="s">
        <v>5</v>
      </c>
      <c r="C102" s="211" t="s">
        <v>420</v>
      </c>
      <c r="D102" s="211" t="s">
        <v>774</v>
      </c>
      <c r="E102" s="211" t="s">
        <v>1503</v>
      </c>
      <c r="F102" s="213">
        <v>32200</v>
      </c>
      <c r="G102" s="213">
        <v>32200</v>
      </c>
      <c r="H102" s="147" t="str">
        <f t="shared" si="1"/>
        <v>01048020074670240</v>
      </c>
    </row>
    <row r="103" spans="1:8">
      <c r="A103" s="216" t="s">
        <v>1577</v>
      </c>
      <c r="B103" s="211" t="s">
        <v>5</v>
      </c>
      <c r="C103" s="211" t="s">
        <v>420</v>
      </c>
      <c r="D103" s="137" t="s">
        <v>774</v>
      </c>
      <c r="E103" s="211" t="s">
        <v>416</v>
      </c>
      <c r="F103" s="213">
        <v>32200</v>
      </c>
      <c r="G103" s="213">
        <v>32200</v>
      </c>
      <c r="H103" s="147" t="str">
        <f t="shared" si="1"/>
        <v>01048020074670244</v>
      </c>
    </row>
    <row r="104" spans="1:8" ht="76.5">
      <c r="A104" s="216" t="s">
        <v>423</v>
      </c>
      <c r="B104" s="211" t="s">
        <v>5</v>
      </c>
      <c r="C104" s="211" t="s">
        <v>420</v>
      </c>
      <c r="D104" s="137" t="s">
        <v>775</v>
      </c>
      <c r="E104" s="211" t="s">
        <v>1468</v>
      </c>
      <c r="F104" s="213">
        <v>1268200</v>
      </c>
      <c r="G104" s="213">
        <v>1268200</v>
      </c>
      <c r="H104" s="147" t="str">
        <f t="shared" si="1"/>
        <v>01048020076040</v>
      </c>
    </row>
    <row r="105" spans="1:8" ht="76.5">
      <c r="A105" s="216" t="s">
        <v>1754</v>
      </c>
      <c r="B105" s="211" t="s">
        <v>5</v>
      </c>
      <c r="C105" s="211" t="s">
        <v>420</v>
      </c>
      <c r="D105" s="211" t="s">
        <v>775</v>
      </c>
      <c r="E105" s="211" t="s">
        <v>322</v>
      </c>
      <c r="F105" s="213">
        <v>1214220</v>
      </c>
      <c r="G105" s="213">
        <v>1214220</v>
      </c>
      <c r="H105" s="147" t="str">
        <f t="shared" si="1"/>
        <v>01048020076040100</v>
      </c>
    </row>
    <row r="106" spans="1:8" ht="38.25">
      <c r="A106" s="216" t="s">
        <v>1509</v>
      </c>
      <c r="B106" s="211" t="s">
        <v>5</v>
      </c>
      <c r="C106" s="211" t="s">
        <v>420</v>
      </c>
      <c r="D106" s="211" t="s">
        <v>775</v>
      </c>
      <c r="E106" s="211" t="s">
        <v>37</v>
      </c>
      <c r="F106" s="213">
        <v>1214220</v>
      </c>
      <c r="G106" s="213">
        <v>1214220</v>
      </c>
      <c r="H106" s="147" t="str">
        <f t="shared" si="1"/>
        <v>01048020076040120</v>
      </c>
    </row>
    <row r="107" spans="1:8" ht="25.5">
      <c r="A107" s="216" t="s">
        <v>1081</v>
      </c>
      <c r="B107" s="211" t="s">
        <v>5</v>
      </c>
      <c r="C107" s="211" t="s">
        <v>420</v>
      </c>
      <c r="D107" s="211" t="s">
        <v>775</v>
      </c>
      <c r="E107" s="211" t="s">
        <v>411</v>
      </c>
      <c r="F107" s="213">
        <v>925978</v>
      </c>
      <c r="G107" s="213">
        <v>925978</v>
      </c>
      <c r="H107" s="147" t="str">
        <f t="shared" si="1"/>
        <v>01048020076040121</v>
      </c>
    </row>
    <row r="108" spans="1:8" ht="51">
      <c r="A108" s="216" t="s">
        <v>412</v>
      </c>
      <c r="B108" s="211" t="s">
        <v>5</v>
      </c>
      <c r="C108" s="211" t="s">
        <v>420</v>
      </c>
      <c r="D108" s="211" t="s">
        <v>775</v>
      </c>
      <c r="E108" s="211" t="s">
        <v>413</v>
      </c>
      <c r="F108" s="213">
        <v>8600</v>
      </c>
      <c r="G108" s="213">
        <v>8600</v>
      </c>
      <c r="H108" s="147" t="str">
        <f t="shared" si="1"/>
        <v>01048020076040122</v>
      </c>
    </row>
    <row r="109" spans="1:8" ht="63.75">
      <c r="A109" s="216" t="s">
        <v>1195</v>
      </c>
      <c r="B109" s="211" t="s">
        <v>5</v>
      </c>
      <c r="C109" s="211" t="s">
        <v>420</v>
      </c>
      <c r="D109" s="211" t="s">
        <v>775</v>
      </c>
      <c r="E109" s="211" t="s">
        <v>1196</v>
      </c>
      <c r="F109" s="213">
        <v>279642</v>
      </c>
      <c r="G109" s="213">
        <v>279642</v>
      </c>
      <c r="H109" s="147" t="str">
        <f t="shared" si="1"/>
        <v>01048020076040129</v>
      </c>
    </row>
    <row r="110" spans="1:8" ht="38.25">
      <c r="A110" s="216" t="s">
        <v>1755</v>
      </c>
      <c r="B110" s="211" t="s">
        <v>5</v>
      </c>
      <c r="C110" s="211" t="s">
        <v>420</v>
      </c>
      <c r="D110" s="211" t="s">
        <v>775</v>
      </c>
      <c r="E110" s="211" t="s">
        <v>1756</v>
      </c>
      <c r="F110" s="213">
        <v>53980</v>
      </c>
      <c r="G110" s="213">
        <v>53980</v>
      </c>
      <c r="H110" s="147" t="str">
        <f t="shared" si="1"/>
        <v>01048020076040200</v>
      </c>
    </row>
    <row r="111" spans="1:8" ht="38.25">
      <c r="A111" s="216" t="s">
        <v>1502</v>
      </c>
      <c r="B111" s="211" t="s">
        <v>5</v>
      </c>
      <c r="C111" s="211" t="s">
        <v>420</v>
      </c>
      <c r="D111" s="211" t="s">
        <v>775</v>
      </c>
      <c r="E111" s="211" t="s">
        <v>1503</v>
      </c>
      <c r="F111" s="213">
        <v>53980</v>
      </c>
      <c r="G111" s="213">
        <v>53980</v>
      </c>
      <c r="H111" s="147" t="str">
        <f t="shared" si="1"/>
        <v>01048020076040240</v>
      </c>
    </row>
    <row r="112" spans="1:8">
      <c r="A112" s="216" t="s">
        <v>1577</v>
      </c>
      <c r="B112" s="211" t="s">
        <v>5</v>
      </c>
      <c r="C112" s="211" t="s">
        <v>420</v>
      </c>
      <c r="D112" s="211" t="s">
        <v>775</v>
      </c>
      <c r="E112" s="211" t="s">
        <v>416</v>
      </c>
      <c r="F112" s="213">
        <v>53980</v>
      </c>
      <c r="G112" s="213">
        <v>53980</v>
      </c>
      <c r="H112" s="147" t="str">
        <f t="shared" si="1"/>
        <v>01048020076040244</v>
      </c>
    </row>
    <row r="113" spans="1:8" ht="267.75">
      <c r="A113" s="216" t="s">
        <v>592</v>
      </c>
      <c r="B113" s="211" t="s">
        <v>5</v>
      </c>
      <c r="C113" s="211" t="s">
        <v>420</v>
      </c>
      <c r="D113" s="211" t="s">
        <v>778</v>
      </c>
      <c r="E113" s="211" t="s">
        <v>1468</v>
      </c>
      <c r="F113" s="213">
        <v>602812</v>
      </c>
      <c r="G113" s="213">
        <v>602812</v>
      </c>
      <c r="H113" s="147" t="str">
        <f t="shared" si="1"/>
        <v>010480200Ч0010</v>
      </c>
    </row>
    <row r="114" spans="1:8" ht="76.5">
      <c r="A114" s="216" t="s">
        <v>1754</v>
      </c>
      <c r="B114" s="211" t="s">
        <v>5</v>
      </c>
      <c r="C114" s="211" t="s">
        <v>420</v>
      </c>
      <c r="D114" s="211" t="s">
        <v>778</v>
      </c>
      <c r="E114" s="211" t="s">
        <v>322</v>
      </c>
      <c r="F114" s="213">
        <v>602812</v>
      </c>
      <c r="G114" s="213">
        <v>602812</v>
      </c>
      <c r="H114" s="147" t="str">
        <f t="shared" si="1"/>
        <v>010480200Ч0010100</v>
      </c>
    </row>
    <row r="115" spans="1:8" ht="38.25">
      <c r="A115" s="222" t="s">
        <v>1509</v>
      </c>
      <c r="B115" s="211" t="s">
        <v>5</v>
      </c>
      <c r="C115" s="211" t="s">
        <v>420</v>
      </c>
      <c r="D115" s="211" t="s">
        <v>778</v>
      </c>
      <c r="E115" s="211" t="s">
        <v>37</v>
      </c>
      <c r="F115" s="213">
        <v>602812</v>
      </c>
      <c r="G115" s="213">
        <v>602812</v>
      </c>
      <c r="H115" s="147" t="str">
        <f t="shared" si="1"/>
        <v>010480200Ч0010120</v>
      </c>
    </row>
    <row r="116" spans="1:8" ht="25.5">
      <c r="A116" s="216" t="s">
        <v>1081</v>
      </c>
      <c r="B116" s="211" t="s">
        <v>5</v>
      </c>
      <c r="C116" s="211" t="s">
        <v>420</v>
      </c>
      <c r="D116" s="211" t="s">
        <v>778</v>
      </c>
      <c r="E116" s="211" t="s">
        <v>411</v>
      </c>
      <c r="F116" s="213">
        <v>462989</v>
      </c>
      <c r="G116" s="213">
        <v>462989</v>
      </c>
      <c r="H116" s="147" t="str">
        <f t="shared" si="1"/>
        <v>010480200Ч0010121</v>
      </c>
    </row>
    <row r="117" spans="1:8" ht="63.75">
      <c r="A117" s="222" t="s">
        <v>1195</v>
      </c>
      <c r="B117" s="211" t="s">
        <v>5</v>
      </c>
      <c r="C117" s="211" t="s">
        <v>420</v>
      </c>
      <c r="D117" s="211" t="s">
        <v>778</v>
      </c>
      <c r="E117" s="211" t="s">
        <v>1196</v>
      </c>
      <c r="F117" s="213">
        <v>139823</v>
      </c>
      <c r="G117" s="213">
        <v>139823</v>
      </c>
      <c r="H117" s="147" t="str">
        <f t="shared" si="1"/>
        <v>010480200Ч0010129</v>
      </c>
    </row>
    <row r="118" spans="1:8">
      <c r="A118" s="216" t="s">
        <v>1489</v>
      </c>
      <c r="B118" s="211" t="s">
        <v>5</v>
      </c>
      <c r="C118" s="211" t="s">
        <v>1490</v>
      </c>
      <c r="D118" s="211" t="s">
        <v>1468</v>
      </c>
      <c r="E118" s="211" t="s">
        <v>1468</v>
      </c>
      <c r="F118" s="213">
        <v>2900</v>
      </c>
      <c r="G118" s="213">
        <v>0</v>
      </c>
      <c r="H118" s="147" t="str">
        <f t="shared" si="1"/>
        <v>0105</v>
      </c>
    </row>
    <row r="119" spans="1:8" ht="25.5">
      <c r="A119" s="222" t="s">
        <v>710</v>
      </c>
      <c r="B119" s="211" t="s">
        <v>5</v>
      </c>
      <c r="C119" s="211" t="s">
        <v>1490</v>
      </c>
      <c r="D119" s="211" t="s">
        <v>1151</v>
      </c>
      <c r="E119" s="211" t="s">
        <v>1468</v>
      </c>
      <c r="F119" s="213">
        <v>2900</v>
      </c>
      <c r="G119" s="213">
        <v>0</v>
      </c>
      <c r="H119" s="147" t="str">
        <f t="shared" si="1"/>
        <v>01059000000000</v>
      </c>
    </row>
    <row r="120" spans="1:8" ht="89.25">
      <c r="A120" s="216" t="s">
        <v>533</v>
      </c>
      <c r="B120" s="211" t="s">
        <v>5</v>
      </c>
      <c r="C120" s="211" t="s">
        <v>1490</v>
      </c>
      <c r="D120" s="211" t="s">
        <v>1491</v>
      </c>
      <c r="E120" s="211" t="s">
        <v>1468</v>
      </c>
      <c r="F120" s="213">
        <v>2900</v>
      </c>
      <c r="G120" s="213">
        <v>0</v>
      </c>
      <c r="H120" s="147" t="str">
        <f t="shared" si="1"/>
        <v>01059040000000</v>
      </c>
    </row>
    <row r="121" spans="1:8" ht="89.25">
      <c r="A121" s="216" t="s">
        <v>533</v>
      </c>
      <c r="B121" s="211" t="s">
        <v>5</v>
      </c>
      <c r="C121" s="211" t="s">
        <v>1490</v>
      </c>
      <c r="D121" s="211" t="s">
        <v>779</v>
      </c>
      <c r="E121" s="211" t="s">
        <v>1468</v>
      </c>
      <c r="F121" s="213">
        <v>2900</v>
      </c>
      <c r="G121" s="213">
        <v>0</v>
      </c>
      <c r="H121" s="147" t="str">
        <f t="shared" si="1"/>
        <v>01059040051200</v>
      </c>
    </row>
    <row r="122" spans="1:8" ht="38.25">
      <c r="A122" s="216" t="s">
        <v>1755</v>
      </c>
      <c r="B122" s="211" t="s">
        <v>5</v>
      </c>
      <c r="C122" s="211" t="s">
        <v>1490</v>
      </c>
      <c r="D122" s="211" t="s">
        <v>779</v>
      </c>
      <c r="E122" s="211" t="s">
        <v>1756</v>
      </c>
      <c r="F122" s="213">
        <v>2900</v>
      </c>
      <c r="G122" s="213">
        <v>0</v>
      </c>
      <c r="H122" s="147" t="str">
        <f t="shared" si="1"/>
        <v>01059040051200200</v>
      </c>
    </row>
    <row r="123" spans="1:8" ht="38.25">
      <c r="A123" s="216" t="s">
        <v>1502</v>
      </c>
      <c r="B123" s="211" t="s">
        <v>5</v>
      </c>
      <c r="C123" s="211" t="s">
        <v>1490</v>
      </c>
      <c r="D123" s="211" t="s">
        <v>779</v>
      </c>
      <c r="E123" s="211" t="s">
        <v>1503</v>
      </c>
      <c r="F123" s="213">
        <v>2900</v>
      </c>
      <c r="G123" s="213">
        <v>0</v>
      </c>
      <c r="H123" s="147" t="str">
        <f t="shared" si="1"/>
        <v>01059040051200240</v>
      </c>
    </row>
    <row r="124" spans="1:8">
      <c r="A124" s="216" t="s">
        <v>1577</v>
      </c>
      <c r="B124" s="211" t="s">
        <v>5</v>
      </c>
      <c r="C124" s="211" t="s">
        <v>1490</v>
      </c>
      <c r="D124" s="211" t="s">
        <v>779</v>
      </c>
      <c r="E124" s="211" t="s">
        <v>416</v>
      </c>
      <c r="F124" s="213">
        <v>2900</v>
      </c>
      <c r="G124" s="213">
        <v>0</v>
      </c>
      <c r="H124" s="147" t="str">
        <f t="shared" si="1"/>
        <v>01059040051200244</v>
      </c>
    </row>
    <row r="125" spans="1:8">
      <c r="A125" s="216" t="s">
        <v>261</v>
      </c>
      <c r="B125" s="211" t="s">
        <v>5</v>
      </c>
      <c r="C125" s="211" t="s">
        <v>424</v>
      </c>
      <c r="D125" s="211" t="s">
        <v>1468</v>
      </c>
      <c r="E125" s="211" t="s">
        <v>1468</v>
      </c>
      <c r="F125" s="213">
        <v>412900</v>
      </c>
      <c r="G125" s="213">
        <v>412900</v>
      </c>
      <c r="H125" s="147" t="str">
        <f t="shared" si="1"/>
        <v>0113</v>
      </c>
    </row>
    <row r="126" spans="1:8" ht="51">
      <c r="A126" s="216" t="s">
        <v>549</v>
      </c>
      <c r="B126" s="211" t="s">
        <v>5</v>
      </c>
      <c r="C126" s="211" t="s">
        <v>424</v>
      </c>
      <c r="D126" s="211" t="s">
        <v>1117</v>
      </c>
      <c r="E126" s="211" t="s">
        <v>1468</v>
      </c>
      <c r="F126" s="213">
        <v>215000</v>
      </c>
      <c r="G126" s="213">
        <v>215000</v>
      </c>
      <c r="H126" s="147" t="str">
        <f t="shared" si="1"/>
        <v>01130400000000</v>
      </c>
    </row>
    <row r="127" spans="1:8" ht="51">
      <c r="A127" s="216" t="s">
        <v>1442</v>
      </c>
      <c r="B127" s="211" t="s">
        <v>5</v>
      </c>
      <c r="C127" s="211" t="s">
        <v>424</v>
      </c>
      <c r="D127" s="211" t="s">
        <v>1426</v>
      </c>
      <c r="E127" s="211" t="s">
        <v>1468</v>
      </c>
      <c r="F127" s="213">
        <v>215000</v>
      </c>
      <c r="G127" s="213">
        <v>215000</v>
      </c>
      <c r="H127" s="147" t="str">
        <f t="shared" si="1"/>
        <v>01130430000000</v>
      </c>
    </row>
    <row r="128" spans="1:8" ht="114.75">
      <c r="A128" s="216" t="s">
        <v>1440</v>
      </c>
      <c r="B128" s="211" t="s">
        <v>5</v>
      </c>
      <c r="C128" s="211" t="s">
        <v>424</v>
      </c>
      <c r="D128" s="211" t="s">
        <v>1420</v>
      </c>
      <c r="E128" s="211" t="s">
        <v>1468</v>
      </c>
      <c r="F128" s="213">
        <v>215000</v>
      </c>
      <c r="G128" s="213">
        <v>215000</v>
      </c>
      <c r="H128" s="147" t="str">
        <f t="shared" si="1"/>
        <v>01130430080000</v>
      </c>
    </row>
    <row r="129" spans="1:8" ht="38.25">
      <c r="A129" s="222" t="s">
        <v>1755</v>
      </c>
      <c r="B129" s="211" t="s">
        <v>5</v>
      </c>
      <c r="C129" s="211" t="s">
        <v>424</v>
      </c>
      <c r="D129" s="211" t="s">
        <v>1420</v>
      </c>
      <c r="E129" s="211" t="s">
        <v>1756</v>
      </c>
      <c r="F129" s="213">
        <v>215000</v>
      </c>
      <c r="G129" s="213">
        <v>215000</v>
      </c>
      <c r="H129" s="147" t="str">
        <f t="shared" si="1"/>
        <v>01130430080000200</v>
      </c>
    </row>
    <row r="130" spans="1:8" ht="38.25">
      <c r="A130" s="216" t="s">
        <v>1502</v>
      </c>
      <c r="B130" s="211" t="s">
        <v>5</v>
      </c>
      <c r="C130" s="211" t="s">
        <v>424</v>
      </c>
      <c r="D130" s="211" t="s">
        <v>1420</v>
      </c>
      <c r="E130" s="211" t="s">
        <v>1503</v>
      </c>
      <c r="F130" s="213">
        <v>215000</v>
      </c>
      <c r="G130" s="213">
        <v>215000</v>
      </c>
      <c r="H130" s="147" t="str">
        <f t="shared" si="1"/>
        <v>01130430080000240</v>
      </c>
    </row>
    <row r="131" spans="1:8">
      <c r="A131" s="216" t="s">
        <v>1577</v>
      </c>
      <c r="B131" s="211" t="s">
        <v>5</v>
      </c>
      <c r="C131" s="211" t="s">
        <v>424</v>
      </c>
      <c r="D131" s="211" t="s">
        <v>1420</v>
      </c>
      <c r="E131" s="211" t="s">
        <v>416</v>
      </c>
      <c r="F131" s="213">
        <v>215000</v>
      </c>
      <c r="G131" s="213">
        <v>215000</v>
      </c>
      <c r="H131" s="147" t="str">
        <f t="shared" si="1"/>
        <v>01130430080000244</v>
      </c>
    </row>
    <row r="132" spans="1:8" ht="38.25">
      <c r="A132" s="216" t="s">
        <v>708</v>
      </c>
      <c r="B132" s="211" t="s">
        <v>5</v>
      </c>
      <c r="C132" s="211" t="s">
        <v>424</v>
      </c>
      <c r="D132" s="211" t="s">
        <v>1146</v>
      </c>
      <c r="E132" s="211" t="s">
        <v>1468</v>
      </c>
      <c r="F132" s="213">
        <v>137900</v>
      </c>
      <c r="G132" s="213">
        <v>137900</v>
      </c>
      <c r="H132" s="147" t="str">
        <f t="shared" ref="H132:H191" si="2">CONCATENATE(C132,,D132,E132)</f>
        <v>01138000000000</v>
      </c>
    </row>
    <row r="133" spans="1:8" ht="51">
      <c r="A133" s="222" t="s">
        <v>709</v>
      </c>
      <c r="B133" s="211" t="s">
        <v>5</v>
      </c>
      <c r="C133" s="211" t="s">
        <v>424</v>
      </c>
      <c r="D133" s="211" t="s">
        <v>1148</v>
      </c>
      <c r="E133" s="211" t="s">
        <v>1468</v>
      </c>
      <c r="F133" s="213">
        <v>137900</v>
      </c>
      <c r="G133" s="213">
        <v>137900</v>
      </c>
      <c r="H133" s="147" t="str">
        <f t="shared" si="2"/>
        <v>01138020000000</v>
      </c>
    </row>
    <row r="134" spans="1:8" ht="89.25">
      <c r="A134" s="216" t="s">
        <v>636</v>
      </c>
      <c r="B134" s="211" t="s">
        <v>5</v>
      </c>
      <c r="C134" s="211" t="s">
        <v>424</v>
      </c>
      <c r="D134" s="211" t="s">
        <v>781</v>
      </c>
      <c r="E134" s="211" t="s">
        <v>1468</v>
      </c>
      <c r="F134" s="213">
        <v>63200</v>
      </c>
      <c r="G134" s="213">
        <v>63200</v>
      </c>
      <c r="H134" s="147" t="str">
        <f t="shared" si="2"/>
        <v>01138020074290</v>
      </c>
    </row>
    <row r="135" spans="1:8" ht="76.5">
      <c r="A135" s="222" t="s">
        <v>1754</v>
      </c>
      <c r="B135" s="211" t="s">
        <v>5</v>
      </c>
      <c r="C135" s="211" t="s">
        <v>424</v>
      </c>
      <c r="D135" s="211" t="s">
        <v>781</v>
      </c>
      <c r="E135" s="211" t="s">
        <v>322</v>
      </c>
      <c r="F135" s="213">
        <v>60280</v>
      </c>
      <c r="G135" s="213">
        <v>60280</v>
      </c>
      <c r="H135" s="147" t="str">
        <f t="shared" si="2"/>
        <v>01138020074290100</v>
      </c>
    </row>
    <row r="136" spans="1:8" ht="38.25">
      <c r="A136" s="216" t="s">
        <v>1509</v>
      </c>
      <c r="B136" s="211" t="s">
        <v>5</v>
      </c>
      <c r="C136" s="211" t="s">
        <v>424</v>
      </c>
      <c r="D136" s="211" t="s">
        <v>781</v>
      </c>
      <c r="E136" s="211" t="s">
        <v>37</v>
      </c>
      <c r="F136" s="213">
        <v>60280</v>
      </c>
      <c r="G136" s="213">
        <v>60280</v>
      </c>
      <c r="H136" s="147" t="str">
        <f t="shared" si="2"/>
        <v>01138020074290120</v>
      </c>
    </row>
    <row r="137" spans="1:8" ht="25.5">
      <c r="A137" s="222" t="s">
        <v>1081</v>
      </c>
      <c r="B137" s="211" t="s">
        <v>5</v>
      </c>
      <c r="C137" s="211" t="s">
        <v>424</v>
      </c>
      <c r="D137" s="211" t="s">
        <v>781</v>
      </c>
      <c r="E137" s="211" t="s">
        <v>411</v>
      </c>
      <c r="F137" s="213">
        <v>46298</v>
      </c>
      <c r="G137" s="213">
        <v>46298</v>
      </c>
      <c r="H137" s="147" t="str">
        <f t="shared" si="2"/>
        <v>01138020074290121</v>
      </c>
    </row>
    <row r="138" spans="1:8" ht="63.75">
      <c r="A138" s="216" t="s">
        <v>1195</v>
      </c>
      <c r="B138" s="211" t="s">
        <v>5</v>
      </c>
      <c r="C138" s="211" t="s">
        <v>424</v>
      </c>
      <c r="D138" s="211" t="s">
        <v>781</v>
      </c>
      <c r="E138" s="211" t="s">
        <v>1196</v>
      </c>
      <c r="F138" s="213">
        <v>13982</v>
      </c>
      <c r="G138" s="213">
        <v>13982</v>
      </c>
      <c r="H138" s="147" t="str">
        <f t="shared" si="2"/>
        <v>01138020074290129</v>
      </c>
    </row>
    <row r="139" spans="1:8" ht="38.25">
      <c r="A139" s="216" t="s">
        <v>1755</v>
      </c>
      <c r="B139" s="211" t="s">
        <v>5</v>
      </c>
      <c r="C139" s="211" t="s">
        <v>424</v>
      </c>
      <c r="D139" s="211" t="s">
        <v>781</v>
      </c>
      <c r="E139" s="211" t="s">
        <v>1756</v>
      </c>
      <c r="F139" s="213">
        <v>2920</v>
      </c>
      <c r="G139" s="213">
        <v>2920</v>
      </c>
      <c r="H139" s="147" t="str">
        <f t="shared" si="2"/>
        <v>01138020074290200</v>
      </c>
    </row>
    <row r="140" spans="1:8" ht="38.25">
      <c r="A140" s="216" t="s">
        <v>1502</v>
      </c>
      <c r="B140" s="211" t="s">
        <v>5</v>
      </c>
      <c r="C140" s="211" t="s">
        <v>424</v>
      </c>
      <c r="D140" s="211" t="s">
        <v>781</v>
      </c>
      <c r="E140" s="211" t="s">
        <v>1503</v>
      </c>
      <c r="F140" s="213">
        <v>2920</v>
      </c>
      <c r="G140" s="213">
        <v>2920</v>
      </c>
      <c r="H140" s="147" t="str">
        <f t="shared" si="2"/>
        <v>01138020074290240</v>
      </c>
    </row>
    <row r="141" spans="1:8">
      <c r="A141" s="216" t="s">
        <v>1577</v>
      </c>
      <c r="B141" s="211" t="s">
        <v>5</v>
      </c>
      <c r="C141" s="211" t="s">
        <v>424</v>
      </c>
      <c r="D141" s="211" t="s">
        <v>781</v>
      </c>
      <c r="E141" s="211" t="s">
        <v>416</v>
      </c>
      <c r="F141" s="213">
        <v>2920</v>
      </c>
      <c r="G141" s="213">
        <v>2920</v>
      </c>
      <c r="H141" s="147" t="str">
        <f t="shared" si="2"/>
        <v>01138020074290244</v>
      </c>
    </row>
    <row r="142" spans="1:8" ht="51">
      <c r="A142" s="216" t="s">
        <v>425</v>
      </c>
      <c r="B142" s="211" t="s">
        <v>5</v>
      </c>
      <c r="C142" s="211" t="s">
        <v>424</v>
      </c>
      <c r="D142" s="211" t="s">
        <v>782</v>
      </c>
      <c r="E142" s="211" t="s">
        <v>1468</v>
      </c>
      <c r="F142" s="213">
        <v>74700</v>
      </c>
      <c r="G142" s="213">
        <v>74700</v>
      </c>
      <c r="H142" s="147" t="str">
        <f t="shared" si="2"/>
        <v>01138020075190</v>
      </c>
    </row>
    <row r="143" spans="1:8" ht="76.5">
      <c r="A143" s="216" t="s">
        <v>1754</v>
      </c>
      <c r="B143" s="211" t="s">
        <v>5</v>
      </c>
      <c r="C143" s="211" t="s">
        <v>424</v>
      </c>
      <c r="D143" s="211" t="s">
        <v>782</v>
      </c>
      <c r="E143" s="211" t="s">
        <v>322</v>
      </c>
      <c r="F143" s="213">
        <v>61468</v>
      </c>
      <c r="G143" s="213">
        <v>61468</v>
      </c>
      <c r="H143" s="147" t="str">
        <f t="shared" si="2"/>
        <v>01138020075190100</v>
      </c>
    </row>
    <row r="144" spans="1:8" ht="38.25">
      <c r="A144" s="216" t="s">
        <v>1509</v>
      </c>
      <c r="B144" s="211" t="s">
        <v>5</v>
      </c>
      <c r="C144" s="211" t="s">
        <v>424</v>
      </c>
      <c r="D144" s="211" t="s">
        <v>782</v>
      </c>
      <c r="E144" s="211" t="s">
        <v>37</v>
      </c>
      <c r="F144" s="213">
        <v>61468</v>
      </c>
      <c r="G144" s="213">
        <v>61468</v>
      </c>
      <c r="H144" s="147" t="str">
        <f t="shared" si="2"/>
        <v>01138020075190120</v>
      </c>
    </row>
    <row r="145" spans="1:8" ht="25.5">
      <c r="A145" s="216" t="s">
        <v>1081</v>
      </c>
      <c r="B145" s="211" t="s">
        <v>5</v>
      </c>
      <c r="C145" s="211" t="s">
        <v>424</v>
      </c>
      <c r="D145" s="211" t="s">
        <v>782</v>
      </c>
      <c r="E145" s="211" t="s">
        <v>411</v>
      </c>
      <c r="F145" s="213">
        <v>47211</v>
      </c>
      <c r="G145" s="213">
        <v>47211</v>
      </c>
      <c r="H145" s="147" t="str">
        <f t="shared" si="2"/>
        <v>01138020075190121</v>
      </c>
    </row>
    <row r="146" spans="1:8" ht="63.75">
      <c r="A146" s="222" t="s">
        <v>1195</v>
      </c>
      <c r="B146" s="211" t="s">
        <v>5</v>
      </c>
      <c r="C146" s="211" t="s">
        <v>424</v>
      </c>
      <c r="D146" s="211" t="s">
        <v>782</v>
      </c>
      <c r="E146" s="211" t="s">
        <v>1196</v>
      </c>
      <c r="F146" s="213">
        <v>14257</v>
      </c>
      <c r="G146" s="213">
        <v>14257</v>
      </c>
      <c r="H146" s="147" t="str">
        <f t="shared" si="2"/>
        <v>01138020075190129</v>
      </c>
    </row>
    <row r="147" spans="1:8" ht="38.25">
      <c r="A147" s="216" t="s">
        <v>1755</v>
      </c>
      <c r="B147" s="211" t="s">
        <v>5</v>
      </c>
      <c r="C147" s="211" t="s">
        <v>424</v>
      </c>
      <c r="D147" s="211" t="s">
        <v>782</v>
      </c>
      <c r="E147" s="211" t="s">
        <v>1756</v>
      </c>
      <c r="F147" s="213">
        <v>13232</v>
      </c>
      <c r="G147" s="213">
        <v>13232</v>
      </c>
      <c r="H147" s="147" t="str">
        <f t="shared" si="2"/>
        <v>01138020075190200</v>
      </c>
    </row>
    <row r="148" spans="1:8" ht="38.25">
      <c r="A148" s="216" t="s">
        <v>1502</v>
      </c>
      <c r="B148" s="211" t="s">
        <v>5</v>
      </c>
      <c r="C148" s="211" t="s">
        <v>424</v>
      </c>
      <c r="D148" s="211" t="s">
        <v>782</v>
      </c>
      <c r="E148" s="211" t="s">
        <v>1503</v>
      </c>
      <c r="F148" s="213">
        <v>13232</v>
      </c>
      <c r="G148" s="213">
        <v>13232</v>
      </c>
      <c r="H148" s="147" t="str">
        <f t="shared" si="2"/>
        <v>01138020075190240</v>
      </c>
    </row>
    <row r="149" spans="1:8">
      <c r="A149" s="216" t="s">
        <v>1577</v>
      </c>
      <c r="B149" s="211" t="s">
        <v>5</v>
      </c>
      <c r="C149" s="211" t="s">
        <v>424</v>
      </c>
      <c r="D149" s="211" t="s">
        <v>782</v>
      </c>
      <c r="E149" s="211" t="s">
        <v>416</v>
      </c>
      <c r="F149" s="213">
        <v>13232</v>
      </c>
      <c r="G149" s="213">
        <v>13232</v>
      </c>
      <c r="H149" s="147" t="str">
        <f t="shared" si="2"/>
        <v>01138020075190244</v>
      </c>
    </row>
    <row r="150" spans="1:8" ht="25.5">
      <c r="A150" s="222" t="s">
        <v>710</v>
      </c>
      <c r="B150" s="211" t="s">
        <v>5</v>
      </c>
      <c r="C150" s="211" t="s">
        <v>424</v>
      </c>
      <c r="D150" s="211" t="s">
        <v>1151</v>
      </c>
      <c r="E150" s="211" t="s">
        <v>1468</v>
      </c>
      <c r="F150" s="213">
        <v>60000</v>
      </c>
      <c r="G150" s="213">
        <v>60000</v>
      </c>
      <c r="H150" s="147" t="str">
        <f t="shared" si="2"/>
        <v>01139000000000</v>
      </c>
    </row>
    <row r="151" spans="1:8" ht="63.75">
      <c r="A151" s="216" t="s">
        <v>594</v>
      </c>
      <c r="B151" s="211" t="s">
        <v>5</v>
      </c>
      <c r="C151" s="211" t="s">
        <v>424</v>
      </c>
      <c r="D151" s="211" t="s">
        <v>1154</v>
      </c>
      <c r="E151" s="211" t="s">
        <v>1468</v>
      </c>
      <c r="F151" s="213">
        <v>60000</v>
      </c>
      <c r="G151" s="213">
        <v>60000</v>
      </c>
      <c r="H151" s="147" t="str">
        <f t="shared" si="2"/>
        <v>01139060000000</v>
      </c>
    </row>
    <row r="152" spans="1:8" ht="63.75">
      <c r="A152" s="222" t="s">
        <v>594</v>
      </c>
      <c r="B152" s="211" t="s">
        <v>5</v>
      </c>
      <c r="C152" s="211" t="s">
        <v>424</v>
      </c>
      <c r="D152" s="211" t="s">
        <v>783</v>
      </c>
      <c r="E152" s="211" t="s">
        <v>1468</v>
      </c>
      <c r="F152" s="213">
        <v>60000</v>
      </c>
      <c r="G152" s="213">
        <v>60000</v>
      </c>
      <c r="H152" s="147" t="str">
        <f t="shared" si="2"/>
        <v>01139060080000</v>
      </c>
    </row>
    <row r="153" spans="1:8" ht="25.5">
      <c r="A153" s="216" t="s">
        <v>1759</v>
      </c>
      <c r="B153" s="211" t="s">
        <v>5</v>
      </c>
      <c r="C153" s="211" t="s">
        <v>424</v>
      </c>
      <c r="D153" s="211" t="s">
        <v>783</v>
      </c>
      <c r="E153" s="211" t="s">
        <v>1760</v>
      </c>
      <c r="F153" s="213">
        <v>60000</v>
      </c>
      <c r="G153" s="213">
        <v>60000</v>
      </c>
      <c r="H153" s="147" t="str">
        <f t="shared" si="2"/>
        <v>01139060080000300</v>
      </c>
    </row>
    <row r="154" spans="1:8" ht="25.5">
      <c r="A154" s="222" t="s">
        <v>426</v>
      </c>
      <c r="B154" s="211" t="s">
        <v>5</v>
      </c>
      <c r="C154" s="211" t="s">
        <v>424</v>
      </c>
      <c r="D154" s="211" t="s">
        <v>783</v>
      </c>
      <c r="E154" s="211" t="s">
        <v>427</v>
      </c>
      <c r="F154" s="213">
        <v>60000</v>
      </c>
      <c r="G154" s="213">
        <v>60000</v>
      </c>
      <c r="H154" s="147" t="str">
        <f t="shared" si="2"/>
        <v>01139060080000330</v>
      </c>
    </row>
    <row r="155" spans="1:8" ht="38.25">
      <c r="A155" s="216" t="s">
        <v>282</v>
      </c>
      <c r="B155" s="211" t="s">
        <v>5</v>
      </c>
      <c r="C155" s="211" t="s">
        <v>1359</v>
      </c>
      <c r="D155" s="211" t="s">
        <v>1468</v>
      </c>
      <c r="E155" s="211" t="s">
        <v>1468</v>
      </c>
      <c r="F155" s="213">
        <v>3020564</v>
      </c>
      <c r="G155" s="213">
        <v>3020564</v>
      </c>
      <c r="H155" s="147" t="str">
        <f t="shared" si="2"/>
        <v>0300</v>
      </c>
    </row>
    <row r="156" spans="1:8" ht="51">
      <c r="A156" s="216" t="s">
        <v>305</v>
      </c>
      <c r="B156" s="211" t="s">
        <v>5</v>
      </c>
      <c r="C156" s="211" t="s">
        <v>428</v>
      </c>
      <c r="D156" s="211" t="s">
        <v>1468</v>
      </c>
      <c r="E156" s="211" t="s">
        <v>1468</v>
      </c>
      <c r="F156" s="213">
        <v>2901942</v>
      </c>
      <c r="G156" s="213">
        <v>2901942</v>
      </c>
      <c r="H156" s="147" t="str">
        <f t="shared" si="2"/>
        <v>0309</v>
      </c>
    </row>
    <row r="157" spans="1:8" ht="51">
      <c r="A157" s="216" t="s">
        <v>549</v>
      </c>
      <c r="B157" s="211" t="s">
        <v>5</v>
      </c>
      <c r="C157" s="211" t="s">
        <v>428</v>
      </c>
      <c r="D157" s="211" t="s">
        <v>1117</v>
      </c>
      <c r="E157" s="211" t="s">
        <v>1468</v>
      </c>
      <c r="F157" s="213">
        <v>2901942</v>
      </c>
      <c r="G157" s="213">
        <v>2901942</v>
      </c>
      <c r="H157" s="147" t="str">
        <f t="shared" si="2"/>
        <v>03090400000000</v>
      </c>
    </row>
    <row r="158" spans="1:8" ht="89.25">
      <c r="A158" s="216" t="s">
        <v>550</v>
      </c>
      <c r="B158" s="211" t="s">
        <v>5</v>
      </c>
      <c r="C158" s="211" t="s">
        <v>428</v>
      </c>
      <c r="D158" s="211" t="s">
        <v>1118</v>
      </c>
      <c r="E158" s="211" t="s">
        <v>1468</v>
      </c>
      <c r="F158" s="213">
        <v>2901942</v>
      </c>
      <c r="G158" s="213">
        <v>2901942</v>
      </c>
      <c r="H158" s="147" t="str">
        <f t="shared" si="2"/>
        <v>03090410000000</v>
      </c>
    </row>
    <row r="159" spans="1:8" ht="165.75">
      <c r="A159" s="53" t="s">
        <v>429</v>
      </c>
      <c r="B159" s="211" t="s">
        <v>5</v>
      </c>
      <c r="C159" s="211" t="s">
        <v>428</v>
      </c>
      <c r="D159" s="211" t="s">
        <v>784</v>
      </c>
      <c r="E159" s="211" t="s">
        <v>1468</v>
      </c>
      <c r="F159" s="213">
        <v>2803032</v>
      </c>
      <c r="G159" s="213">
        <v>2803032</v>
      </c>
      <c r="H159" s="147" t="str">
        <f t="shared" si="2"/>
        <v>03090410040010</v>
      </c>
    </row>
    <row r="160" spans="1:8" ht="76.5">
      <c r="A160" s="216" t="s">
        <v>1754</v>
      </c>
      <c r="B160" s="211" t="s">
        <v>5</v>
      </c>
      <c r="C160" s="211" t="s">
        <v>428</v>
      </c>
      <c r="D160" s="211" t="s">
        <v>784</v>
      </c>
      <c r="E160" s="211" t="s">
        <v>322</v>
      </c>
      <c r="F160" s="213">
        <v>2803032</v>
      </c>
      <c r="G160" s="213">
        <v>2803032</v>
      </c>
      <c r="H160" s="147" t="str">
        <f t="shared" si="2"/>
        <v>03090410040010100</v>
      </c>
    </row>
    <row r="161" spans="1:8" ht="25.5">
      <c r="A161" s="216" t="s">
        <v>1487</v>
      </c>
      <c r="B161" s="211" t="s">
        <v>5</v>
      </c>
      <c r="C161" s="211" t="s">
        <v>428</v>
      </c>
      <c r="D161" s="211" t="s">
        <v>784</v>
      </c>
      <c r="E161" s="211" t="s">
        <v>165</v>
      </c>
      <c r="F161" s="213">
        <v>2803032</v>
      </c>
      <c r="G161" s="213">
        <v>2803032</v>
      </c>
      <c r="H161" s="147" t="str">
        <f t="shared" si="2"/>
        <v>03090410040010110</v>
      </c>
    </row>
    <row r="162" spans="1:8">
      <c r="A162" s="216" t="s">
        <v>1360</v>
      </c>
      <c r="B162" s="211" t="s">
        <v>5</v>
      </c>
      <c r="C162" s="211" t="s">
        <v>428</v>
      </c>
      <c r="D162" s="211" t="s">
        <v>784</v>
      </c>
      <c r="E162" s="211" t="s">
        <v>430</v>
      </c>
      <c r="F162" s="213">
        <v>2152867</v>
      </c>
      <c r="G162" s="213">
        <v>2152867</v>
      </c>
      <c r="H162" s="147" t="str">
        <f t="shared" si="2"/>
        <v>03090410040010111</v>
      </c>
    </row>
    <row r="163" spans="1:8" ht="51">
      <c r="A163" s="216" t="s">
        <v>1361</v>
      </c>
      <c r="B163" s="211" t="s">
        <v>5</v>
      </c>
      <c r="C163" s="211" t="s">
        <v>428</v>
      </c>
      <c r="D163" s="211" t="s">
        <v>784</v>
      </c>
      <c r="E163" s="211" t="s">
        <v>1197</v>
      </c>
      <c r="F163" s="213">
        <v>650165</v>
      </c>
      <c r="G163" s="213">
        <v>650165</v>
      </c>
      <c r="H163" s="147" t="str">
        <f t="shared" si="2"/>
        <v>03090410040010119</v>
      </c>
    </row>
    <row r="164" spans="1:8" ht="204">
      <c r="A164" s="216" t="s">
        <v>736</v>
      </c>
      <c r="B164" s="211" t="s">
        <v>5</v>
      </c>
      <c r="C164" s="211" t="s">
        <v>428</v>
      </c>
      <c r="D164" s="211" t="s">
        <v>785</v>
      </c>
      <c r="E164" s="211" t="s">
        <v>1468</v>
      </c>
      <c r="F164" s="213">
        <v>98910</v>
      </c>
      <c r="G164" s="213">
        <v>98910</v>
      </c>
      <c r="H164" s="147" t="str">
        <f t="shared" si="2"/>
        <v>03090410041010</v>
      </c>
    </row>
    <row r="165" spans="1:8" ht="76.5">
      <c r="A165" s="216" t="s">
        <v>1754</v>
      </c>
      <c r="B165" s="211" t="s">
        <v>5</v>
      </c>
      <c r="C165" s="211" t="s">
        <v>428</v>
      </c>
      <c r="D165" s="211" t="s">
        <v>785</v>
      </c>
      <c r="E165" s="211" t="s">
        <v>322</v>
      </c>
      <c r="F165" s="213">
        <v>98910</v>
      </c>
      <c r="G165" s="213">
        <v>98910</v>
      </c>
      <c r="H165" s="147" t="str">
        <f t="shared" si="2"/>
        <v>03090410041010100</v>
      </c>
    </row>
    <row r="166" spans="1:8" ht="25.5">
      <c r="A166" s="216" t="s">
        <v>1487</v>
      </c>
      <c r="B166" s="211" t="s">
        <v>5</v>
      </c>
      <c r="C166" s="211" t="s">
        <v>428</v>
      </c>
      <c r="D166" s="211" t="s">
        <v>785</v>
      </c>
      <c r="E166" s="211" t="s">
        <v>165</v>
      </c>
      <c r="F166" s="213">
        <v>98910</v>
      </c>
      <c r="G166" s="213">
        <v>98910</v>
      </c>
      <c r="H166" s="147" t="str">
        <f t="shared" si="2"/>
        <v>03090410041010110</v>
      </c>
    </row>
    <row r="167" spans="1:8">
      <c r="A167" s="216" t="s">
        <v>1360</v>
      </c>
      <c r="B167" s="211" t="s">
        <v>5</v>
      </c>
      <c r="C167" s="211" t="s">
        <v>428</v>
      </c>
      <c r="D167" s="211" t="s">
        <v>785</v>
      </c>
      <c r="E167" s="211" t="s">
        <v>430</v>
      </c>
      <c r="F167" s="213">
        <v>75968</v>
      </c>
      <c r="G167" s="213">
        <v>75968</v>
      </c>
      <c r="H167" s="147" t="str">
        <f t="shared" si="2"/>
        <v>03090410041010111</v>
      </c>
    </row>
    <row r="168" spans="1:8" ht="51">
      <c r="A168" s="216" t="s">
        <v>1361</v>
      </c>
      <c r="B168" s="211" t="s">
        <v>5</v>
      </c>
      <c r="C168" s="211" t="s">
        <v>428</v>
      </c>
      <c r="D168" s="211" t="s">
        <v>785</v>
      </c>
      <c r="E168" s="211" t="s">
        <v>1197</v>
      </c>
      <c r="F168" s="213">
        <v>22942</v>
      </c>
      <c r="G168" s="213">
        <v>22942</v>
      </c>
      <c r="H168" s="147" t="str">
        <f t="shared" si="2"/>
        <v>03090410041010119</v>
      </c>
    </row>
    <row r="169" spans="1:8">
      <c r="A169" s="216" t="s">
        <v>133</v>
      </c>
      <c r="B169" s="211" t="s">
        <v>5</v>
      </c>
      <c r="C169" s="211" t="s">
        <v>433</v>
      </c>
      <c r="D169" s="211" t="s">
        <v>1468</v>
      </c>
      <c r="E169" s="211" t="s">
        <v>1468</v>
      </c>
      <c r="F169" s="213">
        <v>118622</v>
      </c>
      <c r="G169" s="213">
        <v>118622</v>
      </c>
      <c r="H169" s="147" t="str">
        <f t="shared" si="2"/>
        <v>0310</v>
      </c>
    </row>
    <row r="170" spans="1:8" ht="51">
      <c r="A170" s="216" t="s">
        <v>549</v>
      </c>
      <c r="B170" s="211" t="s">
        <v>5</v>
      </c>
      <c r="C170" s="211" t="s">
        <v>433</v>
      </c>
      <c r="D170" s="211" t="s">
        <v>1117</v>
      </c>
      <c r="E170" s="211" t="s">
        <v>1468</v>
      </c>
      <c r="F170" s="213">
        <v>118622</v>
      </c>
      <c r="G170" s="213">
        <v>118622</v>
      </c>
      <c r="H170" s="147" t="str">
        <f t="shared" si="2"/>
        <v>03100400000000</v>
      </c>
    </row>
    <row r="171" spans="1:8" ht="25.5">
      <c r="A171" s="216" t="s">
        <v>552</v>
      </c>
      <c r="B171" s="211" t="s">
        <v>5</v>
      </c>
      <c r="C171" s="211" t="s">
        <v>433</v>
      </c>
      <c r="D171" s="211" t="s">
        <v>1119</v>
      </c>
      <c r="E171" s="211" t="s">
        <v>1468</v>
      </c>
      <c r="F171" s="213">
        <v>118622</v>
      </c>
      <c r="G171" s="213">
        <v>118622</v>
      </c>
      <c r="H171" s="147" t="str">
        <f t="shared" si="2"/>
        <v>03100420000000</v>
      </c>
    </row>
    <row r="172" spans="1:8" ht="127.5">
      <c r="A172" s="222" t="s">
        <v>437</v>
      </c>
      <c r="B172" s="211" t="s">
        <v>5</v>
      </c>
      <c r="C172" s="211" t="s">
        <v>433</v>
      </c>
      <c r="D172" s="211" t="s">
        <v>789</v>
      </c>
      <c r="E172" s="211" t="s">
        <v>1468</v>
      </c>
      <c r="F172" s="213">
        <v>100000</v>
      </c>
      <c r="G172" s="213">
        <v>100000</v>
      </c>
      <c r="H172" s="147" t="str">
        <f t="shared" si="2"/>
        <v>03100420080020</v>
      </c>
    </row>
    <row r="173" spans="1:8" ht="38.25">
      <c r="A173" s="216" t="s">
        <v>1755</v>
      </c>
      <c r="B173" s="211" t="s">
        <v>5</v>
      </c>
      <c r="C173" s="211" t="s">
        <v>433</v>
      </c>
      <c r="D173" s="211" t="s">
        <v>789</v>
      </c>
      <c r="E173" s="211" t="s">
        <v>1756</v>
      </c>
      <c r="F173" s="213">
        <v>100000</v>
      </c>
      <c r="G173" s="213">
        <v>100000</v>
      </c>
      <c r="H173" s="147" t="str">
        <f t="shared" si="2"/>
        <v>03100420080020200</v>
      </c>
    </row>
    <row r="174" spans="1:8" ht="38.25">
      <c r="A174" s="216" t="s">
        <v>1502</v>
      </c>
      <c r="B174" s="211" t="s">
        <v>5</v>
      </c>
      <c r="C174" s="211" t="s">
        <v>433</v>
      </c>
      <c r="D174" s="211" t="s">
        <v>789</v>
      </c>
      <c r="E174" s="211" t="s">
        <v>1503</v>
      </c>
      <c r="F174" s="213">
        <v>100000</v>
      </c>
      <c r="G174" s="213">
        <v>100000</v>
      </c>
      <c r="H174" s="147" t="str">
        <f t="shared" si="2"/>
        <v>03100420080020240</v>
      </c>
    </row>
    <row r="175" spans="1:8">
      <c r="A175" s="216" t="s">
        <v>1577</v>
      </c>
      <c r="B175" s="211" t="s">
        <v>5</v>
      </c>
      <c r="C175" s="211" t="s">
        <v>433</v>
      </c>
      <c r="D175" s="211" t="s">
        <v>789</v>
      </c>
      <c r="E175" s="211" t="s">
        <v>416</v>
      </c>
      <c r="F175" s="213">
        <v>100000</v>
      </c>
      <c r="G175" s="213">
        <v>100000</v>
      </c>
      <c r="H175" s="147" t="str">
        <f t="shared" si="2"/>
        <v>03100420080020244</v>
      </c>
    </row>
    <row r="176" spans="1:8" ht="114.75">
      <c r="A176" s="222" t="s">
        <v>438</v>
      </c>
      <c r="B176" s="211" t="s">
        <v>5</v>
      </c>
      <c r="C176" s="211" t="s">
        <v>433</v>
      </c>
      <c r="D176" s="211" t="s">
        <v>790</v>
      </c>
      <c r="E176" s="211" t="s">
        <v>1468</v>
      </c>
      <c r="F176" s="213">
        <v>18500</v>
      </c>
      <c r="G176" s="213">
        <v>18500</v>
      </c>
      <c r="H176" s="147" t="str">
        <f t="shared" si="2"/>
        <v>03100420080030</v>
      </c>
    </row>
    <row r="177" spans="1:8" ht="38.25">
      <c r="A177" s="216" t="s">
        <v>1755</v>
      </c>
      <c r="B177" s="211" t="s">
        <v>5</v>
      </c>
      <c r="C177" s="211" t="s">
        <v>433</v>
      </c>
      <c r="D177" s="211" t="s">
        <v>790</v>
      </c>
      <c r="E177" s="211" t="s">
        <v>1756</v>
      </c>
      <c r="F177" s="213">
        <v>18500</v>
      </c>
      <c r="G177" s="213">
        <v>18500</v>
      </c>
      <c r="H177" s="147" t="str">
        <f t="shared" si="2"/>
        <v>03100420080030200</v>
      </c>
    </row>
    <row r="178" spans="1:8" ht="38.25">
      <c r="A178" s="216" t="s">
        <v>1502</v>
      </c>
      <c r="B178" s="211" t="s">
        <v>5</v>
      </c>
      <c r="C178" s="211" t="s">
        <v>433</v>
      </c>
      <c r="D178" s="211" t="s">
        <v>790</v>
      </c>
      <c r="E178" s="211" t="s">
        <v>1503</v>
      </c>
      <c r="F178" s="213">
        <v>18500</v>
      </c>
      <c r="G178" s="213">
        <v>18500</v>
      </c>
      <c r="H178" s="147" t="str">
        <f t="shared" si="2"/>
        <v>03100420080030240</v>
      </c>
    </row>
    <row r="179" spans="1:8">
      <c r="A179" s="222" t="s">
        <v>1577</v>
      </c>
      <c r="B179" s="211" t="s">
        <v>5</v>
      </c>
      <c r="C179" s="211" t="s">
        <v>433</v>
      </c>
      <c r="D179" s="211" t="s">
        <v>790</v>
      </c>
      <c r="E179" s="211" t="s">
        <v>416</v>
      </c>
      <c r="F179" s="213">
        <v>18500</v>
      </c>
      <c r="G179" s="213">
        <v>18500</v>
      </c>
      <c r="H179" s="147" t="str">
        <f t="shared" si="2"/>
        <v>03100420080030244</v>
      </c>
    </row>
    <row r="180" spans="1:8" ht="127.5">
      <c r="A180" s="216" t="s">
        <v>1580</v>
      </c>
      <c r="B180" s="211" t="s">
        <v>5</v>
      </c>
      <c r="C180" s="211" t="s">
        <v>433</v>
      </c>
      <c r="D180" s="211" t="s">
        <v>1581</v>
      </c>
      <c r="E180" s="211" t="s">
        <v>1468</v>
      </c>
      <c r="F180" s="213">
        <v>122</v>
      </c>
      <c r="G180" s="213">
        <v>122</v>
      </c>
      <c r="H180" s="147" t="str">
        <f t="shared" si="2"/>
        <v>031004200S4120</v>
      </c>
    </row>
    <row r="181" spans="1:8" ht="38.25">
      <c r="A181" s="216" t="s">
        <v>1755</v>
      </c>
      <c r="B181" s="211" t="s">
        <v>5</v>
      </c>
      <c r="C181" s="211" t="s">
        <v>433</v>
      </c>
      <c r="D181" s="211" t="s">
        <v>1581</v>
      </c>
      <c r="E181" s="211" t="s">
        <v>1756</v>
      </c>
      <c r="F181" s="213">
        <v>122</v>
      </c>
      <c r="G181" s="213">
        <v>122</v>
      </c>
      <c r="H181" s="147" t="str">
        <f t="shared" si="2"/>
        <v>031004200S4120200</v>
      </c>
    </row>
    <row r="182" spans="1:8" ht="38.25">
      <c r="A182" s="216" t="s">
        <v>1502</v>
      </c>
      <c r="B182" s="211" t="s">
        <v>5</v>
      </c>
      <c r="C182" s="211" t="s">
        <v>433</v>
      </c>
      <c r="D182" s="211" t="s">
        <v>1581</v>
      </c>
      <c r="E182" s="211" t="s">
        <v>1503</v>
      </c>
      <c r="F182" s="213">
        <v>122</v>
      </c>
      <c r="G182" s="213">
        <v>122</v>
      </c>
      <c r="H182" s="147" t="str">
        <f t="shared" si="2"/>
        <v>031004200S4120240</v>
      </c>
    </row>
    <row r="183" spans="1:8">
      <c r="A183" s="216" t="s">
        <v>1577</v>
      </c>
      <c r="B183" s="211" t="s">
        <v>5</v>
      </c>
      <c r="C183" s="211" t="s">
        <v>433</v>
      </c>
      <c r="D183" s="211" t="s">
        <v>1581</v>
      </c>
      <c r="E183" s="211" t="s">
        <v>416</v>
      </c>
      <c r="F183" s="213">
        <v>122</v>
      </c>
      <c r="G183" s="213">
        <v>122</v>
      </c>
      <c r="H183" s="147" t="str">
        <f t="shared" si="2"/>
        <v>031004200S4120244</v>
      </c>
    </row>
    <row r="184" spans="1:8">
      <c r="A184" s="216" t="s">
        <v>218</v>
      </c>
      <c r="B184" s="211" t="s">
        <v>5</v>
      </c>
      <c r="C184" s="211" t="s">
        <v>1362</v>
      </c>
      <c r="D184" s="211" t="s">
        <v>1468</v>
      </c>
      <c r="E184" s="211" t="s">
        <v>1468</v>
      </c>
      <c r="F184" s="213">
        <v>15448302</v>
      </c>
      <c r="G184" s="213">
        <v>15465302</v>
      </c>
      <c r="H184" s="147" t="str">
        <f t="shared" si="2"/>
        <v>0400</v>
      </c>
    </row>
    <row r="185" spans="1:8">
      <c r="A185" s="216" t="s">
        <v>219</v>
      </c>
      <c r="B185" s="211" t="s">
        <v>5</v>
      </c>
      <c r="C185" s="211" t="s">
        <v>440</v>
      </c>
      <c r="D185" s="211" t="s">
        <v>1468</v>
      </c>
      <c r="E185" s="211" t="s">
        <v>1468</v>
      </c>
      <c r="F185" s="213">
        <v>1383400</v>
      </c>
      <c r="G185" s="213">
        <v>1380700</v>
      </c>
      <c r="H185" s="147" t="str">
        <f t="shared" si="2"/>
        <v>0405</v>
      </c>
    </row>
    <row r="186" spans="1:8" ht="38.25">
      <c r="A186" s="216" t="s">
        <v>586</v>
      </c>
      <c r="B186" s="211" t="s">
        <v>5</v>
      </c>
      <c r="C186" s="211" t="s">
        <v>440</v>
      </c>
      <c r="D186" s="211" t="s">
        <v>1142</v>
      </c>
      <c r="E186" s="211" t="s">
        <v>1468</v>
      </c>
      <c r="F186" s="213">
        <v>1383400</v>
      </c>
      <c r="G186" s="213">
        <v>1380700</v>
      </c>
      <c r="H186" s="147" t="str">
        <f t="shared" si="2"/>
        <v>04051200000000</v>
      </c>
    </row>
    <row r="187" spans="1:8" ht="25.5">
      <c r="A187" s="216" t="s">
        <v>587</v>
      </c>
      <c r="B187" s="211" t="s">
        <v>5</v>
      </c>
      <c r="C187" s="211" t="s">
        <v>440</v>
      </c>
      <c r="D187" s="211" t="s">
        <v>1143</v>
      </c>
      <c r="E187" s="211" t="s">
        <v>1468</v>
      </c>
      <c r="F187" s="213">
        <v>2900</v>
      </c>
      <c r="G187" s="213">
        <v>200</v>
      </c>
      <c r="H187" s="147" t="str">
        <f t="shared" si="2"/>
        <v>04051210000000</v>
      </c>
    </row>
    <row r="188" spans="1:8" ht="114.75">
      <c r="A188" s="216" t="s">
        <v>1738</v>
      </c>
      <c r="B188" s="211" t="s">
        <v>5</v>
      </c>
      <c r="C188" s="211" t="s">
        <v>440</v>
      </c>
      <c r="D188" s="211" t="s">
        <v>1739</v>
      </c>
      <c r="E188" s="211" t="s">
        <v>1468</v>
      </c>
      <c r="F188" s="213">
        <v>2900</v>
      </c>
      <c r="G188" s="213">
        <v>200</v>
      </c>
      <c r="H188" s="147" t="str">
        <f t="shared" si="2"/>
        <v>04051210024380</v>
      </c>
    </row>
    <row r="189" spans="1:8">
      <c r="A189" s="216" t="s">
        <v>1757</v>
      </c>
      <c r="B189" s="211" t="s">
        <v>5</v>
      </c>
      <c r="C189" s="211" t="s">
        <v>440</v>
      </c>
      <c r="D189" s="211" t="s">
        <v>1739</v>
      </c>
      <c r="E189" s="211" t="s">
        <v>1758</v>
      </c>
      <c r="F189" s="213">
        <v>2900</v>
      </c>
      <c r="G189" s="213">
        <v>200</v>
      </c>
      <c r="H189" s="147" t="str">
        <f t="shared" si="2"/>
        <v>04051210024380800</v>
      </c>
    </row>
    <row r="190" spans="1:8" ht="63.75">
      <c r="A190" s="216" t="s">
        <v>1512</v>
      </c>
      <c r="B190" s="211" t="s">
        <v>5</v>
      </c>
      <c r="C190" s="211" t="s">
        <v>440</v>
      </c>
      <c r="D190" s="211" t="s">
        <v>1739</v>
      </c>
      <c r="E190" s="211" t="s">
        <v>442</v>
      </c>
      <c r="F190" s="213">
        <v>2900</v>
      </c>
      <c r="G190" s="213">
        <v>200</v>
      </c>
      <c r="H190" s="147" t="str">
        <f t="shared" si="2"/>
        <v>04051210024380810</v>
      </c>
    </row>
    <row r="191" spans="1:8" ht="38.25">
      <c r="A191" s="216" t="s">
        <v>1740</v>
      </c>
      <c r="B191" s="211" t="s">
        <v>5</v>
      </c>
      <c r="C191" s="211" t="s">
        <v>440</v>
      </c>
      <c r="D191" s="211" t="s">
        <v>1739</v>
      </c>
      <c r="E191" s="211" t="s">
        <v>1422</v>
      </c>
      <c r="F191" s="213">
        <v>2900</v>
      </c>
      <c r="G191" s="213">
        <v>200</v>
      </c>
      <c r="H191" s="147" t="str">
        <f t="shared" si="2"/>
        <v>04051210024380814</v>
      </c>
    </row>
    <row r="192" spans="1:8" ht="38.25">
      <c r="A192" s="216" t="s">
        <v>540</v>
      </c>
      <c r="B192" s="211" t="s">
        <v>5</v>
      </c>
      <c r="C192" s="211" t="s">
        <v>440</v>
      </c>
      <c r="D192" s="211" t="s">
        <v>1145</v>
      </c>
      <c r="E192" s="211" t="s">
        <v>1468</v>
      </c>
      <c r="F192" s="213">
        <v>1380500</v>
      </c>
      <c r="G192" s="213">
        <v>1380500</v>
      </c>
      <c r="H192" s="147" t="str">
        <f t="shared" ref="H192:H243" si="3">CONCATENATE(C192,,D192,E192)</f>
        <v>04051230000000</v>
      </c>
    </row>
    <row r="193" spans="1:8" ht="114.75">
      <c r="A193" s="216" t="s">
        <v>443</v>
      </c>
      <c r="B193" s="211" t="s">
        <v>5</v>
      </c>
      <c r="C193" s="211" t="s">
        <v>440</v>
      </c>
      <c r="D193" s="211" t="s">
        <v>797</v>
      </c>
      <c r="E193" s="211" t="s">
        <v>1468</v>
      </c>
      <c r="F193" s="213">
        <v>1380500</v>
      </c>
      <c r="G193" s="213">
        <v>1380500</v>
      </c>
      <c r="H193" s="147" t="str">
        <f t="shared" si="3"/>
        <v>04051230075170</v>
      </c>
    </row>
    <row r="194" spans="1:8" ht="76.5">
      <c r="A194" s="216" t="s">
        <v>1754</v>
      </c>
      <c r="B194" s="211" t="s">
        <v>5</v>
      </c>
      <c r="C194" s="211" t="s">
        <v>440</v>
      </c>
      <c r="D194" s="211" t="s">
        <v>797</v>
      </c>
      <c r="E194" s="211" t="s">
        <v>322</v>
      </c>
      <c r="F194" s="213">
        <v>1342700</v>
      </c>
      <c r="G194" s="213">
        <v>1342700</v>
      </c>
      <c r="H194" s="147" t="str">
        <f t="shared" si="3"/>
        <v>04051230075170100</v>
      </c>
    </row>
    <row r="195" spans="1:8" ht="38.25">
      <c r="A195" s="216" t="s">
        <v>1509</v>
      </c>
      <c r="B195" s="211" t="s">
        <v>5</v>
      </c>
      <c r="C195" s="211" t="s">
        <v>440</v>
      </c>
      <c r="D195" s="211" t="s">
        <v>797</v>
      </c>
      <c r="E195" s="211" t="s">
        <v>37</v>
      </c>
      <c r="F195" s="213">
        <v>1342700</v>
      </c>
      <c r="G195" s="213">
        <v>1342700</v>
      </c>
      <c r="H195" s="147" t="str">
        <f t="shared" si="3"/>
        <v>04051230075170120</v>
      </c>
    </row>
    <row r="196" spans="1:8" ht="25.5">
      <c r="A196" s="216" t="s">
        <v>1081</v>
      </c>
      <c r="B196" s="211" t="s">
        <v>5</v>
      </c>
      <c r="C196" s="211" t="s">
        <v>440</v>
      </c>
      <c r="D196" s="211" t="s">
        <v>797</v>
      </c>
      <c r="E196" s="211" t="s">
        <v>411</v>
      </c>
      <c r="F196" s="213">
        <v>925960</v>
      </c>
      <c r="G196" s="213">
        <v>925960</v>
      </c>
      <c r="H196" s="147" t="str">
        <f t="shared" si="3"/>
        <v>04051230075170121</v>
      </c>
    </row>
    <row r="197" spans="1:8" ht="51">
      <c r="A197" s="216" t="s">
        <v>412</v>
      </c>
      <c r="B197" s="211" t="s">
        <v>5</v>
      </c>
      <c r="C197" s="211" t="s">
        <v>440</v>
      </c>
      <c r="D197" s="211" t="s">
        <v>797</v>
      </c>
      <c r="E197" s="211" t="s">
        <v>413</v>
      </c>
      <c r="F197" s="213">
        <v>137100</v>
      </c>
      <c r="G197" s="213">
        <v>137100</v>
      </c>
      <c r="H197" s="147" t="str">
        <f t="shared" si="3"/>
        <v>04051230075170122</v>
      </c>
    </row>
    <row r="198" spans="1:8" ht="63.75">
      <c r="A198" s="216" t="s">
        <v>1195</v>
      </c>
      <c r="B198" s="211" t="s">
        <v>5</v>
      </c>
      <c r="C198" s="211" t="s">
        <v>440</v>
      </c>
      <c r="D198" s="211" t="s">
        <v>797</v>
      </c>
      <c r="E198" s="211" t="s">
        <v>1196</v>
      </c>
      <c r="F198" s="213">
        <v>279640</v>
      </c>
      <c r="G198" s="213">
        <v>279640</v>
      </c>
      <c r="H198" s="147" t="str">
        <f t="shared" si="3"/>
        <v>04051230075170129</v>
      </c>
    </row>
    <row r="199" spans="1:8" ht="38.25">
      <c r="A199" s="216" t="s">
        <v>1755</v>
      </c>
      <c r="B199" s="211" t="s">
        <v>5</v>
      </c>
      <c r="C199" s="211" t="s">
        <v>440</v>
      </c>
      <c r="D199" s="211" t="s">
        <v>797</v>
      </c>
      <c r="E199" s="211" t="s">
        <v>1756</v>
      </c>
      <c r="F199" s="213">
        <v>37800</v>
      </c>
      <c r="G199" s="213">
        <v>37800</v>
      </c>
      <c r="H199" s="147" t="str">
        <f t="shared" si="3"/>
        <v>04051230075170200</v>
      </c>
    </row>
    <row r="200" spans="1:8" ht="38.25">
      <c r="A200" s="216" t="s">
        <v>1502</v>
      </c>
      <c r="B200" s="211" t="s">
        <v>5</v>
      </c>
      <c r="C200" s="211" t="s">
        <v>440</v>
      </c>
      <c r="D200" s="211" t="s">
        <v>797</v>
      </c>
      <c r="E200" s="211" t="s">
        <v>1503</v>
      </c>
      <c r="F200" s="213">
        <v>37800</v>
      </c>
      <c r="G200" s="213">
        <v>37800</v>
      </c>
      <c r="H200" s="147" t="str">
        <f t="shared" si="3"/>
        <v>04051230075170240</v>
      </c>
    </row>
    <row r="201" spans="1:8">
      <c r="A201" s="216" t="s">
        <v>1577</v>
      </c>
      <c r="B201" s="211" t="s">
        <v>5</v>
      </c>
      <c r="C201" s="211" t="s">
        <v>440</v>
      </c>
      <c r="D201" s="211" t="s">
        <v>797</v>
      </c>
      <c r="E201" s="211" t="s">
        <v>416</v>
      </c>
      <c r="F201" s="213">
        <v>37800</v>
      </c>
      <c r="G201" s="213">
        <v>37800</v>
      </c>
      <c r="H201" s="147" t="str">
        <f t="shared" si="3"/>
        <v>04051230075170244</v>
      </c>
    </row>
    <row r="202" spans="1:8">
      <c r="A202" s="216" t="s">
        <v>220</v>
      </c>
      <c r="B202" s="211" t="s">
        <v>5</v>
      </c>
      <c r="C202" s="211" t="s">
        <v>444</v>
      </c>
      <c r="D202" s="211" t="s">
        <v>1468</v>
      </c>
      <c r="E202" s="211" t="s">
        <v>1468</v>
      </c>
      <c r="F202" s="213">
        <v>12835502</v>
      </c>
      <c r="G202" s="213">
        <v>12850502</v>
      </c>
      <c r="H202" s="147" t="str">
        <f t="shared" si="3"/>
        <v>0408</v>
      </c>
    </row>
    <row r="203" spans="1:8" ht="38.25">
      <c r="A203" s="222" t="s">
        <v>576</v>
      </c>
      <c r="B203" s="211" t="s">
        <v>5</v>
      </c>
      <c r="C203" s="211" t="s">
        <v>444</v>
      </c>
      <c r="D203" s="211" t="s">
        <v>1133</v>
      </c>
      <c r="E203" s="211" t="s">
        <v>1468</v>
      </c>
      <c r="F203" s="213">
        <v>12835502</v>
      </c>
      <c r="G203" s="213">
        <v>12850502</v>
      </c>
      <c r="H203" s="147" t="str">
        <f t="shared" si="3"/>
        <v>04080900000000</v>
      </c>
    </row>
    <row r="204" spans="1:8" ht="25.5">
      <c r="A204" s="216" t="s">
        <v>579</v>
      </c>
      <c r="B204" s="211" t="s">
        <v>5</v>
      </c>
      <c r="C204" s="211" t="s">
        <v>444</v>
      </c>
      <c r="D204" s="211" t="s">
        <v>1135</v>
      </c>
      <c r="E204" s="211" t="s">
        <v>1468</v>
      </c>
      <c r="F204" s="213">
        <v>12835502</v>
      </c>
      <c r="G204" s="213">
        <v>12850502</v>
      </c>
      <c r="H204" s="147" t="str">
        <f t="shared" si="3"/>
        <v>04080920000000</v>
      </c>
    </row>
    <row r="205" spans="1:8" ht="89.25">
      <c r="A205" s="222" t="s">
        <v>953</v>
      </c>
      <c r="B205" s="211" t="s">
        <v>5</v>
      </c>
      <c r="C205" s="211" t="s">
        <v>444</v>
      </c>
      <c r="D205" s="211" t="s">
        <v>1079</v>
      </c>
      <c r="E205" s="211" t="s">
        <v>1468</v>
      </c>
      <c r="F205" s="213">
        <v>375000</v>
      </c>
      <c r="G205" s="213">
        <v>390000</v>
      </c>
      <c r="H205" s="147" t="str">
        <f t="shared" si="3"/>
        <v>040809200Л0000</v>
      </c>
    </row>
    <row r="206" spans="1:8">
      <c r="A206" s="216" t="s">
        <v>1757</v>
      </c>
      <c r="B206" s="211" t="s">
        <v>5</v>
      </c>
      <c r="C206" s="211" t="s">
        <v>444</v>
      </c>
      <c r="D206" s="211" t="s">
        <v>1079</v>
      </c>
      <c r="E206" s="211" t="s">
        <v>1758</v>
      </c>
      <c r="F206" s="213">
        <v>375000</v>
      </c>
      <c r="G206" s="213">
        <v>390000</v>
      </c>
      <c r="H206" s="147" t="str">
        <f t="shared" si="3"/>
        <v>040809200Л0000800</v>
      </c>
    </row>
    <row r="207" spans="1:8" ht="63.75">
      <c r="A207" s="216" t="s">
        <v>1512</v>
      </c>
      <c r="B207" s="211" t="s">
        <v>5</v>
      </c>
      <c r="C207" s="211" t="s">
        <v>444</v>
      </c>
      <c r="D207" s="211" t="s">
        <v>1079</v>
      </c>
      <c r="E207" s="211" t="s">
        <v>442</v>
      </c>
      <c r="F207" s="213">
        <v>375000</v>
      </c>
      <c r="G207" s="213">
        <v>390000</v>
      </c>
      <c r="H207" s="147" t="str">
        <f t="shared" si="3"/>
        <v>040809200Л0000810</v>
      </c>
    </row>
    <row r="208" spans="1:8" ht="76.5">
      <c r="A208" s="216" t="s">
        <v>1582</v>
      </c>
      <c r="B208" s="211" t="s">
        <v>5</v>
      </c>
      <c r="C208" s="211" t="s">
        <v>444</v>
      </c>
      <c r="D208" s="211" t="s">
        <v>1079</v>
      </c>
      <c r="E208" s="211" t="s">
        <v>1583</v>
      </c>
      <c r="F208" s="213">
        <v>375000</v>
      </c>
      <c r="G208" s="213">
        <v>390000</v>
      </c>
      <c r="H208" s="147" t="str">
        <f t="shared" si="3"/>
        <v>040809200Л0000811</v>
      </c>
    </row>
    <row r="209" spans="1:8" ht="89.25">
      <c r="A209" s="222" t="s">
        <v>445</v>
      </c>
      <c r="B209" s="211" t="s">
        <v>5</v>
      </c>
      <c r="C209" s="211" t="s">
        <v>444</v>
      </c>
      <c r="D209" s="211" t="s">
        <v>798</v>
      </c>
      <c r="E209" s="211" t="s">
        <v>1468</v>
      </c>
      <c r="F209" s="213">
        <v>12460502</v>
      </c>
      <c r="G209" s="213">
        <v>12460502</v>
      </c>
      <c r="H209" s="147" t="str">
        <f t="shared" si="3"/>
        <v>040809200П0000</v>
      </c>
    </row>
    <row r="210" spans="1:8">
      <c r="A210" s="216" t="s">
        <v>1757</v>
      </c>
      <c r="B210" s="211" t="s">
        <v>5</v>
      </c>
      <c r="C210" s="211" t="s">
        <v>444</v>
      </c>
      <c r="D210" s="211" t="s">
        <v>798</v>
      </c>
      <c r="E210" s="211" t="s">
        <v>1758</v>
      </c>
      <c r="F210" s="213">
        <v>12460502</v>
      </c>
      <c r="G210" s="213">
        <v>12460502</v>
      </c>
      <c r="H210" s="147" t="str">
        <f t="shared" si="3"/>
        <v>040809200П0000800</v>
      </c>
    </row>
    <row r="211" spans="1:8" ht="63.75">
      <c r="A211" s="216" t="s">
        <v>1512</v>
      </c>
      <c r="B211" s="211" t="s">
        <v>5</v>
      </c>
      <c r="C211" s="211" t="s">
        <v>444</v>
      </c>
      <c r="D211" s="211" t="s">
        <v>798</v>
      </c>
      <c r="E211" s="211" t="s">
        <v>442</v>
      </c>
      <c r="F211" s="213">
        <v>12460502</v>
      </c>
      <c r="G211" s="213">
        <v>12460502</v>
      </c>
      <c r="H211" s="147" t="str">
        <f t="shared" si="3"/>
        <v>040809200П0000810</v>
      </c>
    </row>
    <row r="212" spans="1:8" ht="76.5">
      <c r="A212" s="216" t="s">
        <v>1582</v>
      </c>
      <c r="B212" s="211" t="s">
        <v>5</v>
      </c>
      <c r="C212" s="211" t="s">
        <v>444</v>
      </c>
      <c r="D212" s="211" t="s">
        <v>798</v>
      </c>
      <c r="E212" s="211" t="s">
        <v>1583</v>
      </c>
      <c r="F212" s="213">
        <v>12460502</v>
      </c>
      <c r="G212" s="213">
        <v>12460502</v>
      </c>
      <c r="H212" s="147" t="str">
        <f t="shared" si="3"/>
        <v>040809200П0000811</v>
      </c>
    </row>
    <row r="213" spans="1:8">
      <c r="A213" s="216" t="s">
        <v>298</v>
      </c>
      <c r="B213" s="211" t="s">
        <v>5</v>
      </c>
      <c r="C213" s="211" t="s">
        <v>446</v>
      </c>
      <c r="D213" s="211" t="s">
        <v>1468</v>
      </c>
      <c r="E213" s="211" t="s">
        <v>1468</v>
      </c>
      <c r="F213" s="213">
        <v>35700</v>
      </c>
      <c r="G213" s="213">
        <v>40400</v>
      </c>
      <c r="H213" s="147" t="str">
        <f t="shared" si="3"/>
        <v>0409</v>
      </c>
    </row>
    <row r="214" spans="1:8" ht="38.25">
      <c r="A214" s="216" t="s">
        <v>576</v>
      </c>
      <c r="B214" s="211" t="s">
        <v>5</v>
      </c>
      <c r="C214" s="211" t="s">
        <v>446</v>
      </c>
      <c r="D214" s="211" t="s">
        <v>1133</v>
      </c>
      <c r="E214" s="211" t="s">
        <v>1468</v>
      </c>
      <c r="F214" s="213">
        <v>35700</v>
      </c>
      <c r="G214" s="213">
        <v>40400</v>
      </c>
      <c r="H214" s="147" t="str">
        <f t="shared" si="3"/>
        <v>04090900000000</v>
      </c>
    </row>
    <row r="215" spans="1:8" ht="25.5">
      <c r="A215" s="216" t="s">
        <v>577</v>
      </c>
      <c r="B215" s="211" t="s">
        <v>5</v>
      </c>
      <c r="C215" s="211" t="s">
        <v>446</v>
      </c>
      <c r="D215" s="211" t="s">
        <v>1134</v>
      </c>
      <c r="E215" s="211" t="s">
        <v>1468</v>
      </c>
      <c r="F215" s="213">
        <v>35700</v>
      </c>
      <c r="G215" s="213">
        <v>40400</v>
      </c>
      <c r="H215" s="147" t="str">
        <f t="shared" si="3"/>
        <v>04090910000000</v>
      </c>
    </row>
    <row r="216" spans="1:8" ht="63.75">
      <c r="A216" s="216" t="s">
        <v>447</v>
      </c>
      <c r="B216" s="211" t="s">
        <v>5</v>
      </c>
      <c r="C216" s="211" t="s">
        <v>446</v>
      </c>
      <c r="D216" s="211" t="s">
        <v>799</v>
      </c>
      <c r="E216" s="211" t="s">
        <v>1468</v>
      </c>
      <c r="F216" s="213">
        <v>34300</v>
      </c>
      <c r="G216" s="213">
        <v>39000</v>
      </c>
      <c r="H216" s="147" t="str">
        <f t="shared" si="3"/>
        <v>04090910080000</v>
      </c>
    </row>
    <row r="217" spans="1:8" ht="38.25">
      <c r="A217" s="222" t="s">
        <v>1755</v>
      </c>
      <c r="B217" s="211" t="s">
        <v>5</v>
      </c>
      <c r="C217" s="211" t="s">
        <v>446</v>
      </c>
      <c r="D217" s="211" t="s">
        <v>799</v>
      </c>
      <c r="E217" s="211" t="s">
        <v>1756</v>
      </c>
      <c r="F217" s="213">
        <v>34300</v>
      </c>
      <c r="G217" s="213">
        <v>39000</v>
      </c>
      <c r="H217" s="147" t="str">
        <f t="shared" si="3"/>
        <v>04090910080000200</v>
      </c>
    </row>
    <row r="218" spans="1:8" ht="38.25">
      <c r="A218" s="216" t="s">
        <v>1502</v>
      </c>
      <c r="B218" s="211" t="s">
        <v>5</v>
      </c>
      <c r="C218" s="211" t="s">
        <v>446</v>
      </c>
      <c r="D218" s="211" t="s">
        <v>799</v>
      </c>
      <c r="E218" s="211" t="s">
        <v>1503</v>
      </c>
      <c r="F218" s="213">
        <v>34300</v>
      </c>
      <c r="G218" s="213">
        <v>39000</v>
      </c>
      <c r="H218" s="147" t="str">
        <f t="shared" si="3"/>
        <v>04090910080000240</v>
      </c>
    </row>
    <row r="219" spans="1:8">
      <c r="A219" s="222" t="s">
        <v>1577</v>
      </c>
      <c r="B219" s="211" t="s">
        <v>5</v>
      </c>
      <c r="C219" s="211" t="s">
        <v>446</v>
      </c>
      <c r="D219" s="211" t="s">
        <v>799</v>
      </c>
      <c r="E219" s="211" t="s">
        <v>416</v>
      </c>
      <c r="F219" s="213">
        <v>34300</v>
      </c>
      <c r="G219" s="213">
        <v>39000</v>
      </c>
      <c r="H219" s="147" t="str">
        <f t="shared" si="3"/>
        <v>04090910080000244</v>
      </c>
    </row>
    <row r="220" spans="1:8" ht="102">
      <c r="A220" s="216" t="s">
        <v>1584</v>
      </c>
      <c r="B220" s="211" t="s">
        <v>5</v>
      </c>
      <c r="C220" s="211" t="s">
        <v>446</v>
      </c>
      <c r="D220" s="211" t="s">
        <v>1585</v>
      </c>
      <c r="E220" s="211" t="s">
        <v>1468</v>
      </c>
      <c r="F220" s="213">
        <v>1400</v>
      </c>
      <c r="G220" s="213">
        <v>1400</v>
      </c>
      <c r="H220" s="147" t="str">
        <f t="shared" si="3"/>
        <v>040909100S5080</v>
      </c>
    </row>
    <row r="221" spans="1:8" ht="38.25">
      <c r="A221" s="216" t="s">
        <v>1755</v>
      </c>
      <c r="B221" s="211" t="s">
        <v>5</v>
      </c>
      <c r="C221" s="211" t="s">
        <v>446</v>
      </c>
      <c r="D221" s="211" t="s">
        <v>1585</v>
      </c>
      <c r="E221" s="211" t="s">
        <v>1756</v>
      </c>
      <c r="F221" s="213">
        <v>1400</v>
      </c>
      <c r="G221" s="213">
        <v>1400</v>
      </c>
      <c r="H221" s="147" t="str">
        <f t="shared" si="3"/>
        <v>040909100S5080200</v>
      </c>
    </row>
    <row r="222" spans="1:8" ht="38.25">
      <c r="A222" s="216" t="s">
        <v>1502</v>
      </c>
      <c r="B222" s="211" t="s">
        <v>5</v>
      </c>
      <c r="C222" s="211" t="s">
        <v>446</v>
      </c>
      <c r="D222" s="211" t="s">
        <v>1585</v>
      </c>
      <c r="E222" s="211" t="s">
        <v>1503</v>
      </c>
      <c r="F222" s="213">
        <v>1400</v>
      </c>
      <c r="G222" s="213">
        <v>1400</v>
      </c>
      <c r="H222" s="147" t="str">
        <f t="shared" si="3"/>
        <v>040909100S5080240</v>
      </c>
    </row>
    <row r="223" spans="1:8">
      <c r="A223" s="216" t="s">
        <v>1577</v>
      </c>
      <c r="B223" s="211" t="s">
        <v>5</v>
      </c>
      <c r="C223" s="211" t="s">
        <v>446</v>
      </c>
      <c r="D223" s="211" t="s">
        <v>1585</v>
      </c>
      <c r="E223" s="211" t="s">
        <v>416</v>
      </c>
      <c r="F223" s="213">
        <v>1400</v>
      </c>
      <c r="G223" s="213">
        <v>1400</v>
      </c>
      <c r="H223" s="147" t="str">
        <f t="shared" si="3"/>
        <v>040909100S5080244</v>
      </c>
    </row>
    <row r="224" spans="1:8" ht="25.5">
      <c r="A224" s="216" t="s">
        <v>179</v>
      </c>
      <c r="B224" s="211" t="s">
        <v>5</v>
      </c>
      <c r="C224" s="211" t="s">
        <v>448</v>
      </c>
      <c r="D224" s="211" t="s">
        <v>1468</v>
      </c>
      <c r="E224" s="211" t="s">
        <v>1468</v>
      </c>
      <c r="F224" s="213">
        <v>1193700</v>
      </c>
      <c r="G224" s="213">
        <v>1193700</v>
      </c>
      <c r="H224" s="147" t="str">
        <f t="shared" si="3"/>
        <v>0412</v>
      </c>
    </row>
    <row r="225" spans="1:8" ht="51">
      <c r="A225" s="216" t="s">
        <v>1624</v>
      </c>
      <c r="B225" s="211" t="s">
        <v>5</v>
      </c>
      <c r="C225" s="211" t="s">
        <v>448</v>
      </c>
      <c r="D225" s="211" t="s">
        <v>1131</v>
      </c>
      <c r="E225" s="211" t="s">
        <v>1468</v>
      </c>
      <c r="F225" s="213">
        <v>393000</v>
      </c>
      <c r="G225" s="213">
        <v>393000</v>
      </c>
      <c r="H225" s="147" t="str">
        <f t="shared" si="3"/>
        <v>04120800000000</v>
      </c>
    </row>
    <row r="226" spans="1:8" ht="38.25">
      <c r="A226" s="216" t="s">
        <v>573</v>
      </c>
      <c r="B226" s="211" t="s">
        <v>5</v>
      </c>
      <c r="C226" s="211" t="s">
        <v>448</v>
      </c>
      <c r="D226" s="211" t="s">
        <v>1132</v>
      </c>
      <c r="E226" s="211" t="s">
        <v>1468</v>
      </c>
      <c r="F226" s="213">
        <v>390000</v>
      </c>
      <c r="G226" s="213">
        <v>390000</v>
      </c>
      <c r="H226" s="147" t="str">
        <f t="shared" si="3"/>
        <v>04120810000000</v>
      </c>
    </row>
    <row r="227" spans="1:8" ht="140.25">
      <c r="A227" s="216" t="s">
        <v>1741</v>
      </c>
      <c r="B227" s="211" t="s">
        <v>5</v>
      </c>
      <c r="C227" s="211" t="s">
        <v>448</v>
      </c>
      <c r="D227" s="211" t="s">
        <v>802</v>
      </c>
      <c r="E227" s="211" t="s">
        <v>1468</v>
      </c>
      <c r="F227" s="213">
        <v>380000</v>
      </c>
      <c r="G227" s="213">
        <v>380000</v>
      </c>
      <c r="H227" s="147" t="str">
        <f t="shared" si="3"/>
        <v>04120810080010</v>
      </c>
    </row>
    <row r="228" spans="1:8">
      <c r="A228" s="222" t="s">
        <v>1757</v>
      </c>
      <c r="B228" s="211" t="s">
        <v>5</v>
      </c>
      <c r="C228" s="211" t="s">
        <v>448</v>
      </c>
      <c r="D228" s="211" t="s">
        <v>802</v>
      </c>
      <c r="E228" s="211" t="s">
        <v>1758</v>
      </c>
      <c r="F228" s="213">
        <v>380000</v>
      </c>
      <c r="G228" s="213">
        <v>380000</v>
      </c>
      <c r="H228" s="147" t="str">
        <f t="shared" si="3"/>
        <v>04120810080010800</v>
      </c>
    </row>
    <row r="229" spans="1:8" ht="63.75">
      <c r="A229" s="216" t="s">
        <v>1512</v>
      </c>
      <c r="B229" s="211" t="s">
        <v>5</v>
      </c>
      <c r="C229" s="211" t="s">
        <v>448</v>
      </c>
      <c r="D229" s="211" t="s">
        <v>802</v>
      </c>
      <c r="E229" s="211" t="s">
        <v>442</v>
      </c>
      <c r="F229" s="213">
        <v>380000</v>
      </c>
      <c r="G229" s="213">
        <v>380000</v>
      </c>
      <c r="H229" s="147" t="str">
        <f t="shared" si="3"/>
        <v>04120810080010810</v>
      </c>
    </row>
    <row r="230" spans="1:8" ht="38.25">
      <c r="A230" s="222" t="s">
        <v>1740</v>
      </c>
      <c r="B230" s="211" t="s">
        <v>5</v>
      </c>
      <c r="C230" s="211" t="s">
        <v>448</v>
      </c>
      <c r="D230" s="211" t="s">
        <v>802</v>
      </c>
      <c r="E230" s="211" t="s">
        <v>1422</v>
      </c>
      <c r="F230" s="213">
        <v>380000</v>
      </c>
      <c r="G230" s="213">
        <v>380000</v>
      </c>
      <c r="H230" s="147" t="str">
        <f t="shared" si="3"/>
        <v>04120810080010814</v>
      </c>
    </row>
    <row r="231" spans="1:8" ht="127.5">
      <c r="A231" s="216" t="s">
        <v>1742</v>
      </c>
      <c r="B231" s="211" t="s">
        <v>5</v>
      </c>
      <c r="C231" s="211" t="s">
        <v>448</v>
      </c>
      <c r="D231" s="211" t="s">
        <v>800</v>
      </c>
      <c r="E231" s="211" t="s">
        <v>1468</v>
      </c>
      <c r="F231" s="213">
        <v>10000</v>
      </c>
      <c r="G231" s="213">
        <v>10000</v>
      </c>
      <c r="H231" s="147" t="str">
        <f t="shared" si="3"/>
        <v>04120810080020</v>
      </c>
    </row>
    <row r="232" spans="1:8" ht="38.25">
      <c r="A232" s="222" t="s">
        <v>1755</v>
      </c>
      <c r="B232" s="211" t="s">
        <v>5</v>
      </c>
      <c r="C232" s="211" t="s">
        <v>448</v>
      </c>
      <c r="D232" s="211" t="s">
        <v>800</v>
      </c>
      <c r="E232" s="211" t="s">
        <v>1756</v>
      </c>
      <c r="F232" s="213">
        <v>10000</v>
      </c>
      <c r="G232" s="213">
        <v>10000</v>
      </c>
      <c r="H232" s="147" t="str">
        <f t="shared" si="3"/>
        <v>04120810080020200</v>
      </c>
    </row>
    <row r="233" spans="1:8" ht="38.25">
      <c r="A233" s="216" t="s">
        <v>1502</v>
      </c>
      <c r="B233" s="211" t="s">
        <v>5</v>
      </c>
      <c r="C233" s="211" t="s">
        <v>448</v>
      </c>
      <c r="D233" s="211" t="s">
        <v>800</v>
      </c>
      <c r="E233" s="211" t="s">
        <v>1503</v>
      </c>
      <c r="F233" s="213">
        <v>10000</v>
      </c>
      <c r="G233" s="213">
        <v>10000</v>
      </c>
      <c r="H233" s="147" t="str">
        <f t="shared" si="3"/>
        <v>04120810080020240</v>
      </c>
    </row>
    <row r="234" spans="1:8">
      <c r="A234" s="216" t="s">
        <v>1577</v>
      </c>
      <c r="B234" s="211" t="s">
        <v>5</v>
      </c>
      <c r="C234" s="211" t="s">
        <v>448</v>
      </c>
      <c r="D234" s="211" t="s">
        <v>800</v>
      </c>
      <c r="E234" s="211" t="s">
        <v>416</v>
      </c>
      <c r="F234" s="213">
        <v>10000</v>
      </c>
      <c r="G234" s="213">
        <v>10000</v>
      </c>
      <c r="H234" s="147" t="str">
        <f t="shared" si="3"/>
        <v>04120810080020244</v>
      </c>
    </row>
    <row r="235" spans="1:8" ht="38.25">
      <c r="A235" s="216" t="s">
        <v>540</v>
      </c>
      <c r="B235" s="211" t="s">
        <v>5</v>
      </c>
      <c r="C235" s="211" t="s">
        <v>448</v>
      </c>
      <c r="D235" s="211" t="s">
        <v>1743</v>
      </c>
      <c r="E235" s="211" t="s">
        <v>1468</v>
      </c>
      <c r="F235" s="213">
        <v>3000</v>
      </c>
      <c r="G235" s="213">
        <v>3000</v>
      </c>
      <c r="H235" s="147" t="str">
        <f t="shared" si="3"/>
        <v>04120820000000</v>
      </c>
    </row>
    <row r="236" spans="1:8" ht="127.5">
      <c r="A236" s="222" t="s">
        <v>1744</v>
      </c>
      <c r="B236" s="211" t="s">
        <v>5</v>
      </c>
      <c r="C236" s="211" t="s">
        <v>448</v>
      </c>
      <c r="D236" s="211" t="s">
        <v>1745</v>
      </c>
      <c r="E236" s="211" t="s">
        <v>1468</v>
      </c>
      <c r="F236" s="213">
        <v>3000</v>
      </c>
      <c r="G236" s="213">
        <v>3000</v>
      </c>
      <c r="H236" s="147" t="str">
        <f t="shared" si="3"/>
        <v>04120820080030</v>
      </c>
    </row>
    <row r="237" spans="1:8" ht="38.25">
      <c r="A237" s="216" t="s">
        <v>1755</v>
      </c>
      <c r="B237" s="211" t="s">
        <v>5</v>
      </c>
      <c r="C237" s="211" t="s">
        <v>448</v>
      </c>
      <c r="D237" s="211" t="s">
        <v>1745</v>
      </c>
      <c r="E237" s="211" t="s">
        <v>1756</v>
      </c>
      <c r="F237" s="213">
        <v>3000</v>
      </c>
      <c r="G237" s="213">
        <v>3000</v>
      </c>
      <c r="H237" s="147" t="str">
        <f t="shared" si="3"/>
        <v>04120820080030200</v>
      </c>
    </row>
    <row r="238" spans="1:8" ht="38.25">
      <c r="A238" s="216" t="s">
        <v>1502</v>
      </c>
      <c r="B238" s="211" t="s">
        <v>5</v>
      </c>
      <c r="C238" s="211" t="s">
        <v>448</v>
      </c>
      <c r="D238" s="211" t="s">
        <v>1745</v>
      </c>
      <c r="E238" s="211" t="s">
        <v>1503</v>
      </c>
      <c r="F238" s="213">
        <v>3000</v>
      </c>
      <c r="G238" s="213">
        <v>3000</v>
      </c>
      <c r="H238" s="147" t="str">
        <f t="shared" si="3"/>
        <v>04120820080030240</v>
      </c>
    </row>
    <row r="239" spans="1:8">
      <c r="A239" s="216" t="s">
        <v>1577</v>
      </c>
      <c r="B239" s="211" t="s">
        <v>5</v>
      </c>
      <c r="C239" s="211" t="s">
        <v>448</v>
      </c>
      <c r="D239" s="211" t="s">
        <v>1745</v>
      </c>
      <c r="E239" s="211" t="s">
        <v>416</v>
      </c>
      <c r="F239" s="213">
        <v>3000</v>
      </c>
      <c r="G239" s="213">
        <v>3000</v>
      </c>
      <c r="H239" s="147" t="str">
        <f t="shared" si="3"/>
        <v>04120820080030244</v>
      </c>
    </row>
    <row r="240" spans="1:8" ht="38.25">
      <c r="A240" s="216" t="s">
        <v>705</v>
      </c>
      <c r="B240" s="211" t="s">
        <v>5</v>
      </c>
      <c r="C240" s="211" t="s">
        <v>448</v>
      </c>
      <c r="D240" s="211" t="s">
        <v>1137</v>
      </c>
      <c r="E240" s="211" t="s">
        <v>1468</v>
      </c>
      <c r="F240" s="213">
        <v>300000</v>
      </c>
      <c r="G240" s="213">
        <v>300000</v>
      </c>
      <c r="H240" s="147" t="str">
        <f t="shared" si="3"/>
        <v>04121000000000</v>
      </c>
    </row>
    <row r="241" spans="1:8" ht="38.25">
      <c r="A241" s="216" t="s">
        <v>1464</v>
      </c>
      <c r="B241" s="211" t="s">
        <v>5</v>
      </c>
      <c r="C241" s="211" t="s">
        <v>448</v>
      </c>
      <c r="D241" s="211" t="s">
        <v>1465</v>
      </c>
      <c r="E241" s="211" t="s">
        <v>1468</v>
      </c>
      <c r="F241" s="213">
        <v>300000</v>
      </c>
      <c r="G241" s="213">
        <v>300000</v>
      </c>
      <c r="H241" s="147" t="str">
        <f t="shared" si="3"/>
        <v>04121040000000</v>
      </c>
    </row>
    <row r="242" spans="1:8" ht="89.25">
      <c r="A242" s="216" t="s">
        <v>1605</v>
      </c>
      <c r="B242" s="211" t="s">
        <v>5</v>
      </c>
      <c r="C242" s="211" t="s">
        <v>448</v>
      </c>
      <c r="D242" s="211" t="s">
        <v>1606</v>
      </c>
      <c r="E242" s="211" t="s">
        <v>1468</v>
      </c>
      <c r="F242" s="213">
        <v>300000</v>
      </c>
      <c r="G242" s="213">
        <v>300000</v>
      </c>
      <c r="H242" s="147" t="str">
        <f t="shared" si="3"/>
        <v>04121040080000</v>
      </c>
    </row>
    <row r="243" spans="1:8" ht="38.25">
      <c r="A243" s="216" t="s">
        <v>1755</v>
      </c>
      <c r="B243" s="211" t="s">
        <v>5</v>
      </c>
      <c r="C243" s="211" t="s">
        <v>448</v>
      </c>
      <c r="D243" s="211" t="s">
        <v>1606</v>
      </c>
      <c r="E243" s="211" t="s">
        <v>1756</v>
      </c>
      <c r="F243" s="213">
        <v>300000</v>
      </c>
      <c r="G243" s="213">
        <v>300000</v>
      </c>
      <c r="H243" s="147" t="str">
        <f t="shared" si="3"/>
        <v>04121040080000200</v>
      </c>
    </row>
    <row r="244" spans="1:8" ht="38.25">
      <c r="A244" s="216" t="s">
        <v>1502</v>
      </c>
      <c r="B244" s="211" t="s">
        <v>5</v>
      </c>
      <c r="C244" s="211" t="s">
        <v>448</v>
      </c>
      <c r="D244" s="211" t="s">
        <v>1606</v>
      </c>
      <c r="E244" s="211" t="s">
        <v>1503</v>
      </c>
      <c r="F244" s="213">
        <v>300000</v>
      </c>
      <c r="G244" s="213">
        <v>300000</v>
      </c>
      <c r="H244" s="147" t="str">
        <f t="shared" ref="H244:H307" si="4">CONCATENATE(C244,,D244,E244)</f>
        <v>04121040080000240</v>
      </c>
    </row>
    <row r="245" spans="1:8">
      <c r="A245" s="216" t="s">
        <v>1577</v>
      </c>
      <c r="B245" s="211" t="s">
        <v>5</v>
      </c>
      <c r="C245" s="211" t="s">
        <v>448</v>
      </c>
      <c r="D245" s="211" t="s">
        <v>1606</v>
      </c>
      <c r="E245" s="211" t="s">
        <v>416</v>
      </c>
      <c r="F245" s="213">
        <v>300000</v>
      </c>
      <c r="G245" s="213">
        <v>300000</v>
      </c>
      <c r="H245" s="147" t="str">
        <f t="shared" si="4"/>
        <v>04121040080000244</v>
      </c>
    </row>
    <row r="246" spans="1:8" ht="38.25">
      <c r="A246" s="216" t="s">
        <v>586</v>
      </c>
      <c r="B246" s="211" t="s">
        <v>5</v>
      </c>
      <c r="C246" s="211" t="s">
        <v>448</v>
      </c>
      <c r="D246" s="211" t="s">
        <v>1142</v>
      </c>
      <c r="E246" s="211" t="s">
        <v>1468</v>
      </c>
      <c r="F246" s="213">
        <v>500700</v>
      </c>
      <c r="G246" s="213">
        <v>500700</v>
      </c>
      <c r="H246" s="147" t="str">
        <f t="shared" si="4"/>
        <v>04121200000000</v>
      </c>
    </row>
    <row r="247" spans="1:8" ht="25.5">
      <c r="A247" s="216" t="s">
        <v>588</v>
      </c>
      <c r="B247" s="211" t="s">
        <v>5</v>
      </c>
      <c r="C247" s="211" t="s">
        <v>448</v>
      </c>
      <c r="D247" s="211" t="s">
        <v>1144</v>
      </c>
      <c r="E247" s="211" t="s">
        <v>1468</v>
      </c>
      <c r="F247" s="213">
        <v>500700</v>
      </c>
      <c r="G247" s="213">
        <v>500700</v>
      </c>
      <c r="H247" s="147" t="str">
        <f t="shared" si="4"/>
        <v>04121220000000</v>
      </c>
    </row>
    <row r="248" spans="1:8" ht="127.5">
      <c r="A248" s="216" t="s">
        <v>450</v>
      </c>
      <c r="B248" s="211" t="s">
        <v>5</v>
      </c>
      <c r="C248" s="211" t="s">
        <v>448</v>
      </c>
      <c r="D248" s="211" t="s">
        <v>804</v>
      </c>
      <c r="E248" s="211" t="s">
        <v>1468</v>
      </c>
      <c r="F248" s="213">
        <v>500700</v>
      </c>
      <c r="G248" s="213">
        <v>500700</v>
      </c>
      <c r="H248" s="147" t="str">
        <f t="shared" si="4"/>
        <v>04121220075180</v>
      </c>
    </row>
    <row r="249" spans="1:8" ht="38.25">
      <c r="A249" s="216" t="s">
        <v>1755</v>
      </c>
      <c r="B249" s="211" t="s">
        <v>5</v>
      </c>
      <c r="C249" s="211" t="s">
        <v>448</v>
      </c>
      <c r="D249" s="211" t="s">
        <v>804</v>
      </c>
      <c r="E249" s="211" t="s">
        <v>1756</v>
      </c>
      <c r="F249" s="213">
        <v>500700</v>
      </c>
      <c r="G249" s="213">
        <v>500700</v>
      </c>
      <c r="H249" s="147" t="str">
        <f t="shared" si="4"/>
        <v>04121220075180200</v>
      </c>
    </row>
    <row r="250" spans="1:8" ht="38.25">
      <c r="A250" s="216" t="s">
        <v>1502</v>
      </c>
      <c r="B250" s="211" t="s">
        <v>5</v>
      </c>
      <c r="C250" s="211" t="s">
        <v>448</v>
      </c>
      <c r="D250" s="211" t="s">
        <v>804</v>
      </c>
      <c r="E250" s="211" t="s">
        <v>1503</v>
      </c>
      <c r="F250" s="213">
        <v>500700</v>
      </c>
      <c r="G250" s="213">
        <v>500700</v>
      </c>
      <c r="H250" s="147" t="str">
        <f t="shared" si="4"/>
        <v>04121220075180240</v>
      </c>
    </row>
    <row r="251" spans="1:8">
      <c r="A251" s="216" t="s">
        <v>1577</v>
      </c>
      <c r="B251" s="211" t="s">
        <v>5</v>
      </c>
      <c r="C251" s="211" t="s">
        <v>448</v>
      </c>
      <c r="D251" s="211" t="s">
        <v>804</v>
      </c>
      <c r="E251" s="211" t="s">
        <v>416</v>
      </c>
      <c r="F251" s="213">
        <v>500700</v>
      </c>
      <c r="G251" s="213">
        <v>500700</v>
      </c>
      <c r="H251" s="147" t="str">
        <f t="shared" si="4"/>
        <v>04121220075180244</v>
      </c>
    </row>
    <row r="252" spans="1:8" ht="25.5">
      <c r="A252" s="216" t="s">
        <v>283</v>
      </c>
      <c r="B252" s="211" t="s">
        <v>5</v>
      </c>
      <c r="C252" s="211" t="s">
        <v>1363</v>
      </c>
      <c r="D252" s="211" t="s">
        <v>1468</v>
      </c>
      <c r="E252" s="211" t="s">
        <v>1468</v>
      </c>
      <c r="F252" s="213">
        <v>198232100</v>
      </c>
      <c r="G252" s="213">
        <v>198232100</v>
      </c>
      <c r="H252" s="147" t="str">
        <f t="shared" si="4"/>
        <v>0500</v>
      </c>
    </row>
    <row r="253" spans="1:8">
      <c r="A253" s="216" t="s">
        <v>180</v>
      </c>
      <c r="B253" s="211" t="s">
        <v>5</v>
      </c>
      <c r="C253" s="211" t="s">
        <v>452</v>
      </c>
      <c r="D253" s="211" t="s">
        <v>1468</v>
      </c>
      <c r="E253" s="211" t="s">
        <v>1468</v>
      </c>
      <c r="F253" s="213">
        <v>197032100</v>
      </c>
      <c r="G253" s="213">
        <v>197032100</v>
      </c>
      <c r="H253" s="147" t="str">
        <f t="shared" si="4"/>
        <v>0502</v>
      </c>
    </row>
    <row r="254" spans="1:8" ht="63.75">
      <c r="A254" s="216" t="s">
        <v>545</v>
      </c>
      <c r="B254" s="211" t="s">
        <v>5</v>
      </c>
      <c r="C254" s="211" t="s">
        <v>452</v>
      </c>
      <c r="D254" s="211" t="s">
        <v>1113</v>
      </c>
      <c r="E254" s="211" t="s">
        <v>1468</v>
      </c>
      <c r="F254" s="213">
        <v>196994200</v>
      </c>
      <c r="G254" s="213">
        <v>196994200</v>
      </c>
      <c r="H254" s="147" t="str">
        <f t="shared" si="4"/>
        <v>05020300000000</v>
      </c>
    </row>
    <row r="255" spans="1:8" ht="51">
      <c r="A255" s="216" t="s">
        <v>700</v>
      </c>
      <c r="B255" s="211" t="s">
        <v>5</v>
      </c>
      <c r="C255" s="211" t="s">
        <v>452</v>
      </c>
      <c r="D255" s="211" t="s">
        <v>1114</v>
      </c>
      <c r="E255" s="211" t="s">
        <v>1468</v>
      </c>
      <c r="F255" s="213">
        <v>196994200</v>
      </c>
      <c r="G255" s="213">
        <v>196994200</v>
      </c>
      <c r="H255" s="147"/>
    </row>
    <row r="256" spans="1:8" ht="140.25">
      <c r="A256" s="216" t="s">
        <v>1423</v>
      </c>
      <c r="B256" s="211" t="s">
        <v>5</v>
      </c>
      <c r="C256" s="211" t="s">
        <v>452</v>
      </c>
      <c r="D256" s="211" t="s">
        <v>807</v>
      </c>
      <c r="E256" s="211" t="s">
        <v>1468</v>
      </c>
      <c r="F256" s="213">
        <v>181677500</v>
      </c>
      <c r="G256" s="213">
        <v>181677500</v>
      </c>
      <c r="H256" s="147"/>
    </row>
    <row r="257" spans="1:8">
      <c r="A257" s="216" t="s">
        <v>1757</v>
      </c>
      <c r="B257" s="211" t="s">
        <v>5</v>
      </c>
      <c r="C257" s="211" t="s">
        <v>452</v>
      </c>
      <c r="D257" s="211" t="s">
        <v>807</v>
      </c>
      <c r="E257" s="211" t="s">
        <v>1758</v>
      </c>
      <c r="F257" s="213">
        <v>181677500</v>
      </c>
      <c r="G257" s="213">
        <v>181677500</v>
      </c>
      <c r="H257" s="147" t="str">
        <f t="shared" si="4"/>
        <v>05020320075700800</v>
      </c>
    </row>
    <row r="258" spans="1:8" ht="63.75">
      <c r="A258" s="216" t="s">
        <v>1512</v>
      </c>
      <c r="B258" s="211" t="s">
        <v>5</v>
      </c>
      <c r="C258" s="211" t="s">
        <v>452</v>
      </c>
      <c r="D258" s="211" t="s">
        <v>807</v>
      </c>
      <c r="E258" s="211" t="s">
        <v>442</v>
      </c>
      <c r="F258" s="213">
        <v>181677500</v>
      </c>
      <c r="G258" s="213">
        <v>181677500</v>
      </c>
      <c r="H258" s="147" t="str">
        <f t="shared" si="4"/>
        <v>05020320075700810</v>
      </c>
    </row>
    <row r="259" spans="1:8" ht="76.5">
      <c r="A259" s="216" t="s">
        <v>1582</v>
      </c>
      <c r="B259" s="211" t="s">
        <v>5</v>
      </c>
      <c r="C259" s="211" t="s">
        <v>452</v>
      </c>
      <c r="D259" s="211" t="s">
        <v>807</v>
      </c>
      <c r="E259" s="211" t="s">
        <v>1583</v>
      </c>
      <c r="F259" s="213">
        <v>181677500</v>
      </c>
      <c r="G259" s="213">
        <v>181677500</v>
      </c>
      <c r="H259" s="147" t="str">
        <f t="shared" si="4"/>
        <v>05020320075700811</v>
      </c>
    </row>
    <row r="260" spans="1:8" ht="216.75">
      <c r="A260" s="216" t="s">
        <v>1424</v>
      </c>
      <c r="B260" s="211" t="s">
        <v>5</v>
      </c>
      <c r="C260" s="211" t="s">
        <v>452</v>
      </c>
      <c r="D260" s="211" t="s">
        <v>806</v>
      </c>
      <c r="E260" s="211" t="s">
        <v>1468</v>
      </c>
      <c r="F260" s="213">
        <v>15316700</v>
      </c>
      <c r="G260" s="213">
        <v>15316700</v>
      </c>
      <c r="H260" s="147" t="str">
        <f t="shared" si="4"/>
        <v>05020320075770</v>
      </c>
    </row>
    <row r="261" spans="1:8">
      <c r="A261" s="216" t="s">
        <v>1757</v>
      </c>
      <c r="B261" s="211" t="s">
        <v>5</v>
      </c>
      <c r="C261" s="211" t="s">
        <v>452</v>
      </c>
      <c r="D261" s="211" t="s">
        <v>806</v>
      </c>
      <c r="E261" s="211" t="s">
        <v>1758</v>
      </c>
      <c r="F261" s="213">
        <v>15316700</v>
      </c>
      <c r="G261" s="213">
        <v>15316700</v>
      </c>
      <c r="H261" s="147" t="str">
        <f t="shared" si="4"/>
        <v>05020320075770800</v>
      </c>
    </row>
    <row r="262" spans="1:8" ht="63.75">
      <c r="A262" s="216" t="s">
        <v>1512</v>
      </c>
      <c r="B262" s="211" t="s">
        <v>5</v>
      </c>
      <c r="C262" s="211" t="s">
        <v>452</v>
      </c>
      <c r="D262" s="211" t="s">
        <v>806</v>
      </c>
      <c r="E262" s="211" t="s">
        <v>442</v>
      </c>
      <c r="F262" s="213">
        <v>15316700</v>
      </c>
      <c r="G262" s="213">
        <v>15316700</v>
      </c>
      <c r="H262" s="147" t="str">
        <f t="shared" si="4"/>
        <v>05020320075770810</v>
      </c>
    </row>
    <row r="263" spans="1:8" ht="76.5">
      <c r="A263" s="216" t="s">
        <v>1582</v>
      </c>
      <c r="B263" s="211" t="s">
        <v>5</v>
      </c>
      <c r="C263" s="211" t="s">
        <v>452</v>
      </c>
      <c r="D263" s="211" t="s">
        <v>806</v>
      </c>
      <c r="E263" s="211" t="s">
        <v>1583</v>
      </c>
      <c r="F263" s="213">
        <v>15316700</v>
      </c>
      <c r="G263" s="213">
        <v>15316700</v>
      </c>
      <c r="H263" s="147" t="str">
        <f t="shared" si="4"/>
        <v>05020320075770811</v>
      </c>
    </row>
    <row r="264" spans="1:8" ht="25.5">
      <c r="A264" s="222" t="s">
        <v>710</v>
      </c>
      <c r="B264" s="211" t="s">
        <v>5</v>
      </c>
      <c r="C264" s="211" t="s">
        <v>452</v>
      </c>
      <c r="D264" s="211" t="s">
        <v>1151</v>
      </c>
      <c r="E264" s="211" t="s">
        <v>1468</v>
      </c>
      <c r="F264" s="213">
        <v>37900</v>
      </c>
      <c r="G264" s="213">
        <v>37900</v>
      </c>
      <c r="H264" s="147" t="str">
        <f t="shared" si="4"/>
        <v>05029000000000</v>
      </c>
    </row>
    <row r="265" spans="1:8" ht="38.25">
      <c r="A265" s="216" t="s">
        <v>520</v>
      </c>
      <c r="B265" s="211" t="s">
        <v>5</v>
      </c>
      <c r="C265" s="211" t="s">
        <v>452</v>
      </c>
      <c r="D265" s="211" t="s">
        <v>1155</v>
      </c>
      <c r="E265" s="211" t="s">
        <v>1468</v>
      </c>
      <c r="F265" s="213">
        <v>37900</v>
      </c>
      <c r="G265" s="213">
        <v>37900</v>
      </c>
      <c r="H265" s="147" t="str">
        <f t="shared" si="4"/>
        <v>05029090000000</v>
      </c>
    </row>
    <row r="266" spans="1:8" ht="63.75">
      <c r="A266" s="216" t="s">
        <v>808</v>
      </c>
      <c r="B266" s="211" t="s">
        <v>5</v>
      </c>
      <c r="C266" s="211" t="s">
        <v>452</v>
      </c>
      <c r="D266" s="211" t="s">
        <v>809</v>
      </c>
      <c r="E266" s="211" t="s">
        <v>1468</v>
      </c>
      <c r="F266" s="213">
        <v>37900</v>
      </c>
      <c r="G266" s="213">
        <v>37900</v>
      </c>
      <c r="H266" s="147" t="str">
        <f t="shared" si="4"/>
        <v>050290900Ш0000</v>
      </c>
    </row>
    <row r="267" spans="1:8" ht="38.25">
      <c r="A267" s="216" t="s">
        <v>1755</v>
      </c>
      <c r="B267" s="211" t="s">
        <v>5</v>
      </c>
      <c r="C267" s="211" t="s">
        <v>452</v>
      </c>
      <c r="D267" s="211" t="s">
        <v>809</v>
      </c>
      <c r="E267" s="211" t="s">
        <v>1756</v>
      </c>
      <c r="F267" s="213">
        <v>37900</v>
      </c>
      <c r="G267" s="213">
        <v>37900</v>
      </c>
      <c r="H267" s="147" t="str">
        <f t="shared" si="4"/>
        <v>050290900Ш0000200</v>
      </c>
    </row>
    <row r="268" spans="1:8" ht="38.25">
      <c r="A268" s="216" t="s">
        <v>1502</v>
      </c>
      <c r="B268" s="211" t="s">
        <v>5</v>
      </c>
      <c r="C268" s="211" t="s">
        <v>452</v>
      </c>
      <c r="D268" s="211" t="s">
        <v>809</v>
      </c>
      <c r="E268" s="211" t="s">
        <v>1503</v>
      </c>
      <c r="F268" s="213">
        <v>37900</v>
      </c>
      <c r="G268" s="213">
        <v>37900</v>
      </c>
      <c r="H268" s="147" t="str">
        <f t="shared" si="4"/>
        <v>050290900Ш0000240</v>
      </c>
    </row>
    <row r="269" spans="1:8">
      <c r="A269" s="216" t="s">
        <v>1577</v>
      </c>
      <c r="B269" s="211" t="s">
        <v>5</v>
      </c>
      <c r="C269" s="211" t="s">
        <v>452</v>
      </c>
      <c r="D269" s="211" t="s">
        <v>809</v>
      </c>
      <c r="E269" s="211" t="s">
        <v>416</v>
      </c>
      <c r="F269" s="213">
        <v>37900</v>
      </c>
      <c r="G269" s="213">
        <v>37900</v>
      </c>
      <c r="H269" s="147" t="str">
        <f t="shared" si="4"/>
        <v>050290900Ш0000244</v>
      </c>
    </row>
    <row r="270" spans="1:8">
      <c r="A270" s="216" t="s">
        <v>46</v>
      </c>
      <c r="B270" s="211" t="s">
        <v>5</v>
      </c>
      <c r="C270" s="211" t="s">
        <v>476</v>
      </c>
      <c r="D270" s="211" t="s">
        <v>1468</v>
      </c>
      <c r="E270" s="211" t="s">
        <v>1468</v>
      </c>
      <c r="F270" s="213">
        <v>1200000</v>
      </c>
      <c r="G270" s="213">
        <v>1200000</v>
      </c>
      <c r="H270" s="147" t="str">
        <f t="shared" si="4"/>
        <v>0503</v>
      </c>
    </row>
    <row r="271" spans="1:8" ht="63.75">
      <c r="A271" s="216" t="s">
        <v>545</v>
      </c>
      <c r="B271" s="211" t="s">
        <v>5</v>
      </c>
      <c r="C271" s="211" t="s">
        <v>476</v>
      </c>
      <c r="D271" s="211" t="s">
        <v>1113</v>
      </c>
      <c r="E271" s="211" t="s">
        <v>1468</v>
      </c>
      <c r="F271" s="213">
        <v>1200000</v>
      </c>
      <c r="G271" s="213">
        <v>1200000</v>
      </c>
      <c r="H271" s="147" t="str">
        <f t="shared" si="4"/>
        <v>05030300000000</v>
      </c>
    </row>
    <row r="272" spans="1:8" ht="25.5">
      <c r="A272" s="216" t="s">
        <v>950</v>
      </c>
      <c r="B272" s="211" t="s">
        <v>5</v>
      </c>
      <c r="C272" s="211" t="s">
        <v>476</v>
      </c>
      <c r="D272" s="211" t="s">
        <v>1201</v>
      </c>
      <c r="E272" s="211" t="s">
        <v>1468</v>
      </c>
      <c r="F272" s="213">
        <v>1200000</v>
      </c>
      <c r="G272" s="213">
        <v>1200000</v>
      </c>
      <c r="H272" s="147" t="str">
        <f t="shared" si="4"/>
        <v>05030360000000</v>
      </c>
    </row>
    <row r="273" spans="1:8" ht="102">
      <c r="A273" s="222" t="s">
        <v>1075</v>
      </c>
      <c r="B273" s="211" t="s">
        <v>5</v>
      </c>
      <c r="C273" s="211" t="s">
        <v>476</v>
      </c>
      <c r="D273" s="211" t="s">
        <v>933</v>
      </c>
      <c r="E273" s="211" t="s">
        <v>1468</v>
      </c>
      <c r="F273" s="213">
        <v>1200000</v>
      </c>
      <c r="G273" s="213">
        <v>1200000</v>
      </c>
      <c r="H273" s="147" t="str">
        <f t="shared" si="4"/>
        <v>05030360080000</v>
      </c>
    </row>
    <row r="274" spans="1:8" ht="38.25">
      <c r="A274" s="216" t="s">
        <v>1755</v>
      </c>
      <c r="B274" s="211" t="s">
        <v>5</v>
      </c>
      <c r="C274" s="211" t="s">
        <v>476</v>
      </c>
      <c r="D274" s="211" t="s">
        <v>933</v>
      </c>
      <c r="E274" s="211" t="s">
        <v>1756</v>
      </c>
      <c r="F274" s="213">
        <v>1200000</v>
      </c>
      <c r="G274" s="213">
        <v>1200000</v>
      </c>
      <c r="H274" s="147" t="str">
        <f t="shared" si="4"/>
        <v>05030360080000200</v>
      </c>
    </row>
    <row r="275" spans="1:8" ht="38.25">
      <c r="A275" s="216" t="s">
        <v>1502</v>
      </c>
      <c r="B275" s="211" t="s">
        <v>5</v>
      </c>
      <c r="C275" s="211" t="s">
        <v>476</v>
      </c>
      <c r="D275" s="211" t="s">
        <v>933</v>
      </c>
      <c r="E275" s="211" t="s">
        <v>1503</v>
      </c>
      <c r="F275" s="213">
        <v>1200000</v>
      </c>
      <c r="G275" s="213">
        <v>1200000</v>
      </c>
      <c r="H275" s="147" t="str">
        <f t="shared" si="4"/>
        <v>05030360080000240</v>
      </c>
    </row>
    <row r="276" spans="1:8">
      <c r="A276" s="216" t="s">
        <v>1577</v>
      </c>
      <c r="B276" s="211" t="s">
        <v>5</v>
      </c>
      <c r="C276" s="211" t="s">
        <v>476</v>
      </c>
      <c r="D276" s="211" t="s">
        <v>933</v>
      </c>
      <c r="E276" s="211" t="s">
        <v>416</v>
      </c>
      <c r="F276" s="213">
        <v>1200000</v>
      </c>
      <c r="G276" s="213">
        <v>1200000</v>
      </c>
      <c r="H276" s="147" t="str">
        <f t="shared" si="4"/>
        <v>05030360080000244</v>
      </c>
    </row>
    <row r="277" spans="1:8">
      <c r="A277" s="222" t="s">
        <v>174</v>
      </c>
      <c r="B277" s="211" t="s">
        <v>5</v>
      </c>
      <c r="C277" s="211" t="s">
        <v>1365</v>
      </c>
      <c r="D277" s="211" t="s">
        <v>1468</v>
      </c>
      <c r="E277" s="211" t="s">
        <v>1468</v>
      </c>
      <c r="F277" s="213">
        <v>1555318</v>
      </c>
      <c r="G277" s="213">
        <v>1555318</v>
      </c>
      <c r="H277" s="147" t="str">
        <f t="shared" si="4"/>
        <v>1000</v>
      </c>
    </row>
    <row r="278" spans="1:8">
      <c r="A278" s="216" t="s">
        <v>126</v>
      </c>
      <c r="B278" s="211" t="s">
        <v>5</v>
      </c>
      <c r="C278" s="211" t="s">
        <v>463</v>
      </c>
      <c r="D278" s="211" t="s">
        <v>1468</v>
      </c>
      <c r="E278" s="211" t="s">
        <v>1468</v>
      </c>
      <c r="F278" s="213">
        <v>1555318</v>
      </c>
      <c r="G278" s="213">
        <v>1555318</v>
      </c>
      <c r="H278" s="147" t="str">
        <f t="shared" si="4"/>
        <v>1001</v>
      </c>
    </row>
    <row r="279" spans="1:8" ht="38.25">
      <c r="A279" s="216" t="s">
        <v>696</v>
      </c>
      <c r="B279" s="211" t="s">
        <v>5</v>
      </c>
      <c r="C279" s="211" t="s">
        <v>463</v>
      </c>
      <c r="D279" s="211" t="s">
        <v>1108</v>
      </c>
      <c r="E279" s="211" t="s">
        <v>1468</v>
      </c>
      <c r="F279" s="213">
        <v>1555318</v>
      </c>
      <c r="G279" s="213">
        <v>1555318</v>
      </c>
      <c r="H279" s="147" t="str">
        <f t="shared" si="4"/>
        <v>10010200000000</v>
      </c>
    </row>
    <row r="280" spans="1:8" ht="51">
      <c r="A280" s="216" t="s">
        <v>697</v>
      </c>
      <c r="B280" s="211" t="s">
        <v>5</v>
      </c>
      <c r="C280" s="211" t="s">
        <v>463</v>
      </c>
      <c r="D280" s="211" t="s">
        <v>1109</v>
      </c>
      <c r="E280" s="211" t="s">
        <v>1468</v>
      </c>
      <c r="F280" s="213">
        <v>1555318</v>
      </c>
      <c r="G280" s="213">
        <v>1555318</v>
      </c>
      <c r="H280" s="147" t="str">
        <f t="shared" si="4"/>
        <v>10010210000000</v>
      </c>
    </row>
    <row r="281" spans="1:8" ht="127.5">
      <c r="A281" s="216" t="s">
        <v>597</v>
      </c>
      <c r="B281" s="211" t="s">
        <v>5</v>
      </c>
      <c r="C281" s="211" t="s">
        <v>463</v>
      </c>
      <c r="D281" s="211" t="s">
        <v>815</v>
      </c>
      <c r="E281" s="211" t="s">
        <v>1468</v>
      </c>
      <c r="F281" s="213">
        <v>1555318</v>
      </c>
      <c r="G281" s="213">
        <v>1555318</v>
      </c>
      <c r="H281" s="147" t="str">
        <f t="shared" si="4"/>
        <v>10010210080010</v>
      </c>
    </row>
    <row r="282" spans="1:8" ht="25.5">
      <c r="A282" s="216" t="s">
        <v>1759</v>
      </c>
      <c r="B282" s="211" t="s">
        <v>5</v>
      </c>
      <c r="C282" s="211" t="s">
        <v>463</v>
      </c>
      <c r="D282" s="211" t="s">
        <v>815</v>
      </c>
      <c r="E282" s="211" t="s">
        <v>1760</v>
      </c>
      <c r="F282" s="213">
        <v>1555318</v>
      </c>
      <c r="G282" s="213">
        <v>1555318</v>
      </c>
      <c r="H282" s="147" t="str">
        <f t="shared" si="4"/>
        <v>10010210080010300</v>
      </c>
    </row>
    <row r="283" spans="1:8" ht="25.5">
      <c r="A283" s="216" t="s">
        <v>1510</v>
      </c>
      <c r="B283" s="211" t="s">
        <v>5</v>
      </c>
      <c r="C283" s="211" t="s">
        <v>463</v>
      </c>
      <c r="D283" s="211" t="s">
        <v>815</v>
      </c>
      <c r="E283" s="211" t="s">
        <v>1511</v>
      </c>
      <c r="F283" s="213">
        <v>1555318</v>
      </c>
      <c r="G283" s="213">
        <v>1555318</v>
      </c>
      <c r="H283" s="147" t="str">
        <f t="shared" si="4"/>
        <v>10010210080010310</v>
      </c>
    </row>
    <row r="284" spans="1:8" ht="25.5">
      <c r="A284" s="222" t="s">
        <v>464</v>
      </c>
      <c r="B284" s="211" t="s">
        <v>5</v>
      </c>
      <c r="C284" s="211" t="s">
        <v>463</v>
      </c>
      <c r="D284" s="211" t="s">
        <v>815</v>
      </c>
      <c r="E284" s="211" t="s">
        <v>465</v>
      </c>
      <c r="F284" s="213">
        <v>1555318</v>
      </c>
      <c r="G284" s="213">
        <v>1555318</v>
      </c>
      <c r="H284" s="147" t="str">
        <f t="shared" si="4"/>
        <v>10010210080010312</v>
      </c>
    </row>
    <row r="285" spans="1:8" ht="25.5">
      <c r="A285" s="216" t="s">
        <v>1215</v>
      </c>
      <c r="B285" s="211" t="s">
        <v>442</v>
      </c>
      <c r="C285" s="211" t="s">
        <v>1468</v>
      </c>
      <c r="D285" s="211" t="s">
        <v>1468</v>
      </c>
      <c r="E285" s="211" t="s">
        <v>1468</v>
      </c>
      <c r="F285" s="213">
        <v>6285500</v>
      </c>
      <c r="G285" s="213">
        <v>485500</v>
      </c>
      <c r="H285" s="147" t="str">
        <f t="shared" si="4"/>
        <v/>
      </c>
    </row>
    <row r="286" spans="1:8">
      <c r="A286" s="216" t="s">
        <v>278</v>
      </c>
      <c r="B286" s="211" t="s">
        <v>442</v>
      </c>
      <c r="C286" s="211" t="s">
        <v>1357</v>
      </c>
      <c r="D286" s="211" t="s">
        <v>1468</v>
      </c>
      <c r="E286" s="211" t="s">
        <v>1468</v>
      </c>
      <c r="F286" s="213">
        <v>6285500</v>
      </c>
      <c r="G286" s="213">
        <v>485500</v>
      </c>
      <c r="H286" s="147" t="str">
        <f t="shared" si="4"/>
        <v>0100</v>
      </c>
    </row>
    <row r="287" spans="1:8">
      <c r="A287" s="216" t="s">
        <v>261</v>
      </c>
      <c r="B287" s="211" t="s">
        <v>442</v>
      </c>
      <c r="C287" s="211" t="s">
        <v>424</v>
      </c>
      <c r="D287" s="211" t="s">
        <v>1468</v>
      </c>
      <c r="E287" s="211" t="s">
        <v>1468</v>
      </c>
      <c r="F287" s="213">
        <v>6285500</v>
      </c>
      <c r="G287" s="213">
        <v>485500</v>
      </c>
      <c r="H287" s="147" t="str">
        <f t="shared" si="4"/>
        <v>0113</v>
      </c>
    </row>
    <row r="288" spans="1:8" ht="25.5">
      <c r="A288" s="216" t="s">
        <v>710</v>
      </c>
      <c r="B288" s="211" t="s">
        <v>442</v>
      </c>
      <c r="C288" s="211" t="s">
        <v>424</v>
      </c>
      <c r="D288" s="211" t="s">
        <v>1151</v>
      </c>
      <c r="E288" s="211" t="s">
        <v>1468</v>
      </c>
      <c r="F288" s="213">
        <v>6285500</v>
      </c>
      <c r="G288" s="213">
        <v>485500</v>
      </c>
      <c r="H288" s="147" t="str">
        <f t="shared" si="4"/>
        <v>01139000000000</v>
      </c>
    </row>
    <row r="289" spans="1:8" ht="38.25">
      <c r="A289" s="216" t="s">
        <v>1216</v>
      </c>
      <c r="B289" s="211" t="s">
        <v>442</v>
      </c>
      <c r="C289" s="211" t="s">
        <v>424</v>
      </c>
      <c r="D289" s="211" t="s">
        <v>1217</v>
      </c>
      <c r="E289" s="211" t="s">
        <v>1468</v>
      </c>
      <c r="F289" s="213">
        <v>6285500</v>
      </c>
      <c r="G289" s="213">
        <v>485500</v>
      </c>
      <c r="H289" s="147" t="str">
        <f t="shared" si="4"/>
        <v>01139070000000</v>
      </c>
    </row>
    <row r="290" spans="1:8" ht="38.25">
      <c r="A290" s="216" t="s">
        <v>1216</v>
      </c>
      <c r="B290" s="211" t="s">
        <v>442</v>
      </c>
      <c r="C290" s="211" t="s">
        <v>424</v>
      </c>
      <c r="D290" s="211" t="s">
        <v>1239</v>
      </c>
      <c r="E290" s="211" t="s">
        <v>1468</v>
      </c>
      <c r="F290" s="213">
        <v>6121374</v>
      </c>
      <c r="G290" s="213">
        <v>321374</v>
      </c>
      <c r="H290" s="147" t="str">
        <f t="shared" si="4"/>
        <v>01139070040000</v>
      </c>
    </row>
    <row r="291" spans="1:8" ht="76.5">
      <c r="A291" s="216" t="s">
        <v>1754</v>
      </c>
      <c r="B291" s="211" t="s">
        <v>442</v>
      </c>
      <c r="C291" s="211" t="s">
        <v>424</v>
      </c>
      <c r="D291" s="211" t="s">
        <v>1239</v>
      </c>
      <c r="E291" s="211" t="s">
        <v>322</v>
      </c>
      <c r="F291" s="213">
        <v>5879579</v>
      </c>
      <c r="G291" s="213">
        <v>79579</v>
      </c>
      <c r="H291" s="147" t="str">
        <f t="shared" si="4"/>
        <v>01139070040000100</v>
      </c>
    </row>
    <row r="292" spans="1:8" ht="38.25">
      <c r="A292" s="216" t="s">
        <v>1509</v>
      </c>
      <c r="B292" s="211" t="s">
        <v>442</v>
      </c>
      <c r="C292" s="211" t="s">
        <v>424</v>
      </c>
      <c r="D292" s="211" t="s">
        <v>1239</v>
      </c>
      <c r="E292" s="211" t="s">
        <v>37</v>
      </c>
      <c r="F292" s="213">
        <v>5879579</v>
      </c>
      <c r="G292" s="213">
        <v>79579</v>
      </c>
      <c r="H292" s="147" t="str">
        <f t="shared" si="4"/>
        <v>01139070040000120</v>
      </c>
    </row>
    <row r="293" spans="1:8" ht="25.5">
      <c r="A293" s="216" t="s">
        <v>1081</v>
      </c>
      <c r="B293" s="211" t="s">
        <v>442</v>
      </c>
      <c r="C293" s="211" t="s">
        <v>424</v>
      </c>
      <c r="D293" s="211" t="s">
        <v>1239</v>
      </c>
      <c r="E293" s="211" t="s">
        <v>411</v>
      </c>
      <c r="F293" s="213">
        <v>4503517</v>
      </c>
      <c r="G293" s="213">
        <v>3517</v>
      </c>
      <c r="H293" s="147" t="str">
        <f t="shared" si="4"/>
        <v>01139070040000121</v>
      </c>
    </row>
    <row r="294" spans="1:8" ht="51">
      <c r="A294" s="216" t="s">
        <v>412</v>
      </c>
      <c r="B294" s="211" t="s">
        <v>442</v>
      </c>
      <c r="C294" s="211" t="s">
        <v>424</v>
      </c>
      <c r="D294" s="211" t="s">
        <v>1239</v>
      </c>
      <c r="E294" s="211" t="s">
        <v>413</v>
      </c>
      <c r="F294" s="213">
        <v>16000</v>
      </c>
      <c r="G294" s="213">
        <v>16000</v>
      </c>
      <c r="H294" s="147" t="str">
        <f t="shared" si="4"/>
        <v>01139070040000122</v>
      </c>
    </row>
    <row r="295" spans="1:8" ht="63.75">
      <c r="A295" s="216" t="s">
        <v>1195</v>
      </c>
      <c r="B295" s="211" t="s">
        <v>442</v>
      </c>
      <c r="C295" s="211" t="s">
        <v>424</v>
      </c>
      <c r="D295" s="211" t="s">
        <v>1239</v>
      </c>
      <c r="E295" s="211" t="s">
        <v>1196</v>
      </c>
      <c r="F295" s="213">
        <v>1360062</v>
      </c>
      <c r="G295" s="213">
        <v>60062</v>
      </c>
      <c r="H295" s="147" t="str">
        <f t="shared" si="4"/>
        <v>01139070040000129</v>
      </c>
    </row>
    <row r="296" spans="1:8" ht="38.25">
      <c r="A296" s="216" t="s">
        <v>1755</v>
      </c>
      <c r="B296" s="211" t="s">
        <v>442</v>
      </c>
      <c r="C296" s="211" t="s">
        <v>424</v>
      </c>
      <c r="D296" s="211" t="s">
        <v>1239</v>
      </c>
      <c r="E296" s="211" t="s">
        <v>1756</v>
      </c>
      <c r="F296" s="213">
        <v>241795</v>
      </c>
      <c r="G296" s="213">
        <v>241795</v>
      </c>
      <c r="H296" s="147" t="str">
        <f t="shared" si="4"/>
        <v>01139070040000200</v>
      </c>
    </row>
    <row r="297" spans="1:8" ht="38.25">
      <c r="A297" s="216" t="s">
        <v>1502</v>
      </c>
      <c r="B297" s="211" t="s">
        <v>442</v>
      </c>
      <c r="C297" s="211" t="s">
        <v>424</v>
      </c>
      <c r="D297" s="211" t="s">
        <v>1239</v>
      </c>
      <c r="E297" s="211" t="s">
        <v>1503</v>
      </c>
      <c r="F297" s="213">
        <v>241795</v>
      </c>
      <c r="G297" s="213">
        <v>241795</v>
      </c>
      <c r="H297" s="147" t="str">
        <f t="shared" si="4"/>
        <v>01139070040000240</v>
      </c>
    </row>
    <row r="298" spans="1:8">
      <c r="A298" s="216" t="s">
        <v>1577</v>
      </c>
      <c r="B298" s="211" t="s">
        <v>442</v>
      </c>
      <c r="C298" s="211" t="s">
        <v>424</v>
      </c>
      <c r="D298" s="211" t="s">
        <v>1239</v>
      </c>
      <c r="E298" s="211" t="s">
        <v>416</v>
      </c>
      <c r="F298" s="213">
        <v>241795</v>
      </c>
      <c r="G298" s="213">
        <v>241795</v>
      </c>
      <c r="H298" s="147" t="str">
        <f t="shared" si="4"/>
        <v>01139070040000244</v>
      </c>
    </row>
    <row r="299" spans="1:8" ht="63.75">
      <c r="A299" s="216" t="s">
        <v>1367</v>
      </c>
      <c r="B299" s="211" t="s">
        <v>442</v>
      </c>
      <c r="C299" s="211" t="s">
        <v>424</v>
      </c>
      <c r="D299" s="211" t="s">
        <v>1368</v>
      </c>
      <c r="E299" s="211" t="s">
        <v>1468</v>
      </c>
      <c r="F299" s="213">
        <v>164126</v>
      </c>
      <c r="G299" s="213">
        <v>164126</v>
      </c>
      <c r="H299" s="147" t="str">
        <f t="shared" si="4"/>
        <v>01139070047000</v>
      </c>
    </row>
    <row r="300" spans="1:8" ht="76.5">
      <c r="A300" s="216" t="s">
        <v>1754</v>
      </c>
      <c r="B300" s="211" t="s">
        <v>442</v>
      </c>
      <c r="C300" s="211" t="s">
        <v>424</v>
      </c>
      <c r="D300" s="211" t="s">
        <v>1368</v>
      </c>
      <c r="E300" s="211" t="s">
        <v>322</v>
      </c>
      <c r="F300" s="213">
        <v>164126</v>
      </c>
      <c r="G300" s="213">
        <v>164126</v>
      </c>
      <c r="H300" s="147" t="str">
        <f t="shared" si="4"/>
        <v>01139070047000100</v>
      </c>
    </row>
    <row r="301" spans="1:8" ht="38.25">
      <c r="A301" s="216" t="s">
        <v>1509</v>
      </c>
      <c r="B301" s="211" t="s">
        <v>442</v>
      </c>
      <c r="C301" s="211" t="s">
        <v>424</v>
      </c>
      <c r="D301" s="211" t="s">
        <v>1368</v>
      </c>
      <c r="E301" s="211" t="s">
        <v>37</v>
      </c>
      <c r="F301" s="213">
        <v>164126</v>
      </c>
      <c r="G301" s="213">
        <v>164126</v>
      </c>
      <c r="H301" s="147" t="str">
        <f t="shared" si="4"/>
        <v>01139070047000120</v>
      </c>
    </row>
    <row r="302" spans="1:8" ht="51">
      <c r="A302" s="216" t="s">
        <v>412</v>
      </c>
      <c r="B302" s="211" t="s">
        <v>442</v>
      </c>
      <c r="C302" s="211" t="s">
        <v>424</v>
      </c>
      <c r="D302" s="211" t="s">
        <v>1368</v>
      </c>
      <c r="E302" s="211" t="s">
        <v>413</v>
      </c>
      <c r="F302" s="213">
        <v>164126</v>
      </c>
      <c r="G302" s="213">
        <v>164126</v>
      </c>
      <c r="H302" s="147" t="str">
        <f t="shared" si="4"/>
        <v>01139070047000122</v>
      </c>
    </row>
    <row r="303" spans="1:8" ht="25.5">
      <c r="A303" s="216" t="s">
        <v>299</v>
      </c>
      <c r="B303" s="211" t="s">
        <v>242</v>
      </c>
      <c r="C303" s="211" t="s">
        <v>1468</v>
      </c>
      <c r="D303" s="211" t="s">
        <v>1468</v>
      </c>
      <c r="E303" s="211" t="s">
        <v>1468</v>
      </c>
      <c r="F303" s="213">
        <v>3380699</v>
      </c>
      <c r="G303" s="213">
        <v>3380699</v>
      </c>
      <c r="H303" s="147" t="str">
        <f t="shared" si="4"/>
        <v/>
      </c>
    </row>
    <row r="304" spans="1:8" ht="25.5">
      <c r="A304" s="216" t="s">
        <v>283</v>
      </c>
      <c r="B304" s="211" t="s">
        <v>242</v>
      </c>
      <c r="C304" s="211" t="s">
        <v>1363</v>
      </c>
      <c r="D304" s="211" t="s">
        <v>1468</v>
      </c>
      <c r="E304" s="211" t="s">
        <v>1468</v>
      </c>
      <c r="F304" s="213">
        <v>3380699</v>
      </c>
      <c r="G304" s="213">
        <v>3380699</v>
      </c>
      <c r="H304" s="147" t="str">
        <f t="shared" si="4"/>
        <v>0500</v>
      </c>
    </row>
    <row r="305" spans="1:8" ht="25.5">
      <c r="A305" s="216" t="s">
        <v>185</v>
      </c>
      <c r="B305" s="211" t="s">
        <v>242</v>
      </c>
      <c r="C305" s="211" t="s">
        <v>477</v>
      </c>
      <c r="D305" s="211" t="s">
        <v>1468</v>
      </c>
      <c r="E305" s="211" t="s">
        <v>1468</v>
      </c>
      <c r="F305" s="213">
        <v>3380699</v>
      </c>
      <c r="G305" s="213">
        <v>3380699</v>
      </c>
      <c r="H305" s="147" t="str">
        <f t="shared" si="4"/>
        <v>0505</v>
      </c>
    </row>
    <row r="306" spans="1:8" ht="25.5">
      <c r="A306" s="222" t="s">
        <v>710</v>
      </c>
      <c r="B306" s="211" t="s">
        <v>242</v>
      </c>
      <c r="C306" s="211" t="s">
        <v>477</v>
      </c>
      <c r="D306" s="211" t="s">
        <v>1151</v>
      </c>
      <c r="E306" s="211" t="s">
        <v>1468</v>
      </c>
      <c r="F306" s="213">
        <v>3380699</v>
      </c>
      <c r="G306" s="213">
        <v>3380699</v>
      </c>
      <c r="H306" s="147" t="str">
        <f t="shared" si="4"/>
        <v>05059000000000</v>
      </c>
    </row>
    <row r="307" spans="1:8" ht="51">
      <c r="A307" s="216" t="s">
        <v>478</v>
      </c>
      <c r="B307" s="211" t="s">
        <v>242</v>
      </c>
      <c r="C307" s="211" t="s">
        <v>477</v>
      </c>
      <c r="D307" s="211" t="s">
        <v>1153</v>
      </c>
      <c r="E307" s="211" t="s">
        <v>1468</v>
      </c>
      <c r="F307" s="213">
        <v>3380699</v>
      </c>
      <c r="G307" s="213">
        <v>3380699</v>
      </c>
      <c r="H307" s="147" t="str">
        <f t="shared" si="4"/>
        <v>05059050000000</v>
      </c>
    </row>
    <row r="308" spans="1:8" ht="51">
      <c r="A308" s="216" t="s">
        <v>478</v>
      </c>
      <c r="B308" s="211" t="s">
        <v>242</v>
      </c>
      <c r="C308" s="211" t="s">
        <v>477</v>
      </c>
      <c r="D308" s="211" t="s">
        <v>822</v>
      </c>
      <c r="E308" s="211" t="s">
        <v>1468</v>
      </c>
      <c r="F308" s="213">
        <v>3380699</v>
      </c>
      <c r="G308" s="213">
        <v>3380699</v>
      </c>
      <c r="H308" s="147" t="str">
        <f t="shared" ref="H308:H368" si="5">CONCATENATE(C308,,D308,E308)</f>
        <v>05059050040000</v>
      </c>
    </row>
    <row r="309" spans="1:8" ht="76.5">
      <c r="A309" s="216" t="s">
        <v>1754</v>
      </c>
      <c r="B309" s="211" t="s">
        <v>242</v>
      </c>
      <c r="C309" s="211" t="s">
        <v>477</v>
      </c>
      <c r="D309" s="211" t="s">
        <v>822</v>
      </c>
      <c r="E309" s="211" t="s">
        <v>322</v>
      </c>
      <c r="F309" s="213">
        <v>3380699</v>
      </c>
      <c r="G309" s="213">
        <v>3380699</v>
      </c>
      <c r="H309" s="147" t="str">
        <f t="shared" si="5"/>
        <v>05059050040000100</v>
      </c>
    </row>
    <row r="310" spans="1:8" ht="25.5">
      <c r="A310" s="216" t="s">
        <v>1487</v>
      </c>
      <c r="B310" s="211" t="s">
        <v>242</v>
      </c>
      <c r="C310" s="211" t="s">
        <v>477</v>
      </c>
      <c r="D310" s="211" t="s">
        <v>822</v>
      </c>
      <c r="E310" s="211" t="s">
        <v>165</v>
      </c>
      <c r="F310" s="213">
        <v>3380699</v>
      </c>
      <c r="G310" s="213">
        <v>3380699</v>
      </c>
      <c r="H310" s="147" t="str">
        <f t="shared" si="5"/>
        <v>05059050040000110</v>
      </c>
    </row>
    <row r="311" spans="1:8">
      <c r="A311" s="216" t="s">
        <v>1360</v>
      </c>
      <c r="B311" s="211" t="s">
        <v>242</v>
      </c>
      <c r="C311" s="211" t="s">
        <v>477</v>
      </c>
      <c r="D311" s="211" t="s">
        <v>822</v>
      </c>
      <c r="E311" s="211" t="s">
        <v>430</v>
      </c>
      <c r="F311" s="213">
        <v>2596543</v>
      </c>
      <c r="G311" s="213">
        <v>2596543</v>
      </c>
      <c r="H311" s="147" t="str">
        <f t="shared" si="5"/>
        <v>05059050040000111</v>
      </c>
    </row>
    <row r="312" spans="1:8" ht="51">
      <c r="A312" s="216" t="s">
        <v>1361</v>
      </c>
      <c r="B312" s="211" t="s">
        <v>242</v>
      </c>
      <c r="C312" s="211" t="s">
        <v>477</v>
      </c>
      <c r="D312" s="211" t="s">
        <v>822</v>
      </c>
      <c r="E312" s="211" t="s">
        <v>1197</v>
      </c>
      <c r="F312" s="213">
        <v>784156</v>
      </c>
      <c r="G312" s="213">
        <v>784156</v>
      </c>
      <c r="H312" s="147" t="str">
        <f t="shared" si="5"/>
        <v>05059050040000119</v>
      </c>
    </row>
    <row r="313" spans="1:8" ht="38.25">
      <c r="A313" s="212" t="s">
        <v>481</v>
      </c>
      <c r="B313" s="140" t="s">
        <v>176</v>
      </c>
      <c r="C313" s="140" t="s">
        <v>1468</v>
      </c>
      <c r="D313" s="140" t="s">
        <v>1468</v>
      </c>
      <c r="E313" s="140" t="s">
        <v>1468</v>
      </c>
      <c r="F313" s="214">
        <v>84821800</v>
      </c>
      <c r="G313" s="214">
        <v>84821800</v>
      </c>
      <c r="H313" s="147" t="str">
        <f t="shared" si="5"/>
        <v/>
      </c>
    </row>
    <row r="314" spans="1:8">
      <c r="A314" s="212" t="s">
        <v>174</v>
      </c>
      <c r="B314" s="140" t="s">
        <v>176</v>
      </c>
      <c r="C314" s="140" t="s">
        <v>1365</v>
      </c>
      <c r="D314" s="140" t="s">
        <v>1468</v>
      </c>
      <c r="E314" s="140" t="s">
        <v>1468</v>
      </c>
      <c r="F314" s="214">
        <v>84821800</v>
      </c>
      <c r="G314" s="214">
        <v>84821800</v>
      </c>
      <c r="H314" s="147" t="str">
        <f t="shared" si="5"/>
        <v>1000</v>
      </c>
    </row>
    <row r="315" spans="1:8">
      <c r="A315" s="212" t="s">
        <v>1586</v>
      </c>
      <c r="B315" s="140" t="s">
        <v>176</v>
      </c>
      <c r="C315" s="140" t="s">
        <v>1587</v>
      </c>
      <c r="D315" s="140" t="s">
        <v>1468</v>
      </c>
      <c r="E315" s="140" t="s">
        <v>1468</v>
      </c>
      <c r="F315" s="214">
        <v>63202800</v>
      </c>
      <c r="G315" s="214">
        <v>63202800</v>
      </c>
      <c r="H315" s="147" t="str">
        <f t="shared" si="5"/>
        <v>1002</v>
      </c>
    </row>
    <row r="316" spans="1:8" ht="38.25">
      <c r="A316" s="212" t="s">
        <v>696</v>
      </c>
      <c r="B316" s="140" t="s">
        <v>176</v>
      </c>
      <c r="C316" s="140" t="s">
        <v>1587</v>
      </c>
      <c r="D316" s="140" t="s">
        <v>1108</v>
      </c>
      <c r="E316" s="140" t="s">
        <v>1468</v>
      </c>
      <c r="F316" s="214">
        <v>63202800</v>
      </c>
      <c r="G316" s="214">
        <v>63202800</v>
      </c>
      <c r="H316" s="147" t="str">
        <f t="shared" si="5"/>
        <v>10020200000000</v>
      </c>
    </row>
    <row r="317" spans="1:8" ht="38.25">
      <c r="A317" s="212" t="s">
        <v>543</v>
      </c>
      <c r="B317" s="140" t="s">
        <v>176</v>
      </c>
      <c r="C317" s="140" t="s">
        <v>1587</v>
      </c>
      <c r="D317" s="140" t="s">
        <v>1111</v>
      </c>
      <c r="E317" s="140" t="s">
        <v>1468</v>
      </c>
      <c r="F317" s="214">
        <v>63202800</v>
      </c>
      <c r="G317" s="214">
        <v>63202800</v>
      </c>
      <c r="H317" s="147" t="str">
        <f t="shared" si="5"/>
        <v>10020240000000</v>
      </c>
    </row>
    <row r="318" spans="1:8" ht="102">
      <c r="A318" s="212" t="s">
        <v>601</v>
      </c>
      <c r="B318" s="140" t="s">
        <v>176</v>
      </c>
      <c r="C318" s="140" t="s">
        <v>1587</v>
      </c>
      <c r="D318" s="140" t="s">
        <v>827</v>
      </c>
      <c r="E318" s="140" t="s">
        <v>1468</v>
      </c>
      <c r="F318" s="214">
        <v>63202800</v>
      </c>
      <c r="G318" s="214">
        <v>63202800</v>
      </c>
      <c r="H318" s="147" t="str">
        <f t="shared" si="5"/>
        <v>10020240001510</v>
      </c>
    </row>
    <row r="319" spans="1:8" ht="38.25">
      <c r="A319" s="212" t="s">
        <v>1763</v>
      </c>
      <c r="B319" s="140" t="s">
        <v>176</v>
      </c>
      <c r="C319" s="140" t="s">
        <v>1587</v>
      </c>
      <c r="D319" s="140" t="s">
        <v>827</v>
      </c>
      <c r="E319" s="140" t="s">
        <v>1764</v>
      </c>
      <c r="F319" s="214">
        <v>63202800</v>
      </c>
      <c r="G319" s="214">
        <v>63202800</v>
      </c>
      <c r="H319" s="147" t="str">
        <f t="shared" si="5"/>
        <v>10020240001510600</v>
      </c>
    </row>
    <row r="320" spans="1:8">
      <c r="A320" s="212" t="s">
        <v>1504</v>
      </c>
      <c r="B320" s="140" t="s">
        <v>176</v>
      </c>
      <c r="C320" s="140" t="s">
        <v>1587</v>
      </c>
      <c r="D320" s="140" t="s">
        <v>827</v>
      </c>
      <c r="E320" s="140" t="s">
        <v>1505</v>
      </c>
      <c r="F320" s="214">
        <v>63202800</v>
      </c>
      <c r="G320" s="214">
        <v>63202800</v>
      </c>
      <c r="H320" s="147" t="str">
        <f t="shared" si="5"/>
        <v>10020240001510610</v>
      </c>
    </row>
    <row r="321" spans="1:8" ht="76.5">
      <c r="A321" s="212" t="s">
        <v>435</v>
      </c>
      <c r="B321" s="140" t="s">
        <v>176</v>
      </c>
      <c r="C321" s="140" t="s">
        <v>1587</v>
      </c>
      <c r="D321" s="140" t="s">
        <v>827</v>
      </c>
      <c r="E321" s="140" t="s">
        <v>436</v>
      </c>
      <c r="F321" s="214">
        <v>63202800</v>
      </c>
      <c r="G321" s="214">
        <v>63202800</v>
      </c>
      <c r="H321" s="147" t="str">
        <f t="shared" si="5"/>
        <v>10020240001510611</v>
      </c>
    </row>
    <row r="322" spans="1:8">
      <c r="A322" s="212" t="s">
        <v>127</v>
      </c>
      <c r="B322" s="140" t="s">
        <v>176</v>
      </c>
      <c r="C322" s="140" t="s">
        <v>466</v>
      </c>
      <c r="D322" s="140" t="s">
        <v>1468</v>
      </c>
      <c r="E322" s="140" t="s">
        <v>1468</v>
      </c>
      <c r="F322" s="214">
        <v>192100</v>
      </c>
      <c r="G322" s="214">
        <v>192100</v>
      </c>
      <c r="H322" s="147" t="str">
        <f t="shared" si="5"/>
        <v>1003</v>
      </c>
    </row>
    <row r="323" spans="1:8" ht="38.25">
      <c r="A323" s="212" t="s">
        <v>696</v>
      </c>
      <c r="B323" s="140" t="s">
        <v>176</v>
      </c>
      <c r="C323" s="140" t="s">
        <v>466</v>
      </c>
      <c r="D323" s="140" t="s">
        <v>1108</v>
      </c>
      <c r="E323" s="140" t="s">
        <v>1468</v>
      </c>
      <c r="F323" s="214">
        <v>192100</v>
      </c>
      <c r="G323" s="214">
        <v>192100</v>
      </c>
      <c r="H323" s="147" t="str">
        <f t="shared" si="5"/>
        <v>10030200000000</v>
      </c>
    </row>
    <row r="324" spans="1:8" ht="25.5">
      <c r="A324" s="212" t="s">
        <v>698</v>
      </c>
      <c r="B324" s="140" t="s">
        <v>176</v>
      </c>
      <c r="C324" s="140" t="s">
        <v>466</v>
      </c>
      <c r="D324" s="140" t="s">
        <v>1110</v>
      </c>
      <c r="E324" s="140" t="s">
        <v>1468</v>
      </c>
      <c r="F324" s="214">
        <v>192100</v>
      </c>
      <c r="G324" s="214">
        <v>192100</v>
      </c>
      <c r="H324" s="147" t="str">
        <f t="shared" si="5"/>
        <v>10030220000000</v>
      </c>
    </row>
    <row r="325" spans="1:8" ht="114.75">
      <c r="A325" s="212" t="s">
        <v>1210</v>
      </c>
      <c r="B325" s="140" t="s">
        <v>176</v>
      </c>
      <c r="C325" s="140" t="s">
        <v>466</v>
      </c>
      <c r="D325" s="140" t="s">
        <v>1211</v>
      </c>
      <c r="E325" s="140" t="s">
        <v>1468</v>
      </c>
      <c r="F325" s="214">
        <v>192100</v>
      </c>
      <c r="G325" s="214">
        <v>192100</v>
      </c>
      <c r="H325" s="147" t="str">
        <f t="shared" si="5"/>
        <v>10030220006400</v>
      </c>
    </row>
    <row r="326" spans="1:8" ht="38.25">
      <c r="A326" s="212" t="s">
        <v>1755</v>
      </c>
      <c r="B326" s="140" t="s">
        <v>176</v>
      </c>
      <c r="C326" s="140" t="s">
        <v>466</v>
      </c>
      <c r="D326" s="140" t="s">
        <v>1211</v>
      </c>
      <c r="E326" s="140" t="s">
        <v>1756</v>
      </c>
      <c r="F326" s="214">
        <v>192100</v>
      </c>
      <c r="G326" s="214">
        <v>192100</v>
      </c>
      <c r="H326" s="147" t="str">
        <f t="shared" si="5"/>
        <v>10030220006400200</v>
      </c>
    </row>
    <row r="327" spans="1:8" ht="38.25">
      <c r="A327" s="212" t="s">
        <v>1502</v>
      </c>
      <c r="B327" s="140" t="s">
        <v>176</v>
      </c>
      <c r="C327" s="140" t="s">
        <v>466</v>
      </c>
      <c r="D327" s="140" t="s">
        <v>1211</v>
      </c>
      <c r="E327" s="140" t="s">
        <v>1503</v>
      </c>
      <c r="F327" s="214">
        <v>192100</v>
      </c>
      <c r="G327" s="214">
        <v>192100</v>
      </c>
      <c r="H327" s="147" t="str">
        <f t="shared" si="5"/>
        <v>10030220006400240</v>
      </c>
    </row>
    <row r="328" spans="1:8">
      <c r="A328" s="212" t="s">
        <v>1577</v>
      </c>
      <c r="B328" s="140" t="s">
        <v>176</v>
      </c>
      <c r="C328" s="140" t="s">
        <v>466</v>
      </c>
      <c r="D328" s="140" t="s">
        <v>1211</v>
      </c>
      <c r="E328" s="140" t="s">
        <v>416</v>
      </c>
      <c r="F328" s="214">
        <v>192100</v>
      </c>
      <c r="G328" s="214">
        <v>192100</v>
      </c>
      <c r="H328" s="147" t="str">
        <f t="shared" si="5"/>
        <v>10030220006400244</v>
      </c>
    </row>
    <row r="329" spans="1:8" ht="25.5">
      <c r="A329" s="212" t="s">
        <v>82</v>
      </c>
      <c r="B329" s="140" t="s">
        <v>176</v>
      </c>
      <c r="C329" s="140" t="s">
        <v>483</v>
      </c>
      <c r="D329" s="140" t="s">
        <v>1468</v>
      </c>
      <c r="E329" s="140" t="s">
        <v>1468</v>
      </c>
      <c r="F329" s="214">
        <v>21426900</v>
      </c>
      <c r="G329" s="214">
        <v>21426900</v>
      </c>
      <c r="H329" s="147" t="str">
        <f t="shared" si="5"/>
        <v>1006</v>
      </c>
    </row>
    <row r="330" spans="1:8" ht="38.25">
      <c r="A330" s="212" t="s">
        <v>696</v>
      </c>
      <c r="B330" s="140" t="s">
        <v>176</v>
      </c>
      <c r="C330" s="140" t="s">
        <v>483</v>
      </c>
      <c r="D330" s="140" t="s">
        <v>1108</v>
      </c>
      <c r="E330" s="140" t="s">
        <v>1468</v>
      </c>
      <c r="F330" s="214">
        <v>21426900</v>
      </c>
      <c r="G330" s="214">
        <v>21426900</v>
      </c>
      <c r="H330" s="147" t="str">
        <f t="shared" si="5"/>
        <v>10060200000000</v>
      </c>
    </row>
    <row r="331" spans="1:8" ht="89.25">
      <c r="A331" s="212" t="s">
        <v>699</v>
      </c>
      <c r="B331" s="140" t="s">
        <v>176</v>
      </c>
      <c r="C331" s="140" t="s">
        <v>483</v>
      </c>
      <c r="D331" s="140" t="s">
        <v>1112</v>
      </c>
      <c r="E331" s="140" t="s">
        <v>1468</v>
      </c>
      <c r="F331" s="214">
        <v>21426900</v>
      </c>
      <c r="G331" s="214">
        <v>21426900</v>
      </c>
      <c r="H331" s="147" t="str">
        <f t="shared" si="5"/>
        <v>10060260000000</v>
      </c>
    </row>
    <row r="332" spans="1:8" ht="165.75">
      <c r="A332" s="212" t="s">
        <v>674</v>
      </c>
      <c r="B332" s="140" t="s">
        <v>176</v>
      </c>
      <c r="C332" s="140" t="s">
        <v>483</v>
      </c>
      <c r="D332" s="140" t="s">
        <v>829</v>
      </c>
      <c r="E332" s="140" t="s">
        <v>1468</v>
      </c>
      <c r="F332" s="214">
        <v>21426900</v>
      </c>
      <c r="G332" s="214">
        <v>21426900</v>
      </c>
      <c r="H332" s="147" t="str">
        <f t="shared" si="5"/>
        <v>10060260075130</v>
      </c>
    </row>
    <row r="333" spans="1:8" ht="76.5">
      <c r="A333" s="212" t="s">
        <v>1754</v>
      </c>
      <c r="B333" s="140" t="s">
        <v>176</v>
      </c>
      <c r="C333" s="140" t="s">
        <v>483</v>
      </c>
      <c r="D333" s="140" t="s">
        <v>829</v>
      </c>
      <c r="E333" s="140" t="s">
        <v>322</v>
      </c>
      <c r="F333" s="214">
        <v>18971600</v>
      </c>
      <c r="G333" s="214">
        <v>18971600</v>
      </c>
      <c r="H333" s="147" t="str">
        <f t="shared" si="5"/>
        <v>10060260075130100</v>
      </c>
    </row>
    <row r="334" spans="1:8" ht="38.25">
      <c r="A334" s="212" t="s">
        <v>1509</v>
      </c>
      <c r="B334" s="140" t="s">
        <v>176</v>
      </c>
      <c r="C334" s="140" t="s">
        <v>483</v>
      </c>
      <c r="D334" s="140" t="s">
        <v>829</v>
      </c>
      <c r="E334" s="140" t="s">
        <v>37</v>
      </c>
      <c r="F334" s="214">
        <v>18971600</v>
      </c>
      <c r="G334" s="214">
        <v>18971600</v>
      </c>
      <c r="H334" s="147" t="str">
        <f t="shared" si="5"/>
        <v>10060260075130120</v>
      </c>
    </row>
    <row r="335" spans="1:8" ht="25.5">
      <c r="A335" s="212" t="s">
        <v>1081</v>
      </c>
      <c r="B335" s="140" t="s">
        <v>176</v>
      </c>
      <c r="C335" s="140" t="s">
        <v>483</v>
      </c>
      <c r="D335" s="140" t="s">
        <v>829</v>
      </c>
      <c r="E335" s="140" t="s">
        <v>411</v>
      </c>
      <c r="F335" s="214">
        <v>14446800</v>
      </c>
      <c r="G335" s="214">
        <v>14446800</v>
      </c>
      <c r="H335" s="147" t="str">
        <f t="shared" si="5"/>
        <v>10060260075130121</v>
      </c>
    </row>
    <row r="336" spans="1:8" ht="51">
      <c r="A336" s="212" t="s">
        <v>412</v>
      </c>
      <c r="B336" s="140" t="s">
        <v>176</v>
      </c>
      <c r="C336" s="140" t="s">
        <v>483</v>
      </c>
      <c r="D336" s="140" t="s">
        <v>829</v>
      </c>
      <c r="E336" s="140" t="s">
        <v>413</v>
      </c>
      <c r="F336" s="214">
        <v>161900</v>
      </c>
      <c r="G336" s="214">
        <v>161900</v>
      </c>
      <c r="H336" s="147" t="str">
        <f t="shared" si="5"/>
        <v>10060260075130122</v>
      </c>
    </row>
    <row r="337" spans="1:8" ht="63.75">
      <c r="A337" s="212" t="s">
        <v>1195</v>
      </c>
      <c r="B337" s="140" t="s">
        <v>176</v>
      </c>
      <c r="C337" s="140" t="s">
        <v>483</v>
      </c>
      <c r="D337" s="140" t="s">
        <v>829</v>
      </c>
      <c r="E337" s="140" t="s">
        <v>1196</v>
      </c>
      <c r="F337" s="214">
        <v>4362900</v>
      </c>
      <c r="G337" s="214">
        <v>4362900</v>
      </c>
      <c r="H337" s="147" t="str">
        <f t="shared" si="5"/>
        <v>10060260075130129</v>
      </c>
    </row>
    <row r="338" spans="1:8" ht="38.25">
      <c r="A338" s="212" t="s">
        <v>1755</v>
      </c>
      <c r="B338" s="140" t="s">
        <v>176</v>
      </c>
      <c r="C338" s="140" t="s">
        <v>483</v>
      </c>
      <c r="D338" s="140" t="s">
        <v>829</v>
      </c>
      <c r="E338" s="140" t="s">
        <v>1756</v>
      </c>
      <c r="F338" s="214">
        <v>2455300</v>
      </c>
      <c r="G338" s="214">
        <v>2455300</v>
      </c>
      <c r="H338" s="147" t="str">
        <f t="shared" si="5"/>
        <v>10060260075130200</v>
      </c>
    </row>
    <row r="339" spans="1:8" ht="38.25">
      <c r="A339" s="212" t="s">
        <v>1502</v>
      </c>
      <c r="B339" s="140" t="s">
        <v>176</v>
      </c>
      <c r="C339" s="140" t="s">
        <v>483</v>
      </c>
      <c r="D339" s="140" t="s">
        <v>829</v>
      </c>
      <c r="E339" s="140" t="s">
        <v>1503</v>
      </c>
      <c r="F339" s="214">
        <v>2455300</v>
      </c>
      <c r="G339" s="214">
        <v>2455300</v>
      </c>
      <c r="H339" s="147" t="str">
        <f t="shared" si="5"/>
        <v>10060260075130240</v>
      </c>
    </row>
    <row r="340" spans="1:8">
      <c r="A340" s="212" t="s">
        <v>1577</v>
      </c>
      <c r="B340" s="140" t="s">
        <v>176</v>
      </c>
      <c r="C340" s="140" t="s">
        <v>483</v>
      </c>
      <c r="D340" s="140" t="s">
        <v>829</v>
      </c>
      <c r="E340" s="140" t="s">
        <v>416</v>
      </c>
      <c r="F340" s="214">
        <v>2455300</v>
      </c>
      <c r="G340" s="214">
        <v>2455300</v>
      </c>
      <c r="H340" s="147" t="str">
        <f t="shared" si="5"/>
        <v>10060260075130244</v>
      </c>
    </row>
    <row r="341" spans="1:8" ht="38.25">
      <c r="A341" s="212" t="s">
        <v>300</v>
      </c>
      <c r="B341" s="140" t="s">
        <v>274</v>
      </c>
      <c r="C341" s="140" t="s">
        <v>1468</v>
      </c>
      <c r="D341" s="140" t="s">
        <v>1468</v>
      </c>
      <c r="E341" s="140" t="s">
        <v>1468</v>
      </c>
      <c r="F341" s="214">
        <v>224336799</v>
      </c>
      <c r="G341" s="214">
        <v>224336799</v>
      </c>
      <c r="H341" s="147" t="str">
        <f t="shared" si="5"/>
        <v/>
      </c>
    </row>
    <row r="342" spans="1:8">
      <c r="A342" s="222" t="s">
        <v>173</v>
      </c>
      <c r="B342" s="140" t="s">
        <v>274</v>
      </c>
      <c r="C342" s="140" t="s">
        <v>1364</v>
      </c>
      <c r="D342" s="140" t="s">
        <v>1468</v>
      </c>
      <c r="E342" s="140" t="s">
        <v>1468</v>
      </c>
      <c r="F342" s="214">
        <v>50371625</v>
      </c>
      <c r="G342" s="214">
        <v>50371625</v>
      </c>
      <c r="H342" s="147" t="str">
        <f t="shared" si="5"/>
        <v>0700</v>
      </c>
    </row>
    <row r="343" spans="1:8">
      <c r="A343" s="212" t="s">
        <v>1240</v>
      </c>
      <c r="B343" s="140" t="s">
        <v>274</v>
      </c>
      <c r="C343" s="140" t="s">
        <v>1241</v>
      </c>
      <c r="D343" s="140" t="s">
        <v>1468</v>
      </c>
      <c r="E343" s="140" t="s">
        <v>1468</v>
      </c>
      <c r="F343" s="214">
        <v>42172425</v>
      </c>
      <c r="G343" s="214">
        <v>42172425</v>
      </c>
      <c r="H343" s="147" t="str">
        <f t="shared" si="5"/>
        <v>0703</v>
      </c>
    </row>
    <row r="344" spans="1:8" ht="25.5">
      <c r="A344" s="212" t="s">
        <v>554</v>
      </c>
      <c r="B344" s="140" t="s">
        <v>274</v>
      </c>
      <c r="C344" s="140" t="s">
        <v>1241</v>
      </c>
      <c r="D344" s="140" t="s">
        <v>1120</v>
      </c>
      <c r="E344" s="140" t="s">
        <v>1468</v>
      </c>
      <c r="F344" s="214">
        <v>42172425</v>
      </c>
      <c r="G344" s="214">
        <v>42172425</v>
      </c>
      <c r="H344" s="147" t="str">
        <f t="shared" si="5"/>
        <v>07030500000000</v>
      </c>
    </row>
    <row r="345" spans="1:8" ht="25.5">
      <c r="A345" s="212" t="s">
        <v>703</v>
      </c>
      <c r="B345" s="140" t="s">
        <v>274</v>
      </c>
      <c r="C345" s="140" t="s">
        <v>1241</v>
      </c>
      <c r="D345" s="140" t="s">
        <v>1122</v>
      </c>
      <c r="E345" s="140" t="s">
        <v>1468</v>
      </c>
      <c r="F345" s="214">
        <v>200000</v>
      </c>
      <c r="G345" s="214">
        <v>200000</v>
      </c>
      <c r="H345" s="147" t="str">
        <f t="shared" si="5"/>
        <v>07030520000000</v>
      </c>
    </row>
    <row r="346" spans="1:8" ht="63.75">
      <c r="A346" s="222" t="s">
        <v>602</v>
      </c>
      <c r="B346" s="140" t="s">
        <v>274</v>
      </c>
      <c r="C346" s="140" t="s">
        <v>1241</v>
      </c>
      <c r="D346" s="140" t="s">
        <v>830</v>
      </c>
      <c r="E346" s="140" t="s">
        <v>1468</v>
      </c>
      <c r="F346" s="214">
        <v>200000</v>
      </c>
      <c r="G346" s="214">
        <v>200000</v>
      </c>
      <c r="H346" s="147" t="str">
        <f t="shared" si="5"/>
        <v>07030520080520</v>
      </c>
    </row>
    <row r="347" spans="1:8" ht="38.25">
      <c r="A347" s="212" t="s">
        <v>1763</v>
      </c>
      <c r="B347" s="140" t="s">
        <v>274</v>
      </c>
      <c r="C347" s="140" t="s">
        <v>1241</v>
      </c>
      <c r="D347" s="140" t="s">
        <v>830</v>
      </c>
      <c r="E347" s="140" t="s">
        <v>1764</v>
      </c>
      <c r="F347" s="214">
        <v>200000</v>
      </c>
      <c r="G347" s="214">
        <v>200000</v>
      </c>
      <c r="H347" s="147" t="str">
        <f t="shared" si="5"/>
        <v>07030520080520600</v>
      </c>
    </row>
    <row r="348" spans="1:8">
      <c r="A348" s="267" t="s">
        <v>1504</v>
      </c>
      <c r="B348" s="140" t="s">
        <v>274</v>
      </c>
      <c r="C348" s="140" t="s">
        <v>1241</v>
      </c>
      <c r="D348" s="140" t="s">
        <v>830</v>
      </c>
      <c r="E348" s="140" t="s">
        <v>1505</v>
      </c>
      <c r="F348" s="214">
        <v>200000</v>
      </c>
      <c r="G348" s="214">
        <v>200000</v>
      </c>
      <c r="H348" s="147"/>
    </row>
    <row r="349" spans="1:8" ht="25.5">
      <c r="A349" s="267" t="s">
        <v>454</v>
      </c>
      <c r="B349" s="140" t="s">
        <v>274</v>
      </c>
      <c r="C349" s="140" t="s">
        <v>1241</v>
      </c>
      <c r="D349" s="140" t="s">
        <v>830</v>
      </c>
      <c r="E349" s="140" t="s">
        <v>455</v>
      </c>
      <c r="F349" s="214">
        <v>200000</v>
      </c>
      <c r="G349" s="214">
        <v>200000</v>
      </c>
      <c r="H349" s="147"/>
    </row>
    <row r="350" spans="1:8" ht="38.25">
      <c r="A350" s="212" t="s">
        <v>704</v>
      </c>
      <c r="B350" s="140" t="s">
        <v>274</v>
      </c>
      <c r="C350" s="140" t="s">
        <v>1241</v>
      </c>
      <c r="D350" s="140" t="s">
        <v>1123</v>
      </c>
      <c r="E350" s="140" t="s">
        <v>1468</v>
      </c>
      <c r="F350" s="214">
        <v>41972425</v>
      </c>
      <c r="G350" s="214">
        <v>41972425</v>
      </c>
      <c r="H350" s="147" t="str">
        <f t="shared" si="5"/>
        <v>07030530000000</v>
      </c>
    </row>
    <row r="351" spans="1:8" ht="127.5">
      <c r="A351" s="212" t="s">
        <v>603</v>
      </c>
      <c r="B351" s="140" t="s">
        <v>274</v>
      </c>
      <c r="C351" s="140" t="s">
        <v>1241</v>
      </c>
      <c r="D351" s="140" t="s">
        <v>831</v>
      </c>
      <c r="E351" s="140" t="s">
        <v>1468</v>
      </c>
      <c r="F351" s="214">
        <v>32164965</v>
      </c>
      <c r="G351" s="214">
        <v>32164965</v>
      </c>
      <c r="H351" s="147" t="str">
        <f t="shared" si="5"/>
        <v>07030530040000</v>
      </c>
    </row>
    <row r="352" spans="1:8" ht="38.25">
      <c r="A352" s="212" t="s">
        <v>1763</v>
      </c>
      <c r="B352" s="140" t="s">
        <v>274</v>
      </c>
      <c r="C352" s="140" t="s">
        <v>1241</v>
      </c>
      <c r="D352" s="140" t="s">
        <v>831</v>
      </c>
      <c r="E352" s="140" t="s">
        <v>1764</v>
      </c>
      <c r="F352" s="214">
        <v>32164965</v>
      </c>
      <c r="G352" s="214">
        <v>32164965</v>
      </c>
      <c r="H352" s="147" t="str">
        <f t="shared" si="5"/>
        <v>07030530040000600</v>
      </c>
    </row>
    <row r="353" spans="1:8">
      <c r="A353" s="212" t="s">
        <v>1504</v>
      </c>
      <c r="B353" s="140" t="s">
        <v>274</v>
      </c>
      <c r="C353" s="140" t="s">
        <v>1241</v>
      </c>
      <c r="D353" s="140" t="s">
        <v>831</v>
      </c>
      <c r="E353" s="140" t="s">
        <v>1505</v>
      </c>
      <c r="F353" s="214">
        <v>32164965</v>
      </c>
      <c r="G353" s="214">
        <v>32164965</v>
      </c>
      <c r="H353" s="147" t="str">
        <f t="shared" si="5"/>
        <v>07030530040000610</v>
      </c>
    </row>
    <row r="354" spans="1:8" ht="76.5">
      <c r="A354" s="212" t="s">
        <v>435</v>
      </c>
      <c r="B354" s="140" t="s">
        <v>274</v>
      </c>
      <c r="C354" s="140" t="s">
        <v>1241</v>
      </c>
      <c r="D354" s="140" t="s">
        <v>831</v>
      </c>
      <c r="E354" s="140" t="s">
        <v>436</v>
      </c>
      <c r="F354" s="214">
        <v>32164965</v>
      </c>
      <c r="G354" s="214">
        <v>32164965</v>
      </c>
      <c r="H354" s="147" t="str">
        <f t="shared" si="5"/>
        <v>07030530040000611</v>
      </c>
    </row>
    <row r="355" spans="1:8" ht="165.75">
      <c r="A355" s="212" t="s">
        <v>604</v>
      </c>
      <c r="B355" s="140" t="s">
        <v>274</v>
      </c>
      <c r="C355" s="140" t="s">
        <v>1241</v>
      </c>
      <c r="D355" s="140" t="s">
        <v>832</v>
      </c>
      <c r="E355" s="140" t="s">
        <v>1468</v>
      </c>
      <c r="F355" s="214">
        <v>5792726</v>
      </c>
      <c r="G355" s="214">
        <v>5792726</v>
      </c>
      <c r="H355" s="147" t="str">
        <f t="shared" si="5"/>
        <v>07030530041000</v>
      </c>
    </row>
    <row r="356" spans="1:8" ht="38.25">
      <c r="A356" s="212" t="s">
        <v>1763</v>
      </c>
      <c r="B356" s="140" t="s">
        <v>274</v>
      </c>
      <c r="C356" s="140" t="s">
        <v>1241</v>
      </c>
      <c r="D356" s="140" t="s">
        <v>832</v>
      </c>
      <c r="E356" s="140" t="s">
        <v>1764</v>
      </c>
      <c r="F356" s="214">
        <v>5792726</v>
      </c>
      <c r="G356" s="214">
        <v>5792726</v>
      </c>
      <c r="H356" s="147" t="str">
        <f t="shared" si="5"/>
        <v>07030530041000600</v>
      </c>
    </row>
    <row r="357" spans="1:8">
      <c r="A357" s="212" t="s">
        <v>1504</v>
      </c>
      <c r="B357" s="140" t="s">
        <v>274</v>
      </c>
      <c r="C357" s="140" t="s">
        <v>1241</v>
      </c>
      <c r="D357" s="140" t="s">
        <v>832</v>
      </c>
      <c r="E357" s="140" t="s">
        <v>1505</v>
      </c>
      <c r="F357" s="214">
        <v>5792726</v>
      </c>
      <c r="G357" s="214">
        <v>5792726</v>
      </c>
      <c r="H357" s="147" t="str">
        <f t="shared" si="5"/>
        <v>07030530041000610</v>
      </c>
    </row>
    <row r="358" spans="1:8" ht="76.5">
      <c r="A358" s="212" t="s">
        <v>435</v>
      </c>
      <c r="B358" s="140" t="s">
        <v>274</v>
      </c>
      <c r="C358" s="140" t="s">
        <v>1241</v>
      </c>
      <c r="D358" s="140" t="s">
        <v>832</v>
      </c>
      <c r="E358" s="140" t="s">
        <v>436</v>
      </c>
      <c r="F358" s="214">
        <v>5792726</v>
      </c>
      <c r="G358" s="214">
        <v>5792726</v>
      </c>
      <c r="H358" s="147" t="str">
        <f t="shared" si="5"/>
        <v>07030530041000611</v>
      </c>
    </row>
    <row r="359" spans="1:8" ht="140.25">
      <c r="A359" s="212" t="s">
        <v>675</v>
      </c>
      <c r="B359" s="140" t="s">
        <v>274</v>
      </c>
      <c r="C359" s="140" t="s">
        <v>1241</v>
      </c>
      <c r="D359" s="140" t="s">
        <v>833</v>
      </c>
      <c r="E359" s="140" t="s">
        <v>1468</v>
      </c>
      <c r="F359" s="214">
        <v>148161</v>
      </c>
      <c r="G359" s="214">
        <v>148161</v>
      </c>
      <c r="H359" s="147" t="str">
        <f t="shared" si="5"/>
        <v>07030530045000</v>
      </c>
    </row>
    <row r="360" spans="1:8" ht="38.25">
      <c r="A360" s="212" t="s">
        <v>1763</v>
      </c>
      <c r="B360" s="140" t="s">
        <v>274</v>
      </c>
      <c r="C360" s="140" t="s">
        <v>1241</v>
      </c>
      <c r="D360" s="140" t="s">
        <v>833</v>
      </c>
      <c r="E360" s="140" t="s">
        <v>1764</v>
      </c>
      <c r="F360" s="214">
        <v>148161</v>
      </c>
      <c r="G360" s="214">
        <v>148161</v>
      </c>
      <c r="H360" s="147" t="str">
        <f t="shared" si="5"/>
        <v>07030530045000600</v>
      </c>
    </row>
    <row r="361" spans="1:8">
      <c r="A361" s="212" t="s">
        <v>1504</v>
      </c>
      <c r="B361" s="140" t="s">
        <v>274</v>
      </c>
      <c r="C361" s="140" t="s">
        <v>1241</v>
      </c>
      <c r="D361" s="140" t="s">
        <v>833</v>
      </c>
      <c r="E361" s="140" t="s">
        <v>1505</v>
      </c>
      <c r="F361" s="153">
        <v>148161</v>
      </c>
      <c r="G361" s="153">
        <v>148161</v>
      </c>
      <c r="H361" s="147" t="str">
        <f t="shared" si="5"/>
        <v>07030530045000610</v>
      </c>
    </row>
    <row r="362" spans="1:8" ht="76.5">
      <c r="A362" s="212" t="s">
        <v>435</v>
      </c>
      <c r="B362" s="140" t="s">
        <v>274</v>
      </c>
      <c r="C362" s="140" t="s">
        <v>1241</v>
      </c>
      <c r="D362" s="140" t="s">
        <v>833</v>
      </c>
      <c r="E362" s="140" t="s">
        <v>436</v>
      </c>
      <c r="F362" s="153">
        <v>148161</v>
      </c>
      <c r="G362" s="153">
        <v>148161</v>
      </c>
      <c r="H362" s="147" t="str">
        <f t="shared" si="5"/>
        <v>07030530045000611</v>
      </c>
    </row>
    <row r="363" spans="1:8" ht="127.5">
      <c r="A363" s="212" t="s">
        <v>605</v>
      </c>
      <c r="B363" s="140" t="s">
        <v>274</v>
      </c>
      <c r="C363" s="140" t="s">
        <v>1241</v>
      </c>
      <c r="D363" s="140" t="s">
        <v>834</v>
      </c>
      <c r="E363" s="140" t="s">
        <v>1468</v>
      </c>
      <c r="F363" s="153">
        <v>473773</v>
      </c>
      <c r="G363" s="153">
        <v>473773</v>
      </c>
      <c r="H363" s="147" t="str">
        <f t="shared" si="5"/>
        <v>07030530047000</v>
      </c>
    </row>
    <row r="364" spans="1:8" ht="38.25">
      <c r="A364" s="222" t="s">
        <v>1763</v>
      </c>
      <c r="B364" s="140" t="s">
        <v>274</v>
      </c>
      <c r="C364" s="140" t="s">
        <v>1241</v>
      </c>
      <c r="D364" s="140" t="s">
        <v>834</v>
      </c>
      <c r="E364" s="140" t="s">
        <v>1764</v>
      </c>
      <c r="F364" s="153">
        <v>473773</v>
      </c>
      <c r="G364" s="153">
        <v>473773</v>
      </c>
      <c r="H364" s="147" t="str">
        <f t="shared" si="5"/>
        <v>07030530047000600</v>
      </c>
    </row>
    <row r="365" spans="1:8">
      <c r="A365" s="212" t="s">
        <v>1504</v>
      </c>
      <c r="B365" s="140" t="s">
        <v>274</v>
      </c>
      <c r="C365" s="140" t="s">
        <v>1241</v>
      </c>
      <c r="D365" s="140" t="s">
        <v>834</v>
      </c>
      <c r="E365" s="140" t="s">
        <v>1505</v>
      </c>
      <c r="F365" s="153">
        <v>473773</v>
      </c>
      <c r="G365" s="153">
        <v>473773</v>
      </c>
      <c r="H365" s="147" t="str">
        <f t="shared" si="5"/>
        <v>07030530047000610</v>
      </c>
    </row>
    <row r="366" spans="1:8" ht="25.5">
      <c r="A366" s="212" t="s">
        <v>454</v>
      </c>
      <c r="B366" s="140" t="s">
        <v>274</v>
      </c>
      <c r="C366" s="140" t="s">
        <v>1241</v>
      </c>
      <c r="D366" s="140" t="s">
        <v>834</v>
      </c>
      <c r="E366" s="140" t="s">
        <v>455</v>
      </c>
      <c r="F366" s="153">
        <v>473773</v>
      </c>
      <c r="G366" s="153">
        <v>473773</v>
      </c>
      <c r="H366" s="147" t="str">
        <f t="shared" si="5"/>
        <v>07030530047000612</v>
      </c>
    </row>
    <row r="367" spans="1:8" ht="127.5">
      <c r="A367" s="212" t="s">
        <v>676</v>
      </c>
      <c r="B367" s="140" t="s">
        <v>274</v>
      </c>
      <c r="C367" s="140" t="s">
        <v>1241</v>
      </c>
      <c r="D367" s="140" t="s">
        <v>835</v>
      </c>
      <c r="E367" s="140" t="s">
        <v>1468</v>
      </c>
      <c r="F367" s="153">
        <v>3061800</v>
      </c>
      <c r="G367" s="153">
        <v>3061800</v>
      </c>
      <c r="H367" s="147" t="str">
        <f t="shared" si="5"/>
        <v>0703053004Г000</v>
      </c>
    </row>
    <row r="368" spans="1:8" ht="38.25">
      <c r="A368" s="212" t="s">
        <v>1763</v>
      </c>
      <c r="B368" s="140" t="s">
        <v>274</v>
      </c>
      <c r="C368" s="140" t="s">
        <v>1241</v>
      </c>
      <c r="D368" s="140" t="s">
        <v>835</v>
      </c>
      <c r="E368" s="140" t="s">
        <v>1764</v>
      </c>
      <c r="F368" s="153">
        <v>3061800</v>
      </c>
      <c r="G368" s="153">
        <v>3061800</v>
      </c>
      <c r="H368" s="147" t="str">
        <f t="shared" si="5"/>
        <v>0703053004Г000600</v>
      </c>
    </row>
    <row r="369" spans="1:8">
      <c r="A369" s="212" t="s">
        <v>1504</v>
      </c>
      <c r="B369" s="140" t="s">
        <v>274</v>
      </c>
      <c r="C369" s="140" t="s">
        <v>1241</v>
      </c>
      <c r="D369" s="140" t="s">
        <v>835</v>
      </c>
      <c r="E369" s="140" t="s">
        <v>1505</v>
      </c>
      <c r="F369" s="153">
        <v>3061800</v>
      </c>
      <c r="G369" s="153">
        <v>3061800</v>
      </c>
      <c r="H369" s="147" t="str">
        <f t="shared" ref="H369:H429" si="6">CONCATENATE(C369,,D369,E369)</f>
        <v>0703053004Г000610</v>
      </c>
    </row>
    <row r="370" spans="1:8" ht="76.5">
      <c r="A370" s="212" t="s">
        <v>435</v>
      </c>
      <c r="B370" s="140" t="s">
        <v>274</v>
      </c>
      <c r="C370" s="140" t="s">
        <v>1241</v>
      </c>
      <c r="D370" s="140" t="s">
        <v>835</v>
      </c>
      <c r="E370" s="140" t="s">
        <v>436</v>
      </c>
      <c r="F370" s="153">
        <v>3061800</v>
      </c>
      <c r="G370" s="153">
        <v>3061800</v>
      </c>
      <c r="H370" s="147" t="str">
        <f t="shared" si="6"/>
        <v>0703053004Г000611</v>
      </c>
    </row>
    <row r="371" spans="1:8" ht="114.75">
      <c r="A371" s="212" t="s">
        <v>1087</v>
      </c>
      <c r="B371" s="140" t="s">
        <v>274</v>
      </c>
      <c r="C371" s="140" t="s">
        <v>1241</v>
      </c>
      <c r="D371" s="140" t="s">
        <v>1088</v>
      </c>
      <c r="E371" s="140" t="s">
        <v>1468</v>
      </c>
      <c r="F371" s="153">
        <v>331000</v>
      </c>
      <c r="G371" s="153">
        <v>331000</v>
      </c>
      <c r="H371" s="147" t="str">
        <f t="shared" si="6"/>
        <v>0703053004Э000</v>
      </c>
    </row>
    <row r="372" spans="1:8" ht="38.25">
      <c r="A372" s="212" t="s">
        <v>1763</v>
      </c>
      <c r="B372" s="140" t="s">
        <v>274</v>
      </c>
      <c r="C372" s="140" t="s">
        <v>1241</v>
      </c>
      <c r="D372" s="140" t="s">
        <v>1088</v>
      </c>
      <c r="E372" s="140" t="s">
        <v>1764</v>
      </c>
      <c r="F372" s="153">
        <v>331000</v>
      </c>
      <c r="G372" s="153">
        <v>331000</v>
      </c>
      <c r="H372" s="147" t="str">
        <f t="shared" si="6"/>
        <v>0703053004Э000600</v>
      </c>
    </row>
    <row r="373" spans="1:8">
      <c r="A373" s="212" t="s">
        <v>1504</v>
      </c>
      <c r="B373" s="140" t="s">
        <v>274</v>
      </c>
      <c r="C373" s="140" t="s">
        <v>1241</v>
      </c>
      <c r="D373" s="140" t="s">
        <v>1088</v>
      </c>
      <c r="E373" s="140" t="s">
        <v>1505</v>
      </c>
      <c r="F373" s="214">
        <v>331000</v>
      </c>
      <c r="G373" s="214">
        <v>331000</v>
      </c>
      <c r="H373" s="147" t="str">
        <f t="shared" si="6"/>
        <v>0703053004Э000610</v>
      </c>
    </row>
    <row r="374" spans="1:8" ht="76.5">
      <c r="A374" s="212" t="s">
        <v>435</v>
      </c>
      <c r="B374" s="140" t="s">
        <v>274</v>
      </c>
      <c r="C374" s="140" t="s">
        <v>1241</v>
      </c>
      <c r="D374" s="140" t="s">
        <v>1088</v>
      </c>
      <c r="E374" s="140" t="s">
        <v>436</v>
      </c>
      <c r="F374" s="214">
        <v>331000</v>
      </c>
      <c r="G374" s="214">
        <v>331000</v>
      </c>
      <c r="H374" s="147" t="str">
        <f t="shared" si="6"/>
        <v>0703053004Э000611</v>
      </c>
    </row>
    <row r="375" spans="1:8">
      <c r="A375" s="212" t="s">
        <v>1238</v>
      </c>
      <c r="B375" s="140" t="s">
        <v>274</v>
      </c>
      <c r="C375" s="140" t="s">
        <v>453</v>
      </c>
      <c r="D375" s="140" t="s">
        <v>1468</v>
      </c>
      <c r="E375" s="140" t="s">
        <v>1468</v>
      </c>
      <c r="F375" s="214">
        <v>8199200</v>
      </c>
      <c r="G375" s="214">
        <v>8199200</v>
      </c>
      <c r="H375" s="147" t="str">
        <f t="shared" si="6"/>
        <v>0707</v>
      </c>
    </row>
    <row r="376" spans="1:8" ht="25.5">
      <c r="A376" s="212" t="s">
        <v>559</v>
      </c>
      <c r="B376" s="140" t="s">
        <v>274</v>
      </c>
      <c r="C376" s="140" t="s">
        <v>453</v>
      </c>
      <c r="D376" s="140" t="s">
        <v>1124</v>
      </c>
      <c r="E376" s="140" t="s">
        <v>1468</v>
      </c>
      <c r="F376" s="214">
        <v>8199200</v>
      </c>
      <c r="G376" s="214">
        <v>8199200</v>
      </c>
      <c r="H376" s="147" t="str">
        <f t="shared" si="6"/>
        <v>07070600000000</v>
      </c>
    </row>
    <row r="377" spans="1:8" ht="38.25">
      <c r="A377" s="212" t="s">
        <v>560</v>
      </c>
      <c r="B377" s="140" t="s">
        <v>274</v>
      </c>
      <c r="C377" s="140" t="s">
        <v>453</v>
      </c>
      <c r="D377" s="140" t="s">
        <v>1125</v>
      </c>
      <c r="E377" s="140" t="s">
        <v>1468</v>
      </c>
      <c r="F377" s="214">
        <v>227500</v>
      </c>
      <c r="G377" s="214">
        <v>227500</v>
      </c>
      <c r="H377" s="147" t="str">
        <f t="shared" si="6"/>
        <v>07070610000000</v>
      </c>
    </row>
    <row r="378" spans="1:8" ht="63.75">
      <c r="A378" s="212" t="s">
        <v>1085</v>
      </c>
      <c r="B378" s="140" t="s">
        <v>274</v>
      </c>
      <c r="C378" s="140" t="s">
        <v>453</v>
      </c>
      <c r="D378" s="140" t="s">
        <v>1086</v>
      </c>
      <c r="E378" s="140" t="s">
        <v>1468</v>
      </c>
      <c r="F378" s="214">
        <v>121260</v>
      </c>
      <c r="G378" s="214">
        <v>121260</v>
      </c>
      <c r="H378" s="147" t="str">
        <f t="shared" si="6"/>
        <v>07070610080000</v>
      </c>
    </row>
    <row r="379" spans="1:8" ht="38.25">
      <c r="A379" s="212" t="s">
        <v>1763</v>
      </c>
      <c r="B379" s="140" t="s">
        <v>274</v>
      </c>
      <c r="C379" s="140" t="s">
        <v>453</v>
      </c>
      <c r="D379" s="140" t="s">
        <v>1086</v>
      </c>
      <c r="E379" s="140" t="s">
        <v>1764</v>
      </c>
      <c r="F379" s="214">
        <v>121260</v>
      </c>
      <c r="G379" s="214">
        <v>121260</v>
      </c>
      <c r="H379" s="147" t="str">
        <f t="shared" si="6"/>
        <v>07070610080000600</v>
      </c>
    </row>
    <row r="380" spans="1:8">
      <c r="A380" s="212" t="s">
        <v>1504</v>
      </c>
      <c r="B380" s="140" t="s">
        <v>274</v>
      </c>
      <c r="C380" s="140" t="s">
        <v>453</v>
      </c>
      <c r="D380" s="140" t="s">
        <v>1086</v>
      </c>
      <c r="E380" s="140" t="s">
        <v>1505</v>
      </c>
      <c r="F380" s="214">
        <v>121260</v>
      </c>
      <c r="G380" s="214">
        <v>121260</v>
      </c>
      <c r="H380" s="147" t="str">
        <f t="shared" si="6"/>
        <v>07070610080000610</v>
      </c>
    </row>
    <row r="381" spans="1:8" ht="25.5">
      <c r="A381" s="212" t="s">
        <v>454</v>
      </c>
      <c r="B381" s="140" t="s">
        <v>274</v>
      </c>
      <c r="C381" s="140" t="s">
        <v>453</v>
      </c>
      <c r="D381" s="140" t="s">
        <v>1086</v>
      </c>
      <c r="E381" s="140" t="s">
        <v>455</v>
      </c>
      <c r="F381" s="214">
        <v>121260</v>
      </c>
      <c r="G381" s="214">
        <v>121260</v>
      </c>
      <c r="H381" s="147" t="str">
        <f t="shared" si="6"/>
        <v>07070610080000612</v>
      </c>
    </row>
    <row r="382" spans="1:8" ht="102">
      <c r="A382" s="212" t="s">
        <v>456</v>
      </c>
      <c r="B382" s="140" t="s">
        <v>274</v>
      </c>
      <c r="C382" s="140" t="s">
        <v>453</v>
      </c>
      <c r="D382" s="140" t="s">
        <v>810</v>
      </c>
      <c r="E382" s="140" t="s">
        <v>1468</v>
      </c>
      <c r="F382" s="214">
        <v>106240</v>
      </c>
      <c r="G382" s="214">
        <v>106240</v>
      </c>
      <c r="H382" s="147" t="str">
        <f t="shared" si="6"/>
        <v>070706100S4560</v>
      </c>
    </row>
    <row r="383" spans="1:8" ht="38.25">
      <c r="A383" s="212" t="s">
        <v>1763</v>
      </c>
      <c r="B383" s="140" t="s">
        <v>274</v>
      </c>
      <c r="C383" s="140" t="s">
        <v>453</v>
      </c>
      <c r="D383" s="140" t="s">
        <v>810</v>
      </c>
      <c r="E383" s="140" t="s">
        <v>1764</v>
      </c>
      <c r="F383" s="214">
        <v>106240</v>
      </c>
      <c r="G383" s="214">
        <v>106240</v>
      </c>
      <c r="H383" s="147" t="str">
        <f t="shared" si="6"/>
        <v>070706100S4560600</v>
      </c>
    </row>
    <row r="384" spans="1:8">
      <c r="A384" s="212" t="s">
        <v>1504</v>
      </c>
      <c r="B384" s="140" t="s">
        <v>274</v>
      </c>
      <c r="C384" s="140" t="s">
        <v>453</v>
      </c>
      <c r="D384" s="140" t="s">
        <v>810</v>
      </c>
      <c r="E384" s="140" t="s">
        <v>1505</v>
      </c>
      <c r="F384" s="214">
        <v>106240</v>
      </c>
      <c r="G384" s="214">
        <v>106240</v>
      </c>
      <c r="H384" s="147" t="str">
        <f t="shared" si="6"/>
        <v>070706100S4560610</v>
      </c>
    </row>
    <row r="385" spans="1:8" ht="25.5">
      <c r="A385" s="212" t="s">
        <v>454</v>
      </c>
      <c r="B385" s="140" t="s">
        <v>274</v>
      </c>
      <c r="C385" s="140" t="s">
        <v>453</v>
      </c>
      <c r="D385" s="140" t="s">
        <v>810</v>
      </c>
      <c r="E385" s="140" t="s">
        <v>455</v>
      </c>
      <c r="F385" s="214">
        <v>106240</v>
      </c>
      <c r="G385" s="214">
        <v>106240</v>
      </c>
      <c r="H385" s="147" t="str">
        <f t="shared" si="6"/>
        <v>070706100S4560612</v>
      </c>
    </row>
    <row r="386" spans="1:8" ht="38.25">
      <c r="A386" s="222" t="s">
        <v>562</v>
      </c>
      <c r="B386" s="140" t="s">
        <v>274</v>
      </c>
      <c r="C386" s="140" t="s">
        <v>453</v>
      </c>
      <c r="D386" s="140" t="s">
        <v>1246</v>
      </c>
      <c r="E386" s="140" t="s">
        <v>1468</v>
      </c>
      <c r="F386" s="214">
        <v>150050</v>
      </c>
      <c r="G386" s="214">
        <v>150050</v>
      </c>
      <c r="H386" s="147" t="str">
        <f t="shared" si="6"/>
        <v>07070620000000</v>
      </c>
    </row>
    <row r="387" spans="1:8" ht="63.75">
      <c r="A387" s="212" t="s">
        <v>457</v>
      </c>
      <c r="B387" s="140" t="s">
        <v>274</v>
      </c>
      <c r="C387" s="140" t="s">
        <v>453</v>
      </c>
      <c r="D387" s="140" t="s">
        <v>811</v>
      </c>
      <c r="E387" s="140" t="s">
        <v>1468</v>
      </c>
      <c r="F387" s="214">
        <v>150050</v>
      </c>
      <c r="G387" s="214">
        <v>150050</v>
      </c>
      <c r="H387" s="147" t="str">
        <f t="shared" si="6"/>
        <v>07070620080000</v>
      </c>
    </row>
    <row r="388" spans="1:8" ht="38.25">
      <c r="A388" s="222" t="s">
        <v>1763</v>
      </c>
      <c r="B388" s="140" t="s">
        <v>274</v>
      </c>
      <c r="C388" s="140" t="s">
        <v>453</v>
      </c>
      <c r="D388" s="140" t="s">
        <v>811</v>
      </c>
      <c r="E388" s="140" t="s">
        <v>1764</v>
      </c>
      <c r="F388" s="214">
        <v>150050</v>
      </c>
      <c r="G388" s="214">
        <v>150050</v>
      </c>
      <c r="H388" s="147" t="str">
        <f t="shared" si="6"/>
        <v>07070620080000600</v>
      </c>
    </row>
    <row r="389" spans="1:8">
      <c r="A389" s="212" t="s">
        <v>1504</v>
      </c>
      <c r="B389" s="140" t="s">
        <v>274</v>
      </c>
      <c r="C389" s="140" t="s">
        <v>453</v>
      </c>
      <c r="D389" s="140" t="s">
        <v>811</v>
      </c>
      <c r="E389" s="140" t="s">
        <v>1505</v>
      </c>
      <c r="F389" s="214">
        <v>150050</v>
      </c>
      <c r="G389" s="214">
        <v>150050</v>
      </c>
      <c r="H389" s="147" t="str">
        <f t="shared" si="6"/>
        <v>07070620080000610</v>
      </c>
    </row>
    <row r="390" spans="1:8" ht="25.5">
      <c r="A390" s="222" t="s">
        <v>454</v>
      </c>
      <c r="B390" s="140" t="s">
        <v>274</v>
      </c>
      <c r="C390" s="140" t="s">
        <v>453</v>
      </c>
      <c r="D390" s="140" t="s">
        <v>811</v>
      </c>
      <c r="E390" s="140" t="s">
        <v>455</v>
      </c>
      <c r="F390" s="214">
        <v>150050</v>
      </c>
      <c r="G390" s="214">
        <v>150050</v>
      </c>
      <c r="H390" s="147" t="str">
        <f t="shared" si="6"/>
        <v>07070620080000612</v>
      </c>
    </row>
    <row r="391" spans="1:8" ht="38.25">
      <c r="A391" s="212" t="s">
        <v>540</v>
      </c>
      <c r="B391" s="140" t="s">
        <v>274</v>
      </c>
      <c r="C391" s="140" t="s">
        <v>453</v>
      </c>
      <c r="D391" s="140" t="s">
        <v>1127</v>
      </c>
      <c r="E391" s="140" t="s">
        <v>1468</v>
      </c>
      <c r="F391" s="214">
        <v>7821650</v>
      </c>
      <c r="G391" s="214">
        <v>7821650</v>
      </c>
      <c r="H391" s="147" t="str">
        <f t="shared" si="6"/>
        <v>07070640000000</v>
      </c>
    </row>
    <row r="392" spans="1:8" ht="127.5">
      <c r="A392" s="212" t="s">
        <v>459</v>
      </c>
      <c r="B392" s="140" t="s">
        <v>274</v>
      </c>
      <c r="C392" s="140" t="s">
        <v>453</v>
      </c>
      <c r="D392" s="140" t="s">
        <v>813</v>
      </c>
      <c r="E392" s="140" t="s">
        <v>1468</v>
      </c>
      <c r="F392" s="214">
        <v>4882550</v>
      </c>
      <c r="G392" s="214">
        <v>4882550</v>
      </c>
      <c r="H392" s="147" t="str">
        <f t="shared" si="6"/>
        <v>07070640040000</v>
      </c>
    </row>
    <row r="393" spans="1:8" ht="38.25">
      <c r="A393" s="212" t="s">
        <v>1763</v>
      </c>
      <c r="B393" s="140" t="s">
        <v>274</v>
      </c>
      <c r="C393" s="140" t="s">
        <v>453</v>
      </c>
      <c r="D393" s="140" t="s">
        <v>813</v>
      </c>
      <c r="E393" s="140" t="s">
        <v>1764</v>
      </c>
      <c r="F393" s="214">
        <v>4882550</v>
      </c>
      <c r="G393" s="214">
        <v>4882550</v>
      </c>
      <c r="H393" s="147" t="str">
        <f t="shared" si="6"/>
        <v>07070640040000600</v>
      </c>
    </row>
    <row r="394" spans="1:8">
      <c r="A394" s="222" t="s">
        <v>1504</v>
      </c>
      <c r="B394" s="140" t="s">
        <v>274</v>
      </c>
      <c r="C394" s="140" t="s">
        <v>453</v>
      </c>
      <c r="D394" s="140" t="s">
        <v>813</v>
      </c>
      <c r="E394" s="140" t="s">
        <v>1505</v>
      </c>
      <c r="F394" s="214">
        <v>4882550</v>
      </c>
      <c r="G394" s="214">
        <v>4882550</v>
      </c>
      <c r="H394" s="147" t="str">
        <f t="shared" si="6"/>
        <v>07070640040000610</v>
      </c>
    </row>
    <row r="395" spans="1:8" ht="76.5">
      <c r="A395" s="212" t="s">
        <v>435</v>
      </c>
      <c r="B395" s="140" t="s">
        <v>274</v>
      </c>
      <c r="C395" s="140" t="s">
        <v>453</v>
      </c>
      <c r="D395" s="140" t="s">
        <v>813</v>
      </c>
      <c r="E395" s="140" t="s">
        <v>436</v>
      </c>
      <c r="F395" s="214">
        <v>4882550</v>
      </c>
      <c r="G395" s="214">
        <v>4882550</v>
      </c>
      <c r="H395" s="147" t="str">
        <f t="shared" si="6"/>
        <v>07070640040000611</v>
      </c>
    </row>
    <row r="396" spans="1:8" ht="165.75">
      <c r="A396" s="222" t="s">
        <v>460</v>
      </c>
      <c r="B396" s="140" t="s">
        <v>274</v>
      </c>
      <c r="C396" s="140" t="s">
        <v>453</v>
      </c>
      <c r="D396" s="140" t="s">
        <v>814</v>
      </c>
      <c r="E396" s="140" t="s">
        <v>1468</v>
      </c>
      <c r="F396" s="214">
        <v>600000</v>
      </c>
      <c r="G396" s="214">
        <v>600000</v>
      </c>
      <c r="H396" s="147" t="str">
        <f t="shared" si="6"/>
        <v>07070640041000</v>
      </c>
    </row>
    <row r="397" spans="1:8" ht="38.25">
      <c r="A397" s="212" t="s">
        <v>1763</v>
      </c>
      <c r="B397" s="140" t="s">
        <v>274</v>
      </c>
      <c r="C397" s="140" t="s">
        <v>453</v>
      </c>
      <c r="D397" s="140" t="s">
        <v>814</v>
      </c>
      <c r="E397" s="140" t="s">
        <v>1764</v>
      </c>
      <c r="F397" s="214">
        <v>600000</v>
      </c>
      <c r="G397" s="214">
        <v>600000</v>
      </c>
      <c r="H397" s="147" t="str">
        <f t="shared" si="6"/>
        <v>07070640041000600</v>
      </c>
    </row>
    <row r="398" spans="1:8">
      <c r="A398" s="212" t="s">
        <v>1504</v>
      </c>
      <c r="B398" s="140" t="s">
        <v>274</v>
      </c>
      <c r="C398" s="140" t="s">
        <v>453</v>
      </c>
      <c r="D398" s="140" t="s">
        <v>814</v>
      </c>
      <c r="E398" s="140" t="s">
        <v>1505</v>
      </c>
      <c r="F398" s="214">
        <v>600000</v>
      </c>
      <c r="G398" s="214">
        <v>600000</v>
      </c>
      <c r="H398" s="147" t="str">
        <f t="shared" si="6"/>
        <v>07070640041000610</v>
      </c>
    </row>
    <row r="399" spans="1:8" ht="76.5">
      <c r="A399" s="212" t="s">
        <v>435</v>
      </c>
      <c r="B399" s="140" t="s">
        <v>274</v>
      </c>
      <c r="C399" s="140" t="s">
        <v>453</v>
      </c>
      <c r="D399" s="140" t="s">
        <v>814</v>
      </c>
      <c r="E399" s="140" t="s">
        <v>436</v>
      </c>
      <c r="F399" s="214">
        <v>600000</v>
      </c>
      <c r="G399" s="214">
        <v>600000</v>
      </c>
      <c r="H399" s="147" t="str">
        <f t="shared" si="6"/>
        <v>07070640041000611</v>
      </c>
    </row>
    <row r="400" spans="1:8" ht="127.5">
      <c r="A400" s="212" t="s">
        <v>1035</v>
      </c>
      <c r="B400" s="140" t="s">
        <v>274</v>
      </c>
      <c r="C400" s="140" t="s">
        <v>453</v>
      </c>
      <c r="D400" s="140" t="s">
        <v>1034</v>
      </c>
      <c r="E400" s="140" t="s">
        <v>1468</v>
      </c>
      <c r="F400" s="214">
        <v>50000</v>
      </c>
      <c r="G400" s="214">
        <v>50000</v>
      </c>
      <c r="H400" s="147" t="str">
        <f t="shared" si="6"/>
        <v>07070640047000</v>
      </c>
    </row>
    <row r="401" spans="1:8" ht="38.25">
      <c r="A401" s="212" t="s">
        <v>1763</v>
      </c>
      <c r="B401" s="140" t="s">
        <v>274</v>
      </c>
      <c r="C401" s="140" t="s">
        <v>453</v>
      </c>
      <c r="D401" s="140" t="s">
        <v>1034</v>
      </c>
      <c r="E401" s="140" t="s">
        <v>1764</v>
      </c>
      <c r="F401" s="214">
        <v>50000</v>
      </c>
      <c r="G401" s="214">
        <v>50000</v>
      </c>
      <c r="H401" s="147" t="str">
        <f t="shared" si="6"/>
        <v>07070640047000600</v>
      </c>
    </row>
    <row r="402" spans="1:8">
      <c r="A402" s="212" t="s">
        <v>1504</v>
      </c>
      <c r="B402" s="140" t="s">
        <v>274</v>
      </c>
      <c r="C402" s="140" t="s">
        <v>453</v>
      </c>
      <c r="D402" s="140" t="s">
        <v>1034</v>
      </c>
      <c r="E402" s="140" t="s">
        <v>1505</v>
      </c>
      <c r="F402" s="214">
        <v>50000</v>
      </c>
      <c r="G402" s="214">
        <v>50000</v>
      </c>
      <c r="H402" s="147" t="str">
        <f t="shared" si="6"/>
        <v>07070640047000610</v>
      </c>
    </row>
    <row r="403" spans="1:8" ht="25.5">
      <c r="A403" s="212" t="s">
        <v>454</v>
      </c>
      <c r="B403" s="140" t="s">
        <v>274</v>
      </c>
      <c r="C403" s="140" t="s">
        <v>453</v>
      </c>
      <c r="D403" s="140" t="s">
        <v>1034</v>
      </c>
      <c r="E403" s="140" t="s">
        <v>455</v>
      </c>
      <c r="F403" s="214">
        <v>50000</v>
      </c>
      <c r="G403" s="214">
        <v>50000</v>
      </c>
      <c r="H403" s="147" t="str">
        <f t="shared" si="6"/>
        <v>07070640047000612</v>
      </c>
    </row>
    <row r="404" spans="1:8" ht="102">
      <c r="A404" s="212" t="s">
        <v>1553</v>
      </c>
      <c r="B404" s="140" t="s">
        <v>274</v>
      </c>
      <c r="C404" s="140" t="s">
        <v>453</v>
      </c>
      <c r="D404" s="140" t="s">
        <v>1554</v>
      </c>
      <c r="E404" s="140" t="s">
        <v>1468</v>
      </c>
      <c r="F404" s="214">
        <v>996700</v>
      </c>
      <c r="G404" s="214">
        <v>996700</v>
      </c>
      <c r="H404" s="147" t="str">
        <f t="shared" si="6"/>
        <v>0707064004Г000</v>
      </c>
    </row>
    <row r="405" spans="1:8" ht="38.25">
      <c r="A405" s="212" t="s">
        <v>1763</v>
      </c>
      <c r="B405" s="140" t="s">
        <v>274</v>
      </c>
      <c r="C405" s="140" t="s">
        <v>453</v>
      </c>
      <c r="D405" s="140" t="s">
        <v>1554</v>
      </c>
      <c r="E405" s="140" t="s">
        <v>1764</v>
      </c>
      <c r="F405" s="214">
        <v>996700</v>
      </c>
      <c r="G405" s="214">
        <v>996700</v>
      </c>
      <c r="H405" s="147" t="str">
        <f t="shared" si="6"/>
        <v>0707064004Г000600</v>
      </c>
    </row>
    <row r="406" spans="1:8">
      <c r="A406" s="212" t="s">
        <v>1504</v>
      </c>
      <c r="B406" s="140" t="s">
        <v>274</v>
      </c>
      <c r="C406" s="140" t="s">
        <v>453</v>
      </c>
      <c r="D406" s="140" t="s">
        <v>1554</v>
      </c>
      <c r="E406" s="140" t="s">
        <v>1505</v>
      </c>
      <c r="F406" s="214">
        <v>996700</v>
      </c>
      <c r="G406" s="214">
        <v>996700</v>
      </c>
      <c r="H406" s="147" t="str">
        <f t="shared" si="6"/>
        <v>0707064004Г000610</v>
      </c>
    </row>
    <row r="407" spans="1:8" ht="76.5">
      <c r="A407" s="212" t="s">
        <v>435</v>
      </c>
      <c r="B407" s="140" t="s">
        <v>274</v>
      </c>
      <c r="C407" s="140" t="s">
        <v>453</v>
      </c>
      <c r="D407" s="140" t="s">
        <v>1554</v>
      </c>
      <c r="E407" s="140" t="s">
        <v>436</v>
      </c>
      <c r="F407" s="214">
        <v>996700</v>
      </c>
      <c r="G407" s="214">
        <v>996700</v>
      </c>
      <c r="H407" s="147" t="str">
        <f t="shared" si="6"/>
        <v>0707064004Г000611</v>
      </c>
    </row>
    <row r="408" spans="1:8" ht="89.25">
      <c r="A408" s="212" t="s">
        <v>1555</v>
      </c>
      <c r="B408" s="140" t="s">
        <v>274</v>
      </c>
      <c r="C408" s="140" t="s">
        <v>453</v>
      </c>
      <c r="D408" s="140" t="s">
        <v>1556</v>
      </c>
      <c r="E408" s="140" t="s">
        <v>1468</v>
      </c>
      <c r="F408" s="276">
        <v>230000</v>
      </c>
      <c r="G408" s="214">
        <v>230000</v>
      </c>
      <c r="H408" s="147" t="str">
        <f t="shared" si="6"/>
        <v>0707064004Э000</v>
      </c>
    </row>
    <row r="409" spans="1:8" ht="38.25">
      <c r="A409" s="212" t="s">
        <v>1763</v>
      </c>
      <c r="B409" s="140" t="s">
        <v>274</v>
      </c>
      <c r="C409" s="140" t="s">
        <v>453</v>
      </c>
      <c r="D409" s="140" t="s">
        <v>1556</v>
      </c>
      <c r="E409" s="140" t="s">
        <v>1764</v>
      </c>
      <c r="F409" s="214">
        <v>230000</v>
      </c>
      <c r="G409" s="214">
        <v>230000</v>
      </c>
      <c r="H409" s="147" t="str">
        <f t="shared" si="6"/>
        <v>0707064004Э000600</v>
      </c>
    </row>
    <row r="410" spans="1:8">
      <c r="A410" s="212" t="s">
        <v>1504</v>
      </c>
      <c r="B410" s="140" t="s">
        <v>274</v>
      </c>
      <c r="C410" s="140" t="s">
        <v>453</v>
      </c>
      <c r="D410" s="140" t="s">
        <v>1556</v>
      </c>
      <c r="E410" s="140" t="s">
        <v>1505</v>
      </c>
      <c r="F410" s="214">
        <v>230000</v>
      </c>
      <c r="G410" s="214">
        <v>230000</v>
      </c>
      <c r="H410" s="147" t="str">
        <f t="shared" si="6"/>
        <v>0707064004Э000610</v>
      </c>
    </row>
    <row r="411" spans="1:8" ht="76.5">
      <c r="A411" s="212" t="s">
        <v>435</v>
      </c>
      <c r="B411" s="140" t="s">
        <v>274</v>
      </c>
      <c r="C411" s="140" t="s">
        <v>453</v>
      </c>
      <c r="D411" s="140" t="s">
        <v>1556</v>
      </c>
      <c r="E411" s="140" t="s">
        <v>436</v>
      </c>
      <c r="F411" s="214">
        <v>230000</v>
      </c>
      <c r="G411" s="214">
        <v>230000</v>
      </c>
      <c r="H411" s="147" t="str">
        <f t="shared" si="6"/>
        <v>0707064004Э000611</v>
      </c>
    </row>
    <row r="412" spans="1:8" ht="76.5">
      <c r="A412" s="212" t="s">
        <v>458</v>
      </c>
      <c r="B412" s="140" t="s">
        <v>274</v>
      </c>
      <c r="C412" s="140" t="s">
        <v>453</v>
      </c>
      <c r="D412" s="140" t="s">
        <v>812</v>
      </c>
      <c r="E412" s="140" t="s">
        <v>1468</v>
      </c>
      <c r="F412" s="214">
        <v>1062400</v>
      </c>
      <c r="G412" s="214">
        <v>1062400</v>
      </c>
      <c r="H412" s="147" t="str">
        <f t="shared" si="6"/>
        <v>07070640074560</v>
      </c>
    </row>
    <row r="413" spans="1:8" ht="38.25">
      <c r="A413" s="212" t="s">
        <v>1763</v>
      </c>
      <c r="B413" s="140" t="s">
        <v>274</v>
      </c>
      <c r="C413" s="140" t="s">
        <v>453</v>
      </c>
      <c r="D413" s="140" t="s">
        <v>812</v>
      </c>
      <c r="E413" s="140" t="s">
        <v>1764</v>
      </c>
      <c r="F413" s="214">
        <v>1062400</v>
      </c>
      <c r="G413" s="214">
        <v>1062400</v>
      </c>
      <c r="H413" s="147" t="str">
        <f t="shared" si="6"/>
        <v>07070640074560600</v>
      </c>
    </row>
    <row r="414" spans="1:8">
      <c r="A414" s="212" t="s">
        <v>1504</v>
      </c>
      <c r="B414" s="140" t="s">
        <v>274</v>
      </c>
      <c r="C414" s="140" t="s">
        <v>453</v>
      </c>
      <c r="D414" s="140" t="s">
        <v>812</v>
      </c>
      <c r="E414" s="140" t="s">
        <v>1505</v>
      </c>
      <c r="F414" s="214">
        <v>1062400</v>
      </c>
      <c r="G414" s="214">
        <v>1062400</v>
      </c>
      <c r="H414" s="147" t="str">
        <f t="shared" si="6"/>
        <v>07070640074560610</v>
      </c>
    </row>
    <row r="415" spans="1:8" ht="25.5">
      <c r="A415" s="212" t="s">
        <v>454</v>
      </c>
      <c r="B415" s="140" t="s">
        <v>274</v>
      </c>
      <c r="C415" s="140" t="s">
        <v>453</v>
      </c>
      <c r="D415" s="140" t="s">
        <v>812</v>
      </c>
      <c r="E415" s="140" t="s">
        <v>455</v>
      </c>
      <c r="F415" s="214">
        <v>1062400</v>
      </c>
      <c r="G415" s="214">
        <v>1062400</v>
      </c>
      <c r="H415" s="147" t="str">
        <f t="shared" si="6"/>
        <v>07070640074560612</v>
      </c>
    </row>
    <row r="416" spans="1:8">
      <c r="A416" s="212" t="s">
        <v>293</v>
      </c>
      <c r="B416" s="140" t="s">
        <v>274</v>
      </c>
      <c r="C416" s="140" t="s">
        <v>1370</v>
      </c>
      <c r="D416" s="140" t="s">
        <v>1468</v>
      </c>
      <c r="E416" s="140" t="s">
        <v>1468</v>
      </c>
      <c r="F416" s="214">
        <v>166353474</v>
      </c>
      <c r="G416" s="214">
        <v>166353474</v>
      </c>
      <c r="H416" s="147" t="str">
        <f t="shared" si="6"/>
        <v>0800</v>
      </c>
    </row>
    <row r="417" spans="1:8">
      <c r="A417" s="212" t="s">
        <v>250</v>
      </c>
      <c r="B417" s="140" t="s">
        <v>274</v>
      </c>
      <c r="C417" s="140" t="s">
        <v>480</v>
      </c>
      <c r="D417" s="140" t="s">
        <v>1468</v>
      </c>
      <c r="E417" s="140" t="s">
        <v>1468</v>
      </c>
      <c r="F417" s="214">
        <v>104506410</v>
      </c>
      <c r="G417" s="214">
        <v>104506410</v>
      </c>
      <c r="H417" s="147" t="str">
        <f t="shared" si="6"/>
        <v>0801</v>
      </c>
    </row>
    <row r="418" spans="1:8" ht="25.5">
      <c r="A418" s="212" t="s">
        <v>554</v>
      </c>
      <c r="B418" s="140" t="s">
        <v>274</v>
      </c>
      <c r="C418" s="140" t="s">
        <v>480</v>
      </c>
      <c r="D418" s="140" t="s">
        <v>1120</v>
      </c>
      <c r="E418" s="140" t="s">
        <v>1468</v>
      </c>
      <c r="F418" s="214">
        <v>104506410</v>
      </c>
      <c r="G418" s="214">
        <v>104506410</v>
      </c>
      <c r="H418" s="147" t="str">
        <f t="shared" si="6"/>
        <v>08010500000000</v>
      </c>
    </row>
    <row r="419" spans="1:8">
      <c r="A419" s="212" t="s">
        <v>555</v>
      </c>
      <c r="B419" s="140" t="s">
        <v>274</v>
      </c>
      <c r="C419" s="140" t="s">
        <v>480</v>
      </c>
      <c r="D419" s="140" t="s">
        <v>1121</v>
      </c>
      <c r="E419" s="140" t="s">
        <v>1468</v>
      </c>
      <c r="F419" s="214">
        <v>29538879</v>
      </c>
      <c r="G419" s="214">
        <v>29538879</v>
      </c>
      <c r="H419" s="147" t="str">
        <f t="shared" si="6"/>
        <v>08010510000000</v>
      </c>
    </row>
    <row r="420" spans="1:8" ht="114.75">
      <c r="A420" s="212" t="s">
        <v>486</v>
      </c>
      <c r="B420" s="140" t="s">
        <v>274</v>
      </c>
      <c r="C420" s="140" t="s">
        <v>480</v>
      </c>
      <c r="D420" s="140" t="s">
        <v>836</v>
      </c>
      <c r="E420" s="140" t="s">
        <v>1468</v>
      </c>
      <c r="F420" s="214">
        <v>24153798</v>
      </c>
      <c r="G420" s="214">
        <v>24153798</v>
      </c>
      <c r="H420" s="147" t="str">
        <f t="shared" si="6"/>
        <v>08010510040000</v>
      </c>
    </row>
    <row r="421" spans="1:8" ht="38.25">
      <c r="A421" s="212" t="s">
        <v>1763</v>
      </c>
      <c r="B421" s="140" t="s">
        <v>274</v>
      </c>
      <c r="C421" s="140" t="s">
        <v>480</v>
      </c>
      <c r="D421" s="140" t="s">
        <v>836</v>
      </c>
      <c r="E421" s="140" t="s">
        <v>1764</v>
      </c>
      <c r="F421" s="214">
        <v>24153798</v>
      </c>
      <c r="G421" s="214">
        <v>24153798</v>
      </c>
      <c r="H421" s="147" t="str">
        <f t="shared" si="6"/>
        <v>08010510040000600</v>
      </c>
    </row>
    <row r="422" spans="1:8">
      <c r="A422" s="212" t="s">
        <v>1504</v>
      </c>
      <c r="B422" s="140" t="s">
        <v>274</v>
      </c>
      <c r="C422" s="140" t="s">
        <v>480</v>
      </c>
      <c r="D422" s="140" t="s">
        <v>836</v>
      </c>
      <c r="E422" s="140" t="s">
        <v>1505</v>
      </c>
      <c r="F422" s="214">
        <v>24153798</v>
      </c>
      <c r="G422" s="214">
        <v>24153798</v>
      </c>
      <c r="H422" s="147" t="str">
        <f t="shared" si="6"/>
        <v>08010510040000610</v>
      </c>
    </row>
    <row r="423" spans="1:8" ht="76.5">
      <c r="A423" s="212" t="s">
        <v>435</v>
      </c>
      <c r="B423" s="140" t="s">
        <v>274</v>
      </c>
      <c r="C423" s="140" t="s">
        <v>480</v>
      </c>
      <c r="D423" s="140" t="s">
        <v>836</v>
      </c>
      <c r="E423" s="140" t="s">
        <v>436</v>
      </c>
      <c r="F423" s="214">
        <v>24153798</v>
      </c>
      <c r="G423" s="214">
        <v>24153798</v>
      </c>
      <c r="H423" s="147" t="str">
        <f t="shared" si="6"/>
        <v>08010510040000611</v>
      </c>
    </row>
    <row r="424" spans="1:8" ht="153">
      <c r="A424" s="212" t="s">
        <v>487</v>
      </c>
      <c r="B424" s="140" t="s">
        <v>274</v>
      </c>
      <c r="C424" s="140" t="s">
        <v>480</v>
      </c>
      <c r="D424" s="140" t="s">
        <v>837</v>
      </c>
      <c r="E424" s="140" t="s">
        <v>1468</v>
      </c>
      <c r="F424" s="214">
        <v>61000</v>
      </c>
      <c r="G424" s="214">
        <v>61000</v>
      </c>
      <c r="H424" s="147" t="str">
        <f t="shared" si="6"/>
        <v>08010510041000</v>
      </c>
    </row>
    <row r="425" spans="1:8" ht="38.25">
      <c r="A425" s="212" t="s">
        <v>1763</v>
      </c>
      <c r="B425" s="140" t="s">
        <v>274</v>
      </c>
      <c r="C425" s="140" t="s">
        <v>480</v>
      </c>
      <c r="D425" s="140" t="s">
        <v>837</v>
      </c>
      <c r="E425" s="140" t="s">
        <v>1764</v>
      </c>
      <c r="F425" s="214">
        <v>61000</v>
      </c>
      <c r="G425" s="214">
        <v>61000</v>
      </c>
      <c r="H425" s="147" t="str">
        <f t="shared" si="6"/>
        <v>08010510041000600</v>
      </c>
    </row>
    <row r="426" spans="1:8">
      <c r="A426" s="212" t="s">
        <v>1504</v>
      </c>
      <c r="B426" s="140" t="s">
        <v>274</v>
      </c>
      <c r="C426" s="140" t="s">
        <v>480</v>
      </c>
      <c r="D426" s="140" t="s">
        <v>837</v>
      </c>
      <c r="E426" s="140" t="s">
        <v>1505</v>
      </c>
      <c r="F426" s="214">
        <v>61000</v>
      </c>
      <c r="G426" s="214">
        <v>61000</v>
      </c>
      <c r="H426" s="147" t="str">
        <f t="shared" si="6"/>
        <v>08010510041000610</v>
      </c>
    </row>
    <row r="427" spans="1:8" ht="76.5">
      <c r="A427" s="212" t="s">
        <v>435</v>
      </c>
      <c r="B427" s="140" t="s">
        <v>274</v>
      </c>
      <c r="C427" s="140" t="s">
        <v>480</v>
      </c>
      <c r="D427" s="140" t="s">
        <v>837</v>
      </c>
      <c r="E427" s="140" t="s">
        <v>436</v>
      </c>
      <c r="F427" s="214">
        <v>61000</v>
      </c>
      <c r="G427" s="214">
        <v>61000</v>
      </c>
      <c r="H427" s="147" t="str">
        <f t="shared" si="6"/>
        <v>08010510041000611</v>
      </c>
    </row>
    <row r="428" spans="1:8" ht="127.5">
      <c r="A428" s="212" t="s">
        <v>1207</v>
      </c>
      <c r="B428" s="140" t="s">
        <v>274</v>
      </c>
      <c r="C428" s="140" t="s">
        <v>480</v>
      </c>
      <c r="D428" s="140" t="s">
        <v>1208</v>
      </c>
      <c r="E428" s="140" t="s">
        <v>1468</v>
      </c>
      <c r="F428" s="214">
        <v>50000</v>
      </c>
      <c r="G428" s="214">
        <v>50000</v>
      </c>
      <c r="H428" s="147" t="str">
        <f t="shared" si="6"/>
        <v>08010510045000</v>
      </c>
    </row>
    <row r="429" spans="1:8" ht="38.25">
      <c r="A429" s="212" t="s">
        <v>1763</v>
      </c>
      <c r="B429" s="140" t="s">
        <v>274</v>
      </c>
      <c r="C429" s="140" t="s">
        <v>480</v>
      </c>
      <c r="D429" s="140" t="s">
        <v>1208</v>
      </c>
      <c r="E429" s="140" t="s">
        <v>1764</v>
      </c>
      <c r="F429" s="214">
        <v>50000</v>
      </c>
      <c r="G429" s="214">
        <v>50000</v>
      </c>
      <c r="H429" s="147" t="str">
        <f t="shared" si="6"/>
        <v>08010510045000600</v>
      </c>
    </row>
    <row r="430" spans="1:8">
      <c r="A430" s="212" t="s">
        <v>1504</v>
      </c>
      <c r="B430" s="140" t="s">
        <v>274</v>
      </c>
      <c r="C430" s="140" t="s">
        <v>480</v>
      </c>
      <c r="D430" s="140" t="s">
        <v>1208</v>
      </c>
      <c r="E430" s="140" t="s">
        <v>1505</v>
      </c>
      <c r="F430" s="214">
        <v>50000</v>
      </c>
      <c r="G430" s="214">
        <v>50000</v>
      </c>
      <c r="H430" s="147" t="str">
        <f t="shared" ref="H430:H495" si="7">CONCATENATE(C430,,D430,E430)</f>
        <v>08010510045000610</v>
      </c>
    </row>
    <row r="431" spans="1:8" ht="76.5">
      <c r="A431" s="212" t="s">
        <v>435</v>
      </c>
      <c r="B431" s="140" t="s">
        <v>274</v>
      </c>
      <c r="C431" s="140" t="s">
        <v>480</v>
      </c>
      <c r="D431" s="140" t="s">
        <v>1208</v>
      </c>
      <c r="E431" s="140" t="s">
        <v>436</v>
      </c>
      <c r="F431" s="214">
        <v>50000</v>
      </c>
      <c r="G431" s="214">
        <v>50000</v>
      </c>
      <c r="H431" s="147" t="str">
        <f t="shared" si="7"/>
        <v>08010510045000611</v>
      </c>
    </row>
    <row r="432" spans="1:8" ht="114.75">
      <c r="A432" s="212" t="s">
        <v>607</v>
      </c>
      <c r="B432" s="140" t="s">
        <v>274</v>
      </c>
      <c r="C432" s="140" t="s">
        <v>480</v>
      </c>
      <c r="D432" s="140" t="s">
        <v>838</v>
      </c>
      <c r="E432" s="140" t="s">
        <v>1468</v>
      </c>
      <c r="F432" s="214">
        <v>212181</v>
      </c>
      <c r="G432" s="214">
        <v>212181</v>
      </c>
      <c r="H432" s="147" t="str">
        <f t="shared" si="7"/>
        <v>08010510047000</v>
      </c>
    </row>
    <row r="433" spans="1:8" ht="38.25">
      <c r="A433" s="212" t="s">
        <v>1763</v>
      </c>
      <c r="B433" s="140" t="s">
        <v>274</v>
      </c>
      <c r="C433" s="140" t="s">
        <v>480</v>
      </c>
      <c r="D433" s="140" t="s">
        <v>838</v>
      </c>
      <c r="E433" s="140" t="s">
        <v>1764</v>
      </c>
      <c r="F433" s="214">
        <v>212181</v>
      </c>
      <c r="G433" s="214">
        <v>212181</v>
      </c>
      <c r="H433" s="147" t="str">
        <f t="shared" si="7"/>
        <v>08010510047000600</v>
      </c>
    </row>
    <row r="434" spans="1:8">
      <c r="A434" s="212" t="s">
        <v>1504</v>
      </c>
      <c r="B434" s="140" t="s">
        <v>274</v>
      </c>
      <c r="C434" s="140" t="s">
        <v>480</v>
      </c>
      <c r="D434" s="140" t="s">
        <v>838</v>
      </c>
      <c r="E434" s="140" t="s">
        <v>1505</v>
      </c>
      <c r="F434" s="214">
        <v>212181</v>
      </c>
      <c r="G434" s="214">
        <v>212181</v>
      </c>
      <c r="H434" s="147" t="str">
        <f t="shared" si="7"/>
        <v>08010510047000610</v>
      </c>
    </row>
    <row r="435" spans="1:8" ht="25.5">
      <c r="A435" s="212" t="s">
        <v>454</v>
      </c>
      <c r="B435" s="140" t="s">
        <v>274</v>
      </c>
      <c r="C435" s="140" t="s">
        <v>480</v>
      </c>
      <c r="D435" s="140" t="s">
        <v>838</v>
      </c>
      <c r="E435" s="140" t="s">
        <v>455</v>
      </c>
      <c r="F435" s="214">
        <v>212181</v>
      </c>
      <c r="G435" s="214">
        <v>212181</v>
      </c>
      <c r="H435" s="147" t="str">
        <f t="shared" si="7"/>
        <v>08010510047000612</v>
      </c>
    </row>
    <row r="436" spans="1:8" ht="114.75">
      <c r="A436" s="212" t="s">
        <v>677</v>
      </c>
      <c r="B436" s="189" t="s">
        <v>274</v>
      </c>
      <c r="C436" s="189" t="s">
        <v>480</v>
      </c>
      <c r="D436" s="189" t="s">
        <v>839</v>
      </c>
      <c r="E436" s="189" t="s">
        <v>1468</v>
      </c>
      <c r="F436" s="214">
        <v>3781900</v>
      </c>
      <c r="G436" s="214">
        <v>3781900</v>
      </c>
      <c r="H436" s="147" t="str">
        <f t="shared" si="7"/>
        <v>0801051004Г000</v>
      </c>
    </row>
    <row r="437" spans="1:8" ht="38.25">
      <c r="A437" s="212" t="s">
        <v>1763</v>
      </c>
      <c r="B437" s="189" t="s">
        <v>274</v>
      </c>
      <c r="C437" s="189" t="s">
        <v>480</v>
      </c>
      <c r="D437" s="189" t="s">
        <v>839</v>
      </c>
      <c r="E437" s="189" t="s">
        <v>1764</v>
      </c>
      <c r="F437" s="218">
        <v>3781900</v>
      </c>
      <c r="G437" s="218">
        <v>3781900</v>
      </c>
      <c r="H437" s="147" t="str">
        <f t="shared" si="7"/>
        <v>0801051004Г000600</v>
      </c>
    </row>
    <row r="438" spans="1:8">
      <c r="A438" s="212" t="s">
        <v>1504</v>
      </c>
      <c r="B438" s="189" t="s">
        <v>274</v>
      </c>
      <c r="C438" s="189" t="s">
        <v>480</v>
      </c>
      <c r="D438" s="189" t="s">
        <v>839</v>
      </c>
      <c r="E438" s="189" t="s">
        <v>1505</v>
      </c>
      <c r="F438" s="218">
        <v>3781900</v>
      </c>
      <c r="G438" s="218">
        <v>3781900</v>
      </c>
      <c r="H438" s="147"/>
    </row>
    <row r="439" spans="1:8" ht="76.5">
      <c r="A439" s="54" t="s">
        <v>435</v>
      </c>
      <c r="B439" s="262" t="s">
        <v>274</v>
      </c>
      <c r="C439" s="262" t="s">
        <v>480</v>
      </c>
      <c r="D439" s="201" t="s">
        <v>839</v>
      </c>
      <c r="E439" s="263" t="s">
        <v>436</v>
      </c>
      <c r="F439" s="277">
        <v>3781900</v>
      </c>
      <c r="G439" s="218">
        <v>3781900</v>
      </c>
      <c r="H439" s="147" t="str">
        <f t="shared" ref="H439:H441" si="8">CONCATENATE(C439,,D439,E439)</f>
        <v>0801051004Г000611</v>
      </c>
    </row>
    <row r="440" spans="1:8" ht="102">
      <c r="A440" s="9" t="s">
        <v>1089</v>
      </c>
      <c r="B440" s="262" t="s">
        <v>274</v>
      </c>
      <c r="C440" s="262" t="s">
        <v>480</v>
      </c>
      <c r="D440" s="201" t="s">
        <v>1090</v>
      </c>
      <c r="E440" s="263" t="s">
        <v>1468</v>
      </c>
      <c r="F440" s="277">
        <v>1040000</v>
      </c>
      <c r="G440" s="218">
        <v>1040000</v>
      </c>
      <c r="H440" s="147" t="str">
        <f t="shared" si="8"/>
        <v>0801051004Э000</v>
      </c>
    </row>
    <row r="441" spans="1:8" ht="38.25">
      <c r="A441" s="54" t="s">
        <v>1763</v>
      </c>
      <c r="B441" s="262" t="s">
        <v>274</v>
      </c>
      <c r="C441" s="262" t="s">
        <v>480</v>
      </c>
      <c r="D441" s="201" t="s">
        <v>1090</v>
      </c>
      <c r="E441" s="263" t="s">
        <v>1764</v>
      </c>
      <c r="F441" s="277">
        <v>1040000</v>
      </c>
      <c r="G441" s="218">
        <v>1040000</v>
      </c>
      <c r="H441" s="147" t="str">
        <f t="shared" si="8"/>
        <v>0801051004Э000600</v>
      </c>
    </row>
    <row r="442" spans="1:8">
      <c r="A442" s="212" t="s">
        <v>1504</v>
      </c>
      <c r="B442" s="189" t="s">
        <v>274</v>
      </c>
      <c r="C442" s="189" t="s">
        <v>480</v>
      </c>
      <c r="D442" s="189" t="s">
        <v>1090</v>
      </c>
      <c r="E442" s="189" t="s">
        <v>1505</v>
      </c>
      <c r="F442" s="277">
        <v>1040000</v>
      </c>
      <c r="G442" s="218">
        <v>1040000</v>
      </c>
      <c r="H442" s="147" t="str">
        <f t="shared" si="7"/>
        <v>0801051004Э000610</v>
      </c>
    </row>
    <row r="443" spans="1:8" ht="76.5">
      <c r="A443" s="212" t="s">
        <v>435</v>
      </c>
      <c r="B443" s="189" t="s">
        <v>274</v>
      </c>
      <c r="C443" s="189" t="s">
        <v>480</v>
      </c>
      <c r="D443" s="189" t="s">
        <v>1090</v>
      </c>
      <c r="E443" s="189" t="s">
        <v>436</v>
      </c>
      <c r="F443" s="277">
        <v>1040000</v>
      </c>
      <c r="G443" s="218">
        <v>1040000</v>
      </c>
      <c r="H443" s="147" t="str">
        <f t="shared" si="7"/>
        <v>0801051004Э000611</v>
      </c>
    </row>
    <row r="444" spans="1:8" ht="63.75">
      <c r="A444" s="212" t="s">
        <v>489</v>
      </c>
      <c r="B444" s="189" t="s">
        <v>274</v>
      </c>
      <c r="C444" s="189" t="s">
        <v>480</v>
      </c>
      <c r="D444" s="189" t="s">
        <v>845</v>
      </c>
      <c r="E444" s="189" t="s">
        <v>1468</v>
      </c>
      <c r="F444" s="277">
        <v>240000</v>
      </c>
      <c r="G444" s="218">
        <v>240000</v>
      </c>
      <c r="H444" s="147" t="str">
        <f t="shared" si="7"/>
        <v>08010510080520</v>
      </c>
    </row>
    <row r="445" spans="1:8" ht="38.25">
      <c r="A445" s="212" t="s">
        <v>1763</v>
      </c>
      <c r="B445" s="189" t="s">
        <v>274</v>
      </c>
      <c r="C445" s="189" t="s">
        <v>480</v>
      </c>
      <c r="D445" s="189" t="s">
        <v>845</v>
      </c>
      <c r="E445" s="189" t="s">
        <v>1764</v>
      </c>
      <c r="F445" s="218">
        <v>240000</v>
      </c>
      <c r="G445" s="218">
        <v>240000</v>
      </c>
      <c r="H445" s="147" t="str">
        <f t="shared" si="7"/>
        <v>08010510080520600</v>
      </c>
    </row>
    <row r="446" spans="1:8">
      <c r="A446" s="212" t="s">
        <v>1504</v>
      </c>
      <c r="B446" s="189" t="s">
        <v>274</v>
      </c>
      <c r="C446" s="189" t="s">
        <v>480</v>
      </c>
      <c r="D446" s="189" t="s">
        <v>845</v>
      </c>
      <c r="E446" s="189" t="s">
        <v>1505</v>
      </c>
      <c r="F446" s="218">
        <v>240000</v>
      </c>
      <c r="G446" s="218">
        <v>240000</v>
      </c>
      <c r="H446" s="147" t="str">
        <f t="shared" si="7"/>
        <v>08010510080520610</v>
      </c>
    </row>
    <row r="447" spans="1:8" ht="25.5">
      <c r="A447" s="212" t="s">
        <v>454</v>
      </c>
      <c r="B447" s="189" t="s">
        <v>274</v>
      </c>
      <c r="C447" s="189" t="s">
        <v>480</v>
      </c>
      <c r="D447" s="189" t="s">
        <v>845</v>
      </c>
      <c r="E447" s="189" t="s">
        <v>455</v>
      </c>
      <c r="F447" s="218">
        <v>240000</v>
      </c>
      <c r="G447" s="218">
        <v>240000</v>
      </c>
      <c r="H447" s="147" t="str">
        <f t="shared" si="7"/>
        <v>08010510080520612</v>
      </c>
    </row>
    <row r="448" spans="1:8" ht="72.75" customHeight="1">
      <c r="A448" s="222" t="s">
        <v>703</v>
      </c>
      <c r="B448" s="189" t="s">
        <v>274</v>
      </c>
      <c r="C448" s="189" t="s">
        <v>480</v>
      </c>
      <c r="D448" s="189" t="s">
        <v>1122</v>
      </c>
      <c r="E448" s="189" t="s">
        <v>1468</v>
      </c>
      <c r="F448" s="218">
        <v>74967531</v>
      </c>
      <c r="G448" s="218">
        <v>74967531</v>
      </c>
      <c r="H448" s="147" t="str">
        <f t="shared" si="7"/>
        <v>08010520000000</v>
      </c>
    </row>
    <row r="449" spans="1:8" ht="114.75">
      <c r="A449" s="212" t="s">
        <v>610</v>
      </c>
      <c r="B449" s="189" t="s">
        <v>274</v>
      </c>
      <c r="C449" s="189" t="s">
        <v>480</v>
      </c>
      <c r="D449" s="189" t="s">
        <v>848</v>
      </c>
      <c r="E449" s="189" t="s">
        <v>1468</v>
      </c>
      <c r="F449" s="218">
        <v>47644324</v>
      </c>
      <c r="G449" s="218">
        <v>47644324</v>
      </c>
      <c r="H449" s="147" t="str">
        <f t="shared" si="7"/>
        <v>08010520040000</v>
      </c>
    </row>
    <row r="450" spans="1:8" ht="38.25">
      <c r="A450" s="212" t="s">
        <v>1763</v>
      </c>
      <c r="B450" s="189" t="s">
        <v>274</v>
      </c>
      <c r="C450" s="189" t="s">
        <v>480</v>
      </c>
      <c r="D450" s="189" t="s">
        <v>848</v>
      </c>
      <c r="E450" s="189" t="s">
        <v>1764</v>
      </c>
      <c r="F450" s="218">
        <v>47644324</v>
      </c>
      <c r="G450" s="218">
        <v>47644324</v>
      </c>
      <c r="H450" s="147" t="str">
        <f t="shared" si="7"/>
        <v>08010520040000600</v>
      </c>
    </row>
    <row r="451" spans="1:8">
      <c r="A451" s="212" t="s">
        <v>1504</v>
      </c>
      <c r="B451" s="189" t="s">
        <v>274</v>
      </c>
      <c r="C451" s="189" t="s">
        <v>480</v>
      </c>
      <c r="D451" s="189" t="s">
        <v>848</v>
      </c>
      <c r="E451" s="189" t="s">
        <v>1505</v>
      </c>
      <c r="F451" s="218">
        <v>47644324</v>
      </c>
      <c r="G451" s="218">
        <v>47644324</v>
      </c>
      <c r="H451" s="147" t="str">
        <f t="shared" si="7"/>
        <v>08010520040000610</v>
      </c>
    </row>
    <row r="452" spans="1:8" ht="76.5">
      <c r="A452" s="212" t="s">
        <v>435</v>
      </c>
      <c r="B452" s="189" t="s">
        <v>274</v>
      </c>
      <c r="C452" s="189" t="s">
        <v>480</v>
      </c>
      <c r="D452" s="189" t="s">
        <v>848</v>
      </c>
      <c r="E452" s="189" t="s">
        <v>436</v>
      </c>
      <c r="F452" s="218">
        <v>47644324</v>
      </c>
      <c r="G452" s="218">
        <v>47644324</v>
      </c>
      <c r="H452" s="147" t="str">
        <f t="shared" si="7"/>
        <v>08010520040000611</v>
      </c>
    </row>
    <row r="453" spans="1:8" ht="165.75">
      <c r="A453" s="212" t="s">
        <v>611</v>
      </c>
      <c r="B453" s="189" t="s">
        <v>274</v>
      </c>
      <c r="C453" s="189" t="s">
        <v>480</v>
      </c>
      <c r="D453" s="189" t="s">
        <v>849</v>
      </c>
      <c r="E453" s="189" t="s">
        <v>1468</v>
      </c>
      <c r="F453" s="218">
        <v>92000</v>
      </c>
      <c r="G453" s="218">
        <v>92000</v>
      </c>
      <c r="H453" s="147" t="str">
        <f t="shared" si="7"/>
        <v>08010520041000</v>
      </c>
    </row>
    <row r="454" spans="1:8" ht="38.25">
      <c r="A454" s="212" t="s">
        <v>1763</v>
      </c>
      <c r="B454" s="189" t="s">
        <v>274</v>
      </c>
      <c r="C454" s="189" t="s">
        <v>480</v>
      </c>
      <c r="D454" s="189" t="s">
        <v>849</v>
      </c>
      <c r="E454" s="189" t="s">
        <v>1764</v>
      </c>
      <c r="F454" s="218">
        <v>92000</v>
      </c>
      <c r="G454" s="218">
        <v>92000</v>
      </c>
      <c r="H454" s="147" t="str">
        <f t="shared" si="7"/>
        <v>08010520041000600</v>
      </c>
    </row>
    <row r="455" spans="1:8">
      <c r="A455" s="212" t="s">
        <v>1504</v>
      </c>
      <c r="B455" s="189" t="s">
        <v>274</v>
      </c>
      <c r="C455" s="189" t="s">
        <v>480</v>
      </c>
      <c r="D455" s="189" t="s">
        <v>849</v>
      </c>
      <c r="E455" s="189" t="s">
        <v>1505</v>
      </c>
      <c r="F455" s="218">
        <v>92000</v>
      </c>
      <c r="G455" s="218">
        <v>92000</v>
      </c>
      <c r="H455" s="147" t="str">
        <f t="shared" si="7"/>
        <v>08010520041000610</v>
      </c>
    </row>
    <row r="456" spans="1:8" ht="185.25" customHeight="1">
      <c r="A456" s="222" t="s">
        <v>435</v>
      </c>
      <c r="B456" s="189" t="s">
        <v>274</v>
      </c>
      <c r="C456" s="189" t="s">
        <v>480</v>
      </c>
      <c r="D456" s="189" t="s">
        <v>849</v>
      </c>
      <c r="E456" s="189" t="s">
        <v>436</v>
      </c>
      <c r="F456" s="218">
        <v>92000</v>
      </c>
      <c r="G456" s="218">
        <v>92000</v>
      </c>
      <c r="H456" s="147" t="str">
        <f t="shared" si="7"/>
        <v>08010520041000611</v>
      </c>
    </row>
    <row r="457" spans="1:8" ht="127.5">
      <c r="A457" s="212" t="s">
        <v>612</v>
      </c>
      <c r="B457" s="189" t="s">
        <v>274</v>
      </c>
      <c r="C457" s="189" t="s">
        <v>480</v>
      </c>
      <c r="D457" s="189" t="s">
        <v>850</v>
      </c>
      <c r="E457" s="189" t="s">
        <v>1468</v>
      </c>
      <c r="F457" s="218">
        <v>150000</v>
      </c>
      <c r="G457" s="218">
        <v>150000</v>
      </c>
      <c r="H457" s="147" t="str">
        <f t="shared" si="7"/>
        <v>08010520045000</v>
      </c>
    </row>
    <row r="458" spans="1:8" ht="186.75" customHeight="1">
      <c r="A458" s="222" t="s">
        <v>1763</v>
      </c>
      <c r="B458" s="189" t="s">
        <v>274</v>
      </c>
      <c r="C458" s="189" t="s">
        <v>480</v>
      </c>
      <c r="D458" s="189" t="s">
        <v>850</v>
      </c>
      <c r="E458" s="189" t="s">
        <v>1764</v>
      </c>
      <c r="F458" s="218">
        <v>150000</v>
      </c>
      <c r="G458" s="218">
        <v>150000</v>
      </c>
      <c r="H458" s="147" t="str">
        <f t="shared" si="7"/>
        <v>08010520045000600</v>
      </c>
    </row>
    <row r="459" spans="1:8">
      <c r="A459" s="212" t="s">
        <v>1504</v>
      </c>
      <c r="B459" s="189" t="s">
        <v>274</v>
      </c>
      <c r="C459" s="189" t="s">
        <v>480</v>
      </c>
      <c r="D459" s="189" t="s">
        <v>850</v>
      </c>
      <c r="E459" s="189" t="s">
        <v>1505</v>
      </c>
      <c r="F459" s="218">
        <v>150000</v>
      </c>
      <c r="G459" s="218">
        <v>150000</v>
      </c>
      <c r="H459" s="147" t="str">
        <f t="shared" si="7"/>
        <v>08010520045000610</v>
      </c>
    </row>
    <row r="460" spans="1:8" ht="76.5">
      <c r="A460" s="212" t="s">
        <v>435</v>
      </c>
      <c r="B460" s="189" t="s">
        <v>274</v>
      </c>
      <c r="C460" s="189" t="s">
        <v>480</v>
      </c>
      <c r="D460" s="189" t="s">
        <v>850</v>
      </c>
      <c r="E460" s="189" t="s">
        <v>436</v>
      </c>
      <c r="F460" s="218">
        <v>150000</v>
      </c>
      <c r="G460" s="218">
        <v>150000</v>
      </c>
      <c r="H460" s="147" t="str">
        <f t="shared" si="7"/>
        <v>08010520045000611</v>
      </c>
    </row>
    <row r="461" spans="1:8" ht="114.75">
      <c r="A461" s="212" t="s">
        <v>613</v>
      </c>
      <c r="B461" s="189" t="s">
        <v>274</v>
      </c>
      <c r="C461" s="189" t="s">
        <v>480</v>
      </c>
      <c r="D461" s="189" t="s">
        <v>851</v>
      </c>
      <c r="E461" s="189" t="s">
        <v>1468</v>
      </c>
      <c r="F461" s="218">
        <v>332771</v>
      </c>
      <c r="G461" s="218">
        <v>332771</v>
      </c>
      <c r="H461" s="147" t="str">
        <f t="shared" si="7"/>
        <v>08010520047000</v>
      </c>
    </row>
    <row r="462" spans="1:8" ht="38.25">
      <c r="A462" s="212" t="s">
        <v>1763</v>
      </c>
      <c r="B462" s="189" t="s">
        <v>274</v>
      </c>
      <c r="C462" s="189" t="s">
        <v>480</v>
      </c>
      <c r="D462" s="189" t="s">
        <v>851</v>
      </c>
      <c r="E462" s="189" t="s">
        <v>1764</v>
      </c>
      <c r="F462" s="218">
        <v>332771</v>
      </c>
      <c r="G462" s="218">
        <v>332771</v>
      </c>
      <c r="H462" s="147" t="str">
        <f t="shared" si="7"/>
        <v>08010520047000600</v>
      </c>
    </row>
    <row r="463" spans="1:8">
      <c r="A463" s="212" t="s">
        <v>1504</v>
      </c>
      <c r="B463" s="278" t="s">
        <v>274</v>
      </c>
      <c r="C463" s="278" t="s">
        <v>480</v>
      </c>
      <c r="D463" s="201" t="s">
        <v>851</v>
      </c>
      <c r="E463" s="278" t="s">
        <v>1505</v>
      </c>
      <c r="F463" s="218">
        <v>332771</v>
      </c>
      <c r="G463" s="218">
        <v>332771</v>
      </c>
      <c r="H463" s="147" t="str">
        <f t="shared" si="7"/>
        <v>08010520047000610</v>
      </c>
    </row>
    <row r="464" spans="1:8" ht="25.5">
      <c r="A464" s="212" t="s">
        <v>454</v>
      </c>
      <c r="B464" s="278" t="s">
        <v>274</v>
      </c>
      <c r="C464" s="278" t="s">
        <v>480</v>
      </c>
      <c r="D464" s="201" t="s">
        <v>851</v>
      </c>
      <c r="E464" s="278" t="s">
        <v>455</v>
      </c>
      <c r="F464" s="218">
        <v>332771</v>
      </c>
      <c r="G464" s="218">
        <v>332771</v>
      </c>
      <c r="H464" s="147" t="str">
        <f t="shared" si="7"/>
        <v>08010520047000612</v>
      </c>
    </row>
    <row r="465" spans="1:8" ht="114.75">
      <c r="A465" s="212" t="s">
        <v>679</v>
      </c>
      <c r="B465" s="278" t="s">
        <v>274</v>
      </c>
      <c r="C465" s="278" t="s">
        <v>480</v>
      </c>
      <c r="D465" s="201" t="s">
        <v>852</v>
      </c>
      <c r="E465" s="278" t="s">
        <v>1468</v>
      </c>
      <c r="F465" s="218">
        <v>21000000</v>
      </c>
      <c r="G465" s="218">
        <v>21000000</v>
      </c>
      <c r="H465" s="147" t="str">
        <f t="shared" si="7"/>
        <v>0801052004Г000</v>
      </c>
    </row>
    <row r="466" spans="1:8" ht="38.25">
      <c r="A466" s="212" t="s">
        <v>1763</v>
      </c>
      <c r="B466" s="278" t="s">
        <v>274</v>
      </c>
      <c r="C466" s="278" t="s">
        <v>480</v>
      </c>
      <c r="D466" s="201" t="s">
        <v>852</v>
      </c>
      <c r="E466" s="278" t="s">
        <v>1764</v>
      </c>
      <c r="F466" s="218">
        <v>21000000</v>
      </c>
      <c r="G466" s="218">
        <v>21000000</v>
      </c>
      <c r="H466" s="147" t="str">
        <f t="shared" si="7"/>
        <v>0801052004Г000600</v>
      </c>
    </row>
    <row r="467" spans="1:8">
      <c r="A467" s="212" t="s">
        <v>1504</v>
      </c>
      <c r="B467" s="278" t="s">
        <v>274</v>
      </c>
      <c r="C467" s="278" t="s">
        <v>480</v>
      </c>
      <c r="D467" s="201" t="s">
        <v>852</v>
      </c>
      <c r="E467" s="278" t="s">
        <v>1505</v>
      </c>
      <c r="F467" s="218">
        <v>21000000</v>
      </c>
      <c r="G467" s="218">
        <v>21000000</v>
      </c>
      <c r="H467" s="147" t="str">
        <f t="shared" si="7"/>
        <v>0801052004Г000610</v>
      </c>
    </row>
    <row r="468" spans="1:8" ht="76.5">
      <c r="A468" s="212" t="s">
        <v>435</v>
      </c>
      <c r="B468" s="278" t="s">
        <v>274</v>
      </c>
      <c r="C468" s="278" t="s">
        <v>480</v>
      </c>
      <c r="D468" s="201" t="s">
        <v>852</v>
      </c>
      <c r="E468" s="278" t="s">
        <v>436</v>
      </c>
      <c r="F468" s="218">
        <v>21000000</v>
      </c>
      <c r="G468" s="218">
        <v>21000000</v>
      </c>
      <c r="H468" s="147" t="str">
        <f t="shared" si="7"/>
        <v>0801052004Г000611</v>
      </c>
    </row>
    <row r="469" spans="1:8" ht="102">
      <c r="A469" s="212" t="s">
        <v>1091</v>
      </c>
      <c r="B469" s="278" t="s">
        <v>274</v>
      </c>
      <c r="C469" s="278" t="s">
        <v>480</v>
      </c>
      <c r="D469" s="201" t="s">
        <v>1092</v>
      </c>
      <c r="E469" s="278" t="s">
        <v>1468</v>
      </c>
      <c r="F469" s="218">
        <v>3200000</v>
      </c>
      <c r="G469" s="218">
        <v>3200000</v>
      </c>
      <c r="H469" s="147" t="str">
        <f t="shared" si="7"/>
        <v>0801052004Э000</v>
      </c>
    </row>
    <row r="470" spans="1:8" ht="38.25">
      <c r="A470" s="212" t="s">
        <v>1763</v>
      </c>
      <c r="B470" s="278" t="s">
        <v>274</v>
      </c>
      <c r="C470" s="278" t="s">
        <v>480</v>
      </c>
      <c r="D470" s="201" t="s">
        <v>1092</v>
      </c>
      <c r="E470" s="278" t="s">
        <v>1764</v>
      </c>
      <c r="F470" s="218">
        <v>3200000</v>
      </c>
      <c r="G470" s="218">
        <v>3200000</v>
      </c>
      <c r="H470" s="147" t="str">
        <f t="shared" si="7"/>
        <v>0801052004Э000600</v>
      </c>
    </row>
    <row r="471" spans="1:8">
      <c r="A471" s="212" t="s">
        <v>1504</v>
      </c>
      <c r="B471" s="278" t="s">
        <v>274</v>
      </c>
      <c r="C471" s="278" t="s">
        <v>480</v>
      </c>
      <c r="D471" s="201" t="s">
        <v>1092</v>
      </c>
      <c r="E471" s="278" t="s">
        <v>1505</v>
      </c>
      <c r="F471" s="218">
        <v>3200000</v>
      </c>
      <c r="G471" s="218">
        <v>3200000</v>
      </c>
      <c r="H471" s="147" t="str">
        <f t="shared" si="7"/>
        <v>0801052004Э000610</v>
      </c>
    </row>
    <row r="472" spans="1:8" ht="76.5">
      <c r="A472" s="212" t="s">
        <v>435</v>
      </c>
      <c r="B472" s="278" t="s">
        <v>274</v>
      </c>
      <c r="C472" s="278" t="s">
        <v>480</v>
      </c>
      <c r="D472" s="201" t="s">
        <v>1092</v>
      </c>
      <c r="E472" s="278" t="s">
        <v>436</v>
      </c>
      <c r="F472" s="218">
        <v>3200000</v>
      </c>
      <c r="G472" s="218">
        <v>3200000</v>
      </c>
      <c r="H472" s="147" t="str">
        <f t="shared" si="7"/>
        <v>0801052004Э000611</v>
      </c>
    </row>
    <row r="473" spans="1:8" ht="63.75">
      <c r="A473" s="212" t="s">
        <v>602</v>
      </c>
      <c r="B473" s="278" t="s">
        <v>274</v>
      </c>
      <c r="C473" s="201" t="s">
        <v>480</v>
      </c>
      <c r="D473" s="278" t="s">
        <v>830</v>
      </c>
      <c r="E473" s="278" t="s">
        <v>1468</v>
      </c>
      <c r="F473" s="218">
        <v>2548436</v>
      </c>
      <c r="G473" s="218">
        <v>2548436</v>
      </c>
      <c r="H473" s="147" t="str">
        <f t="shared" si="7"/>
        <v>08010520080520</v>
      </c>
    </row>
    <row r="474" spans="1:8" ht="38.25">
      <c r="A474" s="212" t="s">
        <v>1763</v>
      </c>
      <c r="B474" s="278" t="s">
        <v>274</v>
      </c>
      <c r="C474" s="278" t="s">
        <v>480</v>
      </c>
      <c r="D474" s="278" t="s">
        <v>830</v>
      </c>
      <c r="E474" s="278" t="s">
        <v>1764</v>
      </c>
      <c r="F474" s="218">
        <v>2548436</v>
      </c>
      <c r="G474" s="218">
        <v>2548436</v>
      </c>
      <c r="H474" s="147" t="str">
        <f t="shared" si="7"/>
        <v>08010520080520600</v>
      </c>
    </row>
    <row r="475" spans="1:8">
      <c r="A475" s="212" t="s">
        <v>1504</v>
      </c>
      <c r="B475" s="278" t="s">
        <v>274</v>
      </c>
      <c r="C475" s="278" t="s">
        <v>480</v>
      </c>
      <c r="D475" s="278" t="s">
        <v>830</v>
      </c>
      <c r="E475" s="278" t="s">
        <v>1505</v>
      </c>
      <c r="F475" s="218">
        <v>2548436</v>
      </c>
      <c r="G475" s="218">
        <v>2548436</v>
      </c>
      <c r="H475" s="147" t="str">
        <f t="shared" si="7"/>
        <v>08010520080520610</v>
      </c>
    </row>
    <row r="476" spans="1:8" ht="25.5">
      <c r="A476" s="212" t="s">
        <v>454</v>
      </c>
      <c r="B476" s="278" t="s">
        <v>274</v>
      </c>
      <c r="C476" s="278" t="s">
        <v>480</v>
      </c>
      <c r="D476" s="278" t="s">
        <v>830</v>
      </c>
      <c r="E476" s="278" t="s">
        <v>455</v>
      </c>
      <c r="F476" s="218">
        <v>2548436</v>
      </c>
      <c r="G476" s="218">
        <v>2548436</v>
      </c>
      <c r="H476" s="147" t="str">
        <f t="shared" si="7"/>
        <v>08010520080520612</v>
      </c>
    </row>
    <row r="477" spans="1:8" ht="25.5">
      <c r="A477" s="212" t="s">
        <v>0</v>
      </c>
      <c r="B477" s="278" t="s">
        <v>274</v>
      </c>
      <c r="C477" s="278" t="s">
        <v>491</v>
      </c>
      <c r="D477" s="278" t="s">
        <v>1468</v>
      </c>
      <c r="E477" s="278" t="s">
        <v>1468</v>
      </c>
      <c r="F477" s="218">
        <v>61847064</v>
      </c>
      <c r="G477" s="218">
        <v>61847064</v>
      </c>
      <c r="H477" s="147" t="str">
        <f t="shared" si="7"/>
        <v>0804</v>
      </c>
    </row>
    <row r="478" spans="1:8" ht="25.5">
      <c r="A478" s="212" t="s">
        <v>554</v>
      </c>
      <c r="B478" s="278" t="s">
        <v>274</v>
      </c>
      <c r="C478" s="278" t="s">
        <v>491</v>
      </c>
      <c r="D478" s="278" t="s">
        <v>1120</v>
      </c>
      <c r="E478" s="278" t="s">
        <v>1468</v>
      </c>
      <c r="F478" s="218">
        <v>61847064</v>
      </c>
      <c r="G478" s="218">
        <v>61847064</v>
      </c>
      <c r="H478" s="147" t="str">
        <f t="shared" si="7"/>
        <v>08040500000000</v>
      </c>
    </row>
    <row r="479" spans="1:8" ht="38.25">
      <c r="A479" s="212" t="s">
        <v>704</v>
      </c>
      <c r="B479" s="278" t="s">
        <v>274</v>
      </c>
      <c r="C479" s="278" t="s">
        <v>491</v>
      </c>
      <c r="D479" s="278" t="s">
        <v>1123</v>
      </c>
      <c r="E479" s="278" t="s">
        <v>1468</v>
      </c>
      <c r="F479" s="218">
        <v>61847064</v>
      </c>
      <c r="G479" s="218">
        <v>61847064</v>
      </c>
      <c r="H479" s="147" t="str">
        <f t="shared" si="7"/>
        <v>08040530000000</v>
      </c>
    </row>
    <row r="480" spans="1:8" ht="127.5">
      <c r="A480" s="212" t="s">
        <v>603</v>
      </c>
      <c r="B480" s="278" t="s">
        <v>274</v>
      </c>
      <c r="C480" s="278" t="s">
        <v>491</v>
      </c>
      <c r="D480" s="278" t="s">
        <v>831</v>
      </c>
      <c r="E480" s="278" t="s">
        <v>1468</v>
      </c>
      <c r="F480" s="218">
        <v>38217842</v>
      </c>
      <c r="G480" s="218">
        <v>38217842</v>
      </c>
      <c r="H480" s="147" t="str">
        <f t="shared" si="7"/>
        <v>08040530040000</v>
      </c>
    </row>
    <row r="481" spans="1:8" ht="76.5">
      <c r="A481" s="212" t="s">
        <v>1754</v>
      </c>
      <c r="B481" s="278" t="s">
        <v>274</v>
      </c>
      <c r="C481" s="278" t="s">
        <v>491</v>
      </c>
      <c r="D481" s="278" t="s">
        <v>831</v>
      </c>
      <c r="E481" s="278" t="s">
        <v>322</v>
      </c>
      <c r="F481" s="218">
        <v>36150842</v>
      </c>
      <c r="G481" s="218">
        <v>36150842</v>
      </c>
      <c r="H481" s="147" t="str">
        <f t="shared" si="7"/>
        <v>08040530040000100</v>
      </c>
    </row>
    <row r="482" spans="1:8" ht="25.5">
      <c r="A482" s="212" t="s">
        <v>1487</v>
      </c>
      <c r="B482" s="278" t="s">
        <v>274</v>
      </c>
      <c r="C482" s="278" t="s">
        <v>491</v>
      </c>
      <c r="D482" s="278" t="s">
        <v>831</v>
      </c>
      <c r="E482" s="278" t="s">
        <v>165</v>
      </c>
      <c r="F482" s="218">
        <v>36150842</v>
      </c>
      <c r="G482" s="218">
        <v>36150842</v>
      </c>
      <c r="H482" s="147" t="str">
        <f t="shared" si="7"/>
        <v>08040530040000110</v>
      </c>
    </row>
    <row r="483" spans="1:8">
      <c r="A483" s="212" t="s">
        <v>1360</v>
      </c>
      <c r="B483" s="278" t="s">
        <v>274</v>
      </c>
      <c r="C483" s="278" t="s">
        <v>491</v>
      </c>
      <c r="D483" s="278" t="s">
        <v>831</v>
      </c>
      <c r="E483" s="278" t="s">
        <v>430</v>
      </c>
      <c r="F483" s="218">
        <v>27692275</v>
      </c>
      <c r="G483" s="218">
        <v>27692275</v>
      </c>
      <c r="H483" s="147" t="str">
        <f t="shared" si="7"/>
        <v>08040530040000111</v>
      </c>
    </row>
    <row r="484" spans="1:8" ht="25.5">
      <c r="A484" s="212" t="s">
        <v>1369</v>
      </c>
      <c r="B484" s="278" t="s">
        <v>274</v>
      </c>
      <c r="C484" s="278" t="s">
        <v>491</v>
      </c>
      <c r="D484" s="278" t="s">
        <v>831</v>
      </c>
      <c r="E484" s="278" t="s">
        <v>479</v>
      </c>
      <c r="F484" s="218">
        <v>95500</v>
      </c>
      <c r="G484" s="218">
        <v>95500</v>
      </c>
      <c r="H484" s="147" t="str">
        <f t="shared" si="7"/>
        <v>08040530040000112</v>
      </c>
    </row>
    <row r="485" spans="1:8" ht="51">
      <c r="A485" s="212" t="s">
        <v>1361</v>
      </c>
      <c r="B485" s="278" t="s">
        <v>274</v>
      </c>
      <c r="C485" s="278" t="s">
        <v>491</v>
      </c>
      <c r="D485" s="278" t="s">
        <v>831</v>
      </c>
      <c r="E485" s="278" t="s">
        <v>1197</v>
      </c>
      <c r="F485" s="218">
        <v>8363067</v>
      </c>
      <c r="G485" s="218">
        <v>8363067</v>
      </c>
      <c r="H485" s="147" t="str">
        <f t="shared" si="7"/>
        <v>08040530040000119</v>
      </c>
    </row>
    <row r="486" spans="1:8" ht="38.25">
      <c r="A486" s="212" t="s">
        <v>1755</v>
      </c>
      <c r="B486" s="278" t="s">
        <v>274</v>
      </c>
      <c r="C486" s="278" t="s">
        <v>491</v>
      </c>
      <c r="D486" s="278" t="s">
        <v>831</v>
      </c>
      <c r="E486" s="278" t="s">
        <v>1756</v>
      </c>
      <c r="F486" s="218">
        <v>2027000</v>
      </c>
      <c r="G486" s="218">
        <v>2027000</v>
      </c>
      <c r="H486" s="147" t="str">
        <f t="shared" si="7"/>
        <v>08040530040000200</v>
      </c>
    </row>
    <row r="487" spans="1:8" ht="38.25">
      <c r="A487" s="212" t="s">
        <v>1502</v>
      </c>
      <c r="B487" s="278" t="s">
        <v>274</v>
      </c>
      <c r="C487" s="201" t="s">
        <v>491</v>
      </c>
      <c r="D487" s="278" t="s">
        <v>831</v>
      </c>
      <c r="E487" s="278" t="s">
        <v>1503</v>
      </c>
      <c r="F487" s="218">
        <v>2027000</v>
      </c>
      <c r="G487" s="218">
        <v>2027000</v>
      </c>
      <c r="H487" s="147" t="str">
        <f t="shared" si="7"/>
        <v>08040530040000240</v>
      </c>
    </row>
    <row r="488" spans="1:8">
      <c r="A488" s="212" t="s">
        <v>1577</v>
      </c>
      <c r="B488" s="278" t="s">
        <v>274</v>
      </c>
      <c r="C488" s="278" t="s">
        <v>491</v>
      </c>
      <c r="D488" s="278" t="s">
        <v>831</v>
      </c>
      <c r="E488" s="278" t="s">
        <v>416</v>
      </c>
      <c r="F488" s="218">
        <v>2027000</v>
      </c>
      <c r="G488" s="218">
        <v>2027000</v>
      </c>
      <c r="H488" s="147" t="str">
        <f t="shared" si="7"/>
        <v>08040530040000244</v>
      </c>
    </row>
    <row r="489" spans="1:8">
      <c r="A489" s="212" t="s">
        <v>1757</v>
      </c>
      <c r="B489" s="278" t="s">
        <v>274</v>
      </c>
      <c r="C489" s="278" t="s">
        <v>491</v>
      </c>
      <c r="D489" s="278" t="s">
        <v>831</v>
      </c>
      <c r="E489" s="278" t="s">
        <v>1758</v>
      </c>
      <c r="F489" s="218">
        <v>40000</v>
      </c>
      <c r="G489" s="218">
        <v>40000</v>
      </c>
      <c r="H489" s="147" t="str">
        <f t="shared" si="7"/>
        <v>08040530040000800</v>
      </c>
    </row>
    <row r="490" spans="1:8">
      <c r="A490" s="212" t="s">
        <v>1507</v>
      </c>
      <c r="B490" s="278" t="s">
        <v>274</v>
      </c>
      <c r="C490" s="278" t="s">
        <v>491</v>
      </c>
      <c r="D490" s="278" t="s">
        <v>831</v>
      </c>
      <c r="E490" s="278" t="s">
        <v>1508</v>
      </c>
      <c r="F490" s="218">
        <v>40000</v>
      </c>
      <c r="G490" s="218">
        <v>40000</v>
      </c>
      <c r="H490" s="147" t="str">
        <f t="shared" si="7"/>
        <v>08040530040000850</v>
      </c>
    </row>
    <row r="491" spans="1:8">
      <c r="A491" s="212" t="s">
        <v>1082</v>
      </c>
      <c r="B491" s="278" t="s">
        <v>274</v>
      </c>
      <c r="C491" s="278" t="s">
        <v>491</v>
      </c>
      <c r="D491" s="278" t="s">
        <v>831</v>
      </c>
      <c r="E491" s="278" t="s">
        <v>591</v>
      </c>
      <c r="F491" s="218">
        <v>40000</v>
      </c>
      <c r="G491" s="218">
        <v>40000</v>
      </c>
      <c r="H491" s="147" t="str">
        <f t="shared" si="7"/>
        <v>08040530040000852</v>
      </c>
    </row>
    <row r="492" spans="1:8" ht="165.75">
      <c r="A492" s="212" t="s">
        <v>604</v>
      </c>
      <c r="B492" s="278" t="s">
        <v>274</v>
      </c>
      <c r="C492" s="278" t="s">
        <v>491</v>
      </c>
      <c r="D492" s="278" t="s">
        <v>832</v>
      </c>
      <c r="E492" s="278" t="s">
        <v>1468</v>
      </c>
      <c r="F492" s="218">
        <v>21878174</v>
      </c>
      <c r="G492" s="218">
        <v>21878174</v>
      </c>
      <c r="H492" s="147" t="str">
        <f t="shared" si="7"/>
        <v>08040530041000</v>
      </c>
    </row>
    <row r="493" spans="1:8" ht="76.5">
      <c r="A493" s="212" t="s">
        <v>1754</v>
      </c>
      <c r="B493" s="278" t="s">
        <v>274</v>
      </c>
      <c r="C493" s="278" t="s">
        <v>491</v>
      </c>
      <c r="D493" s="278" t="s">
        <v>832</v>
      </c>
      <c r="E493" s="278" t="s">
        <v>322</v>
      </c>
      <c r="F493" s="218">
        <v>21878174</v>
      </c>
      <c r="G493" s="218">
        <v>21878174</v>
      </c>
      <c r="H493" s="147" t="str">
        <f t="shared" si="7"/>
        <v>08040530041000100</v>
      </c>
    </row>
    <row r="494" spans="1:8" ht="25.5">
      <c r="A494" s="212" t="s">
        <v>1487</v>
      </c>
      <c r="B494" s="278" t="s">
        <v>274</v>
      </c>
      <c r="C494" s="278" t="s">
        <v>491</v>
      </c>
      <c r="D494" s="278" t="s">
        <v>832</v>
      </c>
      <c r="E494" s="278" t="s">
        <v>165</v>
      </c>
      <c r="F494" s="218">
        <v>21878174</v>
      </c>
      <c r="G494" s="218">
        <v>21878174</v>
      </c>
      <c r="H494" s="147" t="str">
        <f t="shared" si="7"/>
        <v>08040530041000110</v>
      </c>
    </row>
    <row r="495" spans="1:8">
      <c r="A495" s="212" t="s">
        <v>1360</v>
      </c>
      <c r="B495" s="278" t="s">
        <v>274</v>
      </c>
      <c r="C495" s="278" t="s">
        <v>491</v>
      </c>
      <c r="D495" s="278" t="s">
        <v>832</v>
      </c>
      <c r="E495" s="278" t="s">
        <v>430</v>
      </c>
      <c r="F495" s="218">
        <v>16803513</v>
      </c>
      <c r="G495" s="218">
        <v>16803513</v>
      </c>
      <c r="H495" s="147" t="str">
        <f t="shared" si="7"/>
        <v>08040530041000111</v>
      </c>
    </row>
    <row r="496" spans="1:8" ht="51">
      <c r="A496" s="212" t="s">
        <v>1361</v>
      </c>
      <c r="B496" s="278" t="s">
        <v>274</v>
      </c>
      <c r="C496" s="278" t="s">
        <v>491</v>
      </c>
      <c r="D496" s="278" t="s">
        <v>832</v>
      </c>
      <c r="E496" s="278" t="s">
        <v>1197</v>
      </c>
      <c r="F496" s="218">
        <v>5074661</v>
      </c>
      <c r="G496" s="218">
        <v>5074661</v>
      </c>
      <c r="H496" s="147" t="str">
        <f t="shared" ref="H496:H554" si="9">CONCATENATE(C496,,D496,E496)</f>
        <v>08040530041000119</v>
      </c>
    </row>
    <row r="497" spans="1:8" ht="127.5">
      <c r="A497" s="212" t="s">
        <v>605</v>
      </c>
      <c r="B497" s="278" t="s">
        <v>274</v>
      </c>
      <c r="C497" s="278" t="s">
        <v>491</v>
      </c>
      <c r="D497" s="278" t="s">
        <v>834</v>
      </c>
      <c r="E497" s="278" t="s">
        <v>1468</v>
      </c>
      <c r="F497" s="218">
        <v>1064548</v>
      </c>
      <c r="G497" s="218">
        <v>1064548</v>
      </c>
      <c r="H497" s="147" t="str">
        <f t="shared" si="9"/>
        <v>08040530047000</v>
      </c>
    </row>
    <row r="498" spans="1:8" ht="76.5">
      <c r="A498" s="212" t="s">
        <v>1754</v>
      </c>
      <c r="B498" s="278" t="s">
        <v>274</v>
      </c>
      <c r="C498" s="278" t="s">
        <v>491</v>
      </c>
      <c r="D498" s="278" t="s">
        <v>834</v>
      </c>
      <c r="E498" s="278" t="s">
        <v>322</v>
      </c>
      <c r="F498" s="218">
        <v>1064548</v>
      </c>
      <c r="G498" s="218">
        <v>1064548</v>
      </c>
      <c r="H498" s="147" t="str">
        <f t="shared" si="9"/>
        <v>08040530047000100</v>
      </c>
    </row>
    <row r="499" spans="1:8" ht="25.5">
      <c r="A499" s="212" t="s">
        <v>1487</v>
      </c>
      <c r="B499" s="278" t="s">
        <v>274</v>
      </c>
      <c r="C499" s="278" t="s">
        <v>491</v>
      </c>
      <c r="D499" s="278" t="s">
        <v>834</v>
      </c>
      <c r="E499" s="278" t="s">
        <v>165</v>
      </c>
      <c r="F499" s="218">
        <v>1064548</v>
      </c>
      <c r="G499" s="218">
        <v>1064548</v>
      </c>
      <c r="H499" s="147" t="str">
        <f t="shared" si="9"/>
        <v>08040530047000110</v>
      </c>
    </row>
    <row r="500" spans="1:8" ht="25.5">
      <c r="A500" s="212" t="s">
        <v>1369</v>
      </c>
      <c r="B500" s="278" t="s">
        <v>274</v>
      </c>
      <c r="C500" s="278" t="s">
        <v>491</v>
      </c>
      <c r="D500" s="278" t="s">
        <v>834</v>
      </c>
      <c r="E500" s="278" t="s">
        <v>479</v>
      </c>
      <c r="F500" s="218">
        <v>1064548</v>
      </c>
      <c r="G500" s="218">
        <v>1064548</v>
      </c>
      <c r="H500" s="147" t="str">
        <f t="shared" si="9"/>
        <v>08040530047000112</v>
      </c>
    </row>
    <row r="501" spans="1:8" ht="127.5">
      <c r="A501" s="212" t="s">
        <v>676</v>
      </c>
      <c r="B501" s="278" t="s">
        <v>274</v>
      </c>
      <c r="C501" s="278" t="s">
        <v>491</v>
      </c>
      <c r="D501" s="278" t="s">
        <v>835</v>
      </c>
      <c r="E501" s="278" t="s">
        <v>1468</v>
      </c>
      <c r="F501" s="218">
        <v>356000</v>
      </c>
      <c r="G501" s="218">
        <v>356000</v>
      </c>
      <c r="H501" s="147" t="str">
        <f t="shared" si="9"/>
        <v>0804053004Г000</v>
      </c>
    </row>
    <row r="502" spans="1:8" ht="38.25">
      <c r="A502" s="212" t="s">
        <v>1755</v>
      </c>
      <c r="B502" s="278" t="s">
        <v>274</v>
      </c>
      <c r="C502" s="278" t="s">
        <v>491</v>
      </c>
      <c r="D502" s="278" t="s">
        <v>835</v>
      </c>
      <c r="E502" s="278" t="s">
        <v>1756</v>
      </c>
      <c r="F502" s="218">
        <v>356000</v>
      </c>
      <c r="G502" s="218">
        <v>356000</v>
      </c>
      <c r="H502" s="147" t="str">
        <f t="shared" si="9"/>
        <v>0804053004Г000200</v>
      </c>
    </row>
    <row r="503" spans="1:8" ht="38.25">
      <c r="A503" s="212" t="s">
        <v>1502</v>
      </c>
      <c r="B503" s="278" t="s">
        <v>274</v>
      </c>
      <c r="C503" s="278" t="s">
        <v>491</v>
      </c>
      <c r="D503" s="278" t="s">
        <v>835</v>
      </c>
      <c r="E503" s="278" t="s">
        <v>1503</v>
      </c>
      <c r="F503" s="218">
        <v>356000</v>
      </c>
      <c r="G503" s="218">
        <v>356000</v>
      </c>
      <c r="H503" s="147" t="str">
        <f t="shared" si="9"/>
        <v>0804053004Г000240</v>
      </c>
    </row>
    <row r="504" spans="1:8">
      <c r="A504" s="212" t="s">
        <v>1577</v>
      </c>
      <c r="B504" s="278" t="s">
        <v>274</v>
      </c>
      <c r="C504" s="278" t="s">
        <v>491</v>
      </c>
      <c r="D504" s="278" t="s">
        <v>835</v>
      </c>
      <c r="E504" s="278" t="s">
        <v>416</v>
      </c>
      <c r="F504" s="218">
        <v>356000</v>
      </c>
      <c r="G504" s="218">
        <v>356000</v>
      </c>
      <c r="H504" s="147" t="str">
        <f t="shared" si="9"/>
        <v>0804053004Г000244</v>
      </c>
    </row>
    <row r="505" spans="1:8" ht="89.25">
      <c r="A505" s="212" t="s">
        <v>1093</v>
      </c>
      <c r="B505" s="278" t="s">
        <v>274</v>
      </c>
      <c r="C505" s="278" t="s">
        <v>491</v>
      </c>
      <c r="D505" s="278" t="s">
        <v>1094</v>
      </c>
      <c r="E505" s="278" t="s">
        <v>1468</v>
      </c>
      <c r="F505" s="218">
        <v>120000</v>
      </c>
      <c r="G505" s="218">
        <v>120000</v>
      </c>
      <c r="H505" s="147" t="str">
        <f t="shared" si="9"/>
        <v>0804053004Ф000</v>
      </c>
    </row>
    <row r="506" spans="1:8" ht="38.25">
      <c r="A506" s="212" t="s">
        <v>1755</v>
      </c>
      <c r="B506" s="278" t="s">
        <v>274</v>
      </c>
      <c r="C506" s="201" t="s">
        <v>491</v>
      </c>
      <c r="D506" s="278" t="s">
        <v>1094</v>
      </c>
      <c r="E506" s="278" t="s">
        <v>1756</v>
      </c>
      <c r="F506" s="218">
        <v>120000</v>
      </c>
      <c r="G506" s="218">
        <v>120000</v>
      </c>
      <c r="H506" s="147" t="str">
        <f t="shared" si="9"/>
        <v>0804053004Ф000200</v>
      </c>
    </row>
    <row r="507" spans="1:8" ht="38.25">
      <c r="A507" s="212" t="s">
        <v>1502</v>
      </c>
      <c r="B507" s="278" t="s">
        <v>274</v>
      </c>
      <c r="C507" s="278" t="s">
        <v>491</v>
      </c>
      <c r="D507" s="278" t="s">
        <v>1094</v>
      </c>
      <c r="E507" s="278" t="s">
        <v>1503</v>
      </c>
      <c r="F507" s="218">
        <v>120000</v>
      </c>
      <c r="G507" s="218">
        <v>120000</v>
      </c>
      <c r="H507" s="147" t="str">
        <f t="shared" si="9"/>
        <v>0804053004Ф000240</v>
      </c>
    </row>
    <row r="508" spans="1:8">
      <c r="A508" s="212" t="s">
        <v>1577</v>
      </c>
      <c r="B508" s="278" t="s">
        <v>274</v>
      </c>
      <c r="C508" s="278" t="s">
        <v>491</v>
      </c>
      <c r="D508" s="278" t="s">
        <v>1094</v>
      </c>
      <c r="E508" s="278" t="s">
        <v>416</v>
      </c>
      <c r="F508" s="218">
        <v>120000</v>
      </c>
      <c r="G508" s="218">
        <v>120000</v>
      </c>
      <c r="H508" s="147" t="str">
        <f t="shared" si="9"/>
        <v>0804053004Ф000244</v>
      </c>
    </row>
    <row r="509" spans="1:8" ht="114.75">
      <c r="A509" s="212" t="s">
        <v>1087</v>
      </c>
      <c r="B509" s="278" t="s">
        <v>274</v>
      </c>
      <c r="C509" s="278" t="s">
        <v>491</v>
      </c>
      <c r="D509" s="278" t="s">
        <v>1088</v>
      </c>
      <c r="E509" s="278" t="s">
        <v>1468</v>
      </c>
      <c r="F509" s="218">
        <v>210500</v>
      </c>
      <c r="G509" s="218">
        <v>210500</v>
      </c>
      <c r="H509" s="147" t="str">
        <f t="shared" si="9"/>
        <v>0804053004Э000</v>
      </c>
    </row>
    <row r="510" spans="1:8" ht="38.25">
      <c r="A510" s="212" t="s">
        <v>1755</v>
      </c>
      <c r="B510" s="278" t="s">
        <v>274</v>
      </c>
      <c r="C510" s="278" t="s">
        <v>491</v>
      </c>
      <c r="D510" s="278" t="s">
        <v>1088</v>
      </c>
      <c r="E510" s="278" t="s">
        <v>1756</v>
      </c>
      <c r="F510" s="218">
        <v>210500</v>
      </c>
      <c r="G510" s="218">
        <v>210500</v>
      </c>
      <c r="H510" s="147" t="str">
        <f t="shared" si="9"/>
        <v>0804053004Э000200</v>
      </c>
    </row>
    <row r="511" spans="1:8" ht="38.25">
      <c r="A511" s="212" t="s">
        <v>1502</v>
      </c>
      <c r="B511" s="278" t="s">
        <v>274</v>
      </c>
      <c r="C511" s="278" t="s">
        <v>491</v>
      </c>
      <c r="D511" s="278" t="s">
        <v>1088</v>
      </c>
      <c r="E511" s="278" t="s">
        <v>1503</v>
      </c>
      <c r="F511" s="218">
        <v>210500</v>
      </c>
      <c r="G511" s="218">
        <v>210500</v>
      </c>
      <c r="H511" s="147" t="str">
        <f t="shared" si="9"/>
        <v>0804053004Э000240</v>
      </c>
    </row>
    <row r="512" spans="1:8">
      <c r="A512" s="212" t="s">
        <v>1577</v>
      </c>
      <c r="B512" s="278" t="s">
        <v>274</v>
      </c>
      <c r="C512" s="278" t="s">
        <v>491</v>
      </c>
      <c r="D512" s="278" t="s">
        <v>1088</v>
      </c>
      <c r="E512" s="278" t="s">
        <v>416</v>
      </c>
      <c r="F512" s="218">
        <v>210500</v>
      </c>
      <c r="G512" s="218">
        <v>210500</v>
      </c>
      <c r="H512" s="147" t="str">
        <f t="shared" si="9"/>
        <v>0804053004Э000244</v>
      </c>
    </row>
    <row r="513" spans="1:8">
      <c r="A513" s="212" t="s">
        <v>292</v>
      </c>
      <c r="B513" s="278" t="s">
        <v>274</v>
      </c>
      <c r="C513" s="278" t="s">
        <v>1366</v>
      </c>
      <c r="D513" s="278" t="s">
        <v>1468</v>
      </c>
      <c r="E513" s="278" t="s">
        <v>1468</v>
      </c>
      <c r="F513" s="218">
        <v>7611700</v>
      </c>
      <c r="G513" s="218">
        <v>7611700</v>
      </c>
      <c r="H513" s="147" t="str">
        <f t="shared" si="9"/>
        <v>1100</v>
      </c>
    </row>
    <row r="514" spans="1:8">
      <c r="A514" s="212" t="s">
        <v>1588</v>
      </c>
      <c r="B514" s="278" t="s">
        <v>274</v>
      </c>
      <c r="C514" s="278" t="s">
        <v>1589</v>
      </c>
      <c r="D514" s="278" t="s">
        <v>1468</v>
      </c>
      <c r="E514" s="278" t="s">
        <v>1468</v>
      </c>
      <c r="F514" s="218">
        <v>5964674</v>
      </c>
      <c r="G514" s="218">
        <v>5964674</v>
      </c>
      <c r="H514" s="147" t="str">
        <f t="shared" si="9"/>
        <v>1101</v>
      </c>
    </row>
    <row r="515" spans="1:8" ht="38.25">
      <c r="A515" s="212" t="s">
        <v>567</v>
      </c>
      <c r="B515" s="278" t="s">
        <v>274</v>
      </c>
      <c r="C515" s="278" t="s">
        <v>1589</v>
      </c>
      <c r="D515" s="278" t="s">
        <v>1128</v>
      </c>
      <c r="E515" s="278" t="s">
        <v>1468</v>
      </c>
      <c r="F515" s="218">
        <v>5964674</v>
      </c>
      <c r="G515" s="218">
        <v>5964674</v>
      </c>
      <c r="H515" s="147" t="str">
        <f t="shared" si="9"/>
        <v>11010700000000</v>
      </c>
    </row>
    <row r="516" spans="1:8" ht="25.5">
      <c r="A516" s="212" t="s">
        <v>568</v>
      </c>
      <c r="B516" s="278" t="s">
        <v>274</v>
      </c>
      <c r="C516" s="278" t="s">
        <v>1589</v>
      </c>
      <c r="D516" s="278" t="s">
        <v>1129</v>
      </c>
      <c r="E516" s="278" t="s">
        <v>1468</v>
      </c>
      <c r="F516" s="218">
        <v>5964674</v>
      </c>
      <c r="G516" s="218">
        <v>5964674</v>
      </c>
      <c r="H516" s="147" t="str">
        <f t="shared" si="9"/>
        <v>11010710000000</v>
      </c>
    </row>
    <row r="517" spans="1:8" ht="140.25">
      <c r="A517" s="212" t="s">
        <v>1471</v>
      </c>
      <c r="B517" s="278" t="s">
        <v>274</v>
      </c>
      <c r="C517" s="278" t="s">
        <v>1589</v>
      </c>
      <c r="D517" s="278" t="s">
        <v>1472</v>
      </c>
      <c r="E517" s="278" t="s">
        <v>1468</v>
      </c>
      <c r="F517" s="218">
        <v>4060274</v>
      </c>
      <c r="G517" s="218">
        <v>4060274</v>
      </c>
      <c r="H517" s="147" t="str">
        <f t="shared" si="9"/>
        <v>11010710040000</v>
      </c>
    </row>
    <row r="518" spans="1:8" ht="38.25">
      <c r="A518" s="212" t="s">
        <v>1763</v>
      </c>
      <c r="B518" s="278" t="s">
        <v>274</v>
      </c>
      <c r="C518" s="278" t="s">
        <v>1589</v>
      </c>
      <c r="D518" s="278" t="s">
        <v>1472</v>
      </c>
      <c r="E518" s="278" t="s">
        <v>1764</v>
      </c>
      <c r="F518" s="218">
        <v>4060274</v>
      </c>
      <c r="G518" s="218">
        <v>4060274</v>
      </c>
      <c r="H518" s="147" t="str">
        <f t="shared" si="9"/>
        <v>11010710040000600</v>
      </c>
    </row>
    <row r="519" spans="1:8">
      <c r="A519" s="212" t="s">
        <v>1504</v>
      </c>
      <c r="B519" s="278" t="s">
        <v>274</v>
      </c>
      <c r="C519" s="278" t="s">
        <v>1589</v>
      </c>
      <c r="D519" s="278" t="s">
        <v>1472</v>
      </c>
      <c r="E519" s="278" t="s">
        <v>1505</v>
      </c>
      <c r="F519" s="218">
        <v>4060274</v>
      </c>
      <c r="G519" s="218">
        <v>4060274</v>
      </c>
      <c r="H519" s="147" t="str">
        <f t="shared" si="9"/>
        <v>11010710040000610</v>
      </c>
    </row>
    <row r="520" spans="1:8" ht="76.5">
      <c r="A520" s="212" t="s">
        <v>435</v>
      </c>
      <c r="B520" s="278" t="s">
        <v>274</v>
      </c>
      <c r="C520" s="278" t="s">
        <v>1589</v>
      </c>
      <c r="D520" s="278" t="s">
        <v>1472</v>
      </c>
      <c r="E520" s="278" t="s">
        <v>436</v>
      </c>
      <c r="F520" s="218">
        <v>4060274</v>
      </c>
      <c r="G520" s="218">
        <v>4060274</v>
      </c>
      <c r="H520" s="147" t="str">
        <f t="shared" si="9"/>
        <v>11010710040000611</v>
      </c>
    </row>
    <row r="521" spans="1:8" ht="178.5">
      <c r="A521" s="212" t="s">
        <v>1473</v>
      </c>
      <c r="B521" s="278" t="s">
        <v>274</v>
      </c>
      <c r="C521" s="278" t="s">
        <v>1589</v>
      </c>
      <c r="D521" s="278" t="s">
        <v>1474</v>
      </c>
      <c r="E521" s="278" t="s">
        <v>1468</v>
      </c>
      <c r="F521" s="218">
        <v>280000</v>
      </c>
      <c r="G521" s="218">
        <v>280000</v>
      </c>
      <c r="H521" s="147" t="str">
        <f t="shared" si="9"/>
        <v>11010710041000</v>
      </c>
    </row>
    <row r="522" spans="1:8" ht="38.25">
      <c r="A522" s="212" t="s">
        <v>1763</v>
      </c>
      <c r="B522" s="278" t="s">
        <v>274</v>
      </c>
      <c r="C522" s="278" t="s">
        <v>1589</v>
      </c>
      <c r="D522" s="278" t="s">
        <v>1474</v>
      </c>
      <c r="E522" s="278" t="s">
        <v>1764</v>
      </c>
      <c r="F522" s="218">
        <v>280000</v>
      </c>
      <c r="G522" s="218">
        <v>280000</v>
      </c>
      <c r="H522" s="147" t="str">
        <f t="shared" si="9"/>
        <v>11010710041000600</v>
      </c>
    </row>
    <row r="523" spans="1:8">
      <c r="A523" s="212" t="s">
        <v>1504</v>
      </c>
      <c r="B523" s="278" t="s">
        <v>274</v>
      </c>
      <c r="C523" s="278" t="s">
        <v>1589</v>
      </c>
      <c r="D523" s="278" t="s">
        <v>1474</v>
      </c>
      <c r="E523" s="278" t="s">
        <v>1505</v>
      </c>
      <c r="F523" s="218">
        <v>280000</v>
      </c>
      <c r="G523" s="218">
        <v>280000</v>
      </c>
      <c r="H523" s="147" t="str">
        <f t="shared" si="9"/>
        <v>11010710041000610</v>
      </c>
    </row>
    <row r="524" spans="1:8" ht="76.5">
      <c r="A524" s="212" t="s">
        <v>435</v>
      </c>
      <c r="B524" s="278" t="s">
        <v>274</v>
      </c>
      <c r="C524" s="278" t="s">
        <v>1589</v>
      </c>
      <c r="D524" s="278" t="s">
        <v>1474</v>
      </c>
      <c r="E524" s="278" t="s">
        <v>436</v>
      </c>
      <c r="F524" s="218">
        <v>280000</v>
      </c>
      <c r="G524" s="218">
        <v>280000</v>
      </c>
      <c r="H524" s="147" t="str">
        <f t="shared" si="9"/>
        <v>11010710041000611</v>
      </c>
    </row>
    <row r="525" spans="1:8" ht="127.5">
      <c r="A525" s="212" t="s">
        <v>1475</v>
      </c>
      <c r="B525" s="278" t="s">
        <v>274</v>
      </c>
      <c r="C525" s="278" t="s">
        <v>1589</v>
      </c>
      <c r="D525" s="278" t="s">
        <v>1476</v>
      </c>
      <c r="E525" s="278" t="s">
        <v>1468</v>
      </c>
      <c r="F525" s="218">
        <v>30000</v>
      </c>
      <c r="G525" s="218">
        <v>30000</v>
      </c>
      <c r="H525" s="147" t="str">
        <f t="shared" si="9"/>
        <v>11010710047000</v>
      </c>
    </row>
    <row r="526" spans="1:8" ht="38.25">
      <c r="A526" s="212" t="s">
        <v>1763</v>
      </c>
      <c r="B526" s="278" t="s">
        <v>274</v>
      </c>
      <c r="C526" s="278" t="s">
        <v>1589</v>
      </c>
      <c r="D526" s="278" t="s">
        <v>1476</v>
      </c>
      <c r="E526" s="278" t="s">
        <v>1764</v>
      </c>
      <c r="F526" s="218">
        <v>30000</v>
      </c>
      <c r="G526" s="218">
        <v>30000</v>
      </c>
      <c r="H526" s="147" t="str">
        <f t="shared" si="9"/>
        <v>11010710047000600</v>
      </c>
    </row>
    <row r="527" spans="1:8">
      <c r="A527" s="212" t="s">
        <v>1504</v>
      </c>
      <c r="B527" s="278" t="s">
        <v>274</v>
      </c>
      <c r="C527" s="278" t="s">
        <v>1589</v>
      </c>
      <c r="D527" s="278" t="s">
        <v>1476</v>
      </c>
      <c r="E527" s="278" t="s">
        <v>1505</v>
      </c>
      <c r="F527" s="218">
        <v>30000</v>
      </c>
      <c r="G527" s="218">
        <v>30000</v>
      </c>
      <c r="H527" s="147" t="str">
        <f t="shared" si="9"/>
        <v>11010710047000610</v>
      </c>
    </row>
    <row r="528" spans="1:8" ht="25.5">
      <c r="A528" s="212" t="s">
        <v>454</v>
      </c>
      <c r="B528" s="278" t="s">
        <v>274</v>
      </c>
      <c r="C528" s="278" t="s">
        <v>1589</v>
      </c>
      <c r="D528" s="278" t="s">
        <v>1476</v>
      </c>
      <c r="E528" s="278" t="s">
        <v>455</v>
      </c>
      <c r="F528" s="218">
        <v>30000</v>
      </c>
      <c r="G528" s="218">
        <v>30000</v>
      </c>
      <c r="H528" s="147" t="str">
        <f t="shared" si="9"/>
        <v>11010710047000612</v>
      </c>
    </row>
    <row r="529" spans="1:8" ht="127.5">
      <c r="A529" s="212" t="s">
        <v>1477</v>
      </c>
      <c r="B529" s="278" t="s">
        <v>274</v>
      </c>
      <c r="C529" s="278" t="s">
        <v>1589</v>
      </c>
      <c r="D529" s="278" t="s">
        <v>1478</v>
      </c>
      <c r="E529" s="278" t="s">
        <v>1468</v>
      </c>
      <c r="F529" s="218">
        <v>706400</v>
      </c>
      <c r="G529" s="218">
        <v>706400</v>
      </c>
      <c r="H529" s="147" t="str">
        <f t="shared" si="9"/>
        <v>1101071004Г000</v>
      </c>
    </row>
    <row r="530" spans="1:8" ht="38.25">
      <c r="A530" s="212" t="s">
        <v>1763</v>
      </c>
      <c r="B530" s="278" t="s">
        <v>274</v>
      </c>
      <c r="C530" s="278" t="s">
        <v>1589</v>
      </c>
      <c r="D530" s="278" t="s">
        <v>1478</v>
      </c>
      <c r="E530" s="278" t="s">
        <v>1764</v>
      </c>
      <c r="F530" s="218">
        <v>706400</v>
      </c>
      <c r="G530" s="218">
        <v>706400</v>
      </c>
      <c r="H530" s="147" t="str">
        <f t="shared" si="9"/>
        <v>1101071004Г000600</v>
      </c>
    </row>
    <row r="531" spans="1:8">
      <c r="A531" s="212" t="s">
        <v>1504</v>
      </c>
      <c r="B531" s="278" t="s">
        <v>274</v>
      </c>
      <c r="C531" s="278" t="s">
        <v>1589</v>
      </c>
      <c r="D531" s="278" t="s">
        <v>1478</v>
      </c>
      <c r="E531" s="278" t="s">
        <v>1505</v>
      </c>
      <c r="F531" s="218">
        <v>706400</v>
      </c>
      <c r="G531" s="218">
        <v>706400</v>
      </c>
      <c r="H531" s="147" t="str">
        <f t="shared" si="9"/>
        <v>1101071004Г000610</v>
      </c>
    </row>
    <row r="532" spans="1:8" ht="76.5">
      <c r="A532" s="212" t="s">
        <v>435</v>
      </c>
      <c r="B532" s="278" t="s">
        <v>274</v>
      </c>
      <c r="C532" s="278" t="s">
        <v>1589</v>
      </c>
      <c r="D532" s="278" t="s">
        <v>1478</v>
      </c>
      <c r="E532" s="278" t="s">
        <v>436</v>
      </c>
      <c r="F532" s="218">
        <v>706400</v>
      </c>
      <c r="G532" s="218">
        <v>706400</v>
      </c>
      <c r="H532" s="147" t="str">
        <f t="shared" si="9"/>
        <v>1101071004Г000611</v>
      </c>
    </row>
    <row r="533" spans="1:8" ht="114.75">
      <c r="A533" s="212" t="s">
        <v>1479</v>
      </c>
      <c r="B533" s="278" t="s">
        <v>274</v>
      </c>
      <c r="C533" s="278" t="s">
        <v>1589</v>
      </c>
      <c r="D533" s="278" t="s">
        <v>1480</v>
      </c>
      <c r="E533" s="278" t="s">
        <v>1468</v>
      </c>
      <c r="F533" s="218">
        <v>200000</v>
      </c>
      <c r="G533" s="218">
        <v>200000</v>
      </c>
      <c r="H533" s="147" t="str">
        <f t="shared" si="9"/>
        <v>1101071004Э000</v>
      </c>
    </row>
    <row r="534" spans="1:8" ht="38.25">
      <c r="A534" s="212" t="s">
        <v>1763</v>
      </c>
      <c r="B534" s="278" t="s">
        <v>274</v>
      </c>
      <c r="C534" s="278" t="s">
        <v>1589</v>
      </c>
      <c r="D534" s="278" t="s">
        <v>1480</v>
      </c>
      <c r="E534" s="278" t="s">
        <v>1764</v>
      </c>
      <c r="F534" s="218">
        <v>200000</v>
      </c>
      <c r="G534" s="218">
        <v>200000</v>
      </c>
      <c r="H534" s="147" t="str">
        <f t="shared" si="9"/>
        <v>1101071004Э000600</v>
      </c>
    </row>
    <row r="535" spans="1:8">
      <c r="A535" s="212" t="s">
        <v>1504</v>
      </c>
      <c r="B535" s="278" t="s">
        <v>274</v>
      </c>
      <c r="C535" s="278" t="s">
        <v>1589</v>
      </c>
      <c r="D535" s="278" t="s">
        <v>1480</v>
      </c>
      <c r="E535" s="278" t="s">
        <v>1505</v>
      </c>
      <c r="F535" s="218">
        <v>200000</v>
      </c>
      <c r="G535" s="218">
        <v>200000</v>
      </c>
      <c r="H535" s="147" t="str">
        <f t="shared" si="9"/>
        <v>1101071004Э000610</v>
      </c>
    </row>
    <row r="536" spans="1:8" ht="76.5">
      <c r="A536" s="212" t="s">
        <v>435</v>
      </c>
      <c r="B536" s="278" t="s">
        <v>274</v>
      </c>
      <c r="C536" s="278" t="s">
        <v>1589</v>
      </c>
      <c r="D536" s="278" t="s">
        <v>1480</v>
      </c>
      <c r="E536" s="278" t="s">
        <v>436</v>
      </c>
      <c r="F536" s="218">
        <v>200000</v>
      </c>
      <c r="G536" s="218">
        <v>200000</v>
      </c>
      <c r="H536" s="147" t="str">
        <f t="shared" si="9"/>
        <v>1101071004Э000611</v>
      </c>
    </row>
    <row r="537" spans="1:8" ht="102">
      <c r="A537" s="212" t="s">
        <v>1481</v>
      </c>
      <c r="B537" s="278" t="s">
        <v>274</v>
      </c>
      <c r="C537" s="201" t="s">
        <v>1589</v>
      </c>
      <c r="D537" s="278" t="s">
        <v>1482</v>
      </c>
      <c r="E537" s="278" t="s">
        <v>1468</v>
      </c>
      <c r="F537" s="218">
        <v>688000</v>
      </c>
      <c r="G537" s="218">
        <v>688000</v>
      </c>
      <c r="H537" s="147" t="str">
        <f t="shared" si="9"/>
        <v>110107100Ч0020</v>
      </c>
    </row>
    <row r="538" spans="1:8" ht="38.25">
      <c r="A538" s="212" t="s">
        <v>1763</v>
      </c>
      <c r="B538" s="278" t="s">
        <v>274</v>
      </c>
      <c r="C538" s="278" t="s">
        <v>1589</v>
      </c>
      <c r="D538" s="278" t="s">
        <v>1482</v>
      </c>
      <c r="E538" s="278" t="s">
        <v>1764</v>
      </c>
      <c r="F538" s="218">
        <v>688000</v>
      </c>
      <c r="G538" s="218">
        <v>688000</v>
      </c>
      <c r="H538" s="147" t="str">
        <f t="shared" si="9"/>
        <v>110107100Ч0020600</v>
      </c>
    </row>
    <row r="539" spans="1:8">
      <c r="A539" s="212" t="s">
        <v>1504</v>
      </c>
      <c r="B539" s="278" t="s">
        <v>274</v>
      </c>
      <c r="C539" s="278" t="s">
        <v>1589</v>
      </c>
      <c r="D539" s="278" t="s">
        <v>1482</v>
      </c>
      <c r="E539" s="278" t="s">
        <v>1505</v>
      </c>
      <c r="F539" s="218">
        <v>688000</v>
      </c>
      <c r="G539" s="218">
        <v>688000</v>
      </c>
      <c r="H539" s="147" t="str">
        <f t="shared" si="9"/>
        <v>110107100Ч0020610</v>
      </c>
    </row>
    <row r="540" spans="1:8" ht="76.5">
      <c r="A540" s="212" t="s">
        <v>435</v>
      </c>
      <c r="B540" s="278" t="s">
        <v>274</v>
      </c>
      <c r="C540" s="278" t="s">
        <v>1589</v>
      </c>
      <c r="D540" s="278" t="s">
        <v>1482</v>
      </c>
      <c r="E540" s="278" t="s">
        <v>436</v>
      </c>
      <c r="F540" s="218">
        <v>688000</v>
      </c>
      <c r="G540" s="218">
        <v>688000</v>
      </c>
      <c r="H540" s="147" t="str">
        <f t="shared" si="9"/>
        <v>110107100Ч0020611</v>
      </c>
    </row>
    <row r="541" spans="1:8">
      <c r="A541" s="212" t="s">
        <v>254</v>
      </c>
      <c r="B541" s="278" t="s">
        <v>274</v>
      </c>
      <c r="C541" s="201" t="s">
        <v>469</v>
      </c>
      <c r="D541" s="278" t="s">
        <v>1468</v>
      </c>
      <c r="E541" s="278" t="s">
        <v>1468</v>
      </c>
      <c r="F541" s="218">
        <v>1647026</v>
      </c>
      <c r="G541" s="218">
        <v>1647026</v>
      </c>
      <c r="H541" s="147" t="str">
        <f t="shared" si="9"/>
        <v>1102</v>
      </c>
    </row>
    <row r="542" spans="1:8" ht="38.25">
      <c r="A542" s="212" t="s">
        <v>567</v>
      </c>
      <c r="B542" s="278" t="s">
        <v>274</v>
      </c>
      <c r="C542" s="278" t="s">
        <v>469</v>
      </c>
      <c r="D542" s="278" t="s">
        <v>1128</v>
      </c>
      <c r="E542" s="278" t="s">
        <v>1468</v>
      </c>
      <c r="F542" s="218">
        <v>1647026</v>
      </c>
      <c r="G542" s="218">
        <v>1647026</v>
      </c>
      <c r="H542" s="147" t="str">
        <f t="shared" si="9"/>
        <v>11020700000000</v>
      </c>
    </row>
    <row r="543" spans="1:8" ht="25.5">
      <c r="A543" s="212" t="s">
        <v>568</v>
      </c>
      <c r="B543" s="278" t="s">
        <v>274</v>
      </c>
      <c r="C543" s="278" t="s">
        <v>469</v>
      </c>
      <c r="D543" s="278" t="s">
        <v>1129</v>
      </c>
      <c r="E543" s="278" t="s">
        <v>1468</v>
      </c>
      <c r="F543" s="218">
        <v>1447026</v>
      </c>
      <c r="G543" s="218">
        <v>1447026</v>
      </c>
      <c r="H543" s="147" t="str">
        <f t="shared" si="9"/>
        <v>11020710000000</v>
      </c>
    </row>
    <row r="544" spans="1:8" ht="89.25">
      <c r="A544" s="212" t="s">
        <v>470</v>
      </c>
      <c r="B544" s="278" t="s">
        <v>274</v>
      </c>
      <c r="C544" s="278" t="s">
        <v>469</v>
      </c>
      <c r="D544" s="278" t="s">
        <v>816</v>
      </c>
      <c r="E544" s="278" t="s">
        <v>1468</v>
      </c>
      <c r="F544" s="218">
        <v>600000</v>
      </c>
      <c r="G544" s="218">
        <v>600000</v>
      </c>
      <c r="H544" s="147" t="str">
        <f t="shared" si="9"/>
        <v>11020710080010</v>
      </c>
    </row>
    <row r="545" spans="1:8" ht="38.25">
      <c r="A545" s="212" t="s">
        <v>1763</v>
      </c>
      <c r="B545" s="201" t="s">
        <v>274</v>
      </c>
      <c r="C545" s="201" t="s">
        <v>469</v>
      </c>
      <c r="D545" s="278" t="s">
        <v>816</v>
      </c>
      <c r="E545" s="278" t="s">
        <v>1764</v>
      </c>
      <c r="F545" s="218">
        <v>600000</v>
      </c>
      <c r="G545" s="218">
        <v>600000</v>
      </c>
      <c r="H545" s="147" t="str">
        <f t="shared" si="9"/>
        <v>11020710080010600</v>
      </c>
    </row>
    <row r="546" spans="1:8">
      <c r="A546" s="212" t="s">
        <v>1504</v>
      </c>
      <c r="B546" s="278" t="s">
        <v>274</v>
      </c>
      <c r="C546" s="278" t="s">
        <v>469</v>
      </c>
      <c r="D546" s="278" t="s">
        <v>816</v>
      </c>
      <c r="E546" s="278" t="s">
        <v>1505</v>
      </c>
      <c r="F546" s="218">
        <v>600000</v>
      </c>
      <c r="G546" s="218">
        <v>600000</v>
      </c>
      <c r="H546" s="147" t="str">
        <f t="shared" si="9"/>
        <v>11020710080010610</v>
      </c>
    </row>
    <row r="547" spans="1:8" ht="25.5">
      <c r="A547" s="212" t="s">
        <v>454</v>
      </c>
      <c r="B547" s="278" t="s">
        <v>274</v>
      </c>
      <c r="C547" s="278" t="s">
        <v>469</v>
      </c>
      <c r="D547" s="278" t="s">
        <v>816</v>
      </c>
      <c r="E547" s="278" t="s">
        <v>455</v>
      </c>
      <c r="F547" s="218">
        <v>600000</v>
      </c>
      <c r="G547" s="218">
        <v>600000</v>
      </c>
      <c r="H547" s="147" t="str">
        <f t="shared" si="9"/>
        <v>11020710080010612</v>
      </c>
    </row>
    <row r="548" spans="1:8" ht="102">
      <c r="A548" s="212" t="s">
        <v>471</v>
      </c>
      <c r="B548" s="278" t="s">
        <v>274</v>
      </c>
      <c r="C548" s="278" t="s">
        <v>469</v>
      </c>
      <c r="D548" s="278" t="s">
        <v>817</v>
      </c>
      <c r="E548" s="278" t="s">
        <v>1468</v>
      </c>
      <c r="F548" s="218">
        <v>800000</v>
      </c>
      <c r="G548" s="218">
        <v>800000</v>
      </c>
      <c r="H548" s="147" t="str">
        <f t="shared" si="9"/>
        <v>11020710080020</v>
      </c>
    </row>
    <row r="549" spans="1:8" ht="38.25">
      <c r="A549" s="212" t="s">
        <v>1763</v>
      </c>
      <c r="B549" s="278" t="s">
        <v>274</v>
      </c>
      <c r="C549" s="201" t="s">
        <v>469</v>
      </c>
      <c r="D549" s="278" t="s">
        <v>817</v>
      </c>
      <c r="E549" s="278" t="s">
        <v>1764</v>
      </c>
      <c r="F549" s="218">
        <v>800000</v>
      </c>
      <c r="G549" s="218">
        <v>800000</v>
      </c>
      <c r="H549" s="147" t="str">
        <f t="shared" si="9"/>
        <v>11020710080020600</v>
      </c>
    </row>
    <row r="550" spans="1:8">
      <c r="A550" s="212" t="s">
        <v>1504</v>
      </c>
      <c r="B550" s="278" t="s">
        <v>274</v>
      </c>
      <c r="C550" s="278" t="s">
        <v>469</v>
      </c>
      <c r="D550" s="278" t="s">
        <v>817</v>
      </c>
      <c r="E550" s="278" t="s">
        <v>1505</v>
      </c>
      <c r="F550" s="218">
        <v>800000</v>
      </c>
      <c r="G550" s="218">
        <v>800000</v>
      </c>
      <c r="H550" s="147" t="str">
        <f t="shared" si="9"/>
        <v>11020710080020610</v>
      </c>
    </row>
    <row r="551" spans="1:8" ht="25.5">
      <c r="A551" s="212" t="s">
        <v>454</v>
      </c>
      <c r="B551" s="278" t="s">
        <v>274</v>
      </c>
      <c r="C551" s="278" t="s">
        <v>469</v>
      </c>
      <c r="D551" s="278" t="s">
        <v>817</v>
      </c>
      <c r="E551" s="278" t="s">
        <v>455</v>
      </c>
      <c r="F551" s="218">
        <v>800000</v>
      </c>
      <c r="G551" s="218">
        <v>800000</v>
      </c>
      <c r="H551" s="147" t="str">
        <f t="shared" si="9"/>
        <v>11020710080020612</v>
      </c>
    </row>
    <row r="552" spans="1:8" ht="76.5">
      <c r="A552" s="212" t="s">
        <v>1557</v>
      </c>
      <c r="B552" s="278" t="s">
        <v>274</v>
      </c>
      <c r="C552" s="278" t="s">
        <v>469</v>
      </c>
      <c r="D552" s="278" t="s">
        <v>1558</v>
      </c>
      <c r="E552" s="278" t="s">
        <v>1468</v>
      </c>
      <c r="F552" s="218">
        <v>47026</v>
      </c>
      <c r="G552" s="218">
        <v>47026</v>
      </c>
      <c r="H552" s="147" t="str">
        <f t="shared" si="9"/>
        <v>1102071008Ф020</v>
      </c>
    </row>
    <row r="553" spans="1:8" ht="38.25">
      <c r="A553" s="212" t="s">
        <v>1763</v>
      </c>
      <c r="B553" s="278" t="s">
        <v>274</v>
      </c>
      <c r="C553" s="201" t="s">
        <v>469</v>
      </c>
      <c r="D553" s="278" t="s">
        <v>1558</v>
      </c>
      <c r="E553" s="278" t="s">
        <v>1764</v>
      </c>
      <c r="F553" s="218">
        <v>47026</v>
      </c>
      <c r="G553" s="218">
        <v>47026</v>
      </c>
      <c r="H553" s="147" t="str">
        <f t="shared" si="9"/>
        <v>1102071008Ф020600</v>
      </c>
    </row>
    <row r="554" spans="1:8">
      <c r="A554" s="212" t="s">
        <v>1504</v>
      </c>
      <c r="B554" s="278" t="s">
        <v>274</v>
      </c>
      <c r="C554" s="201" t="s">
        <v>469</v>
      </c>
      <c r="D554" s="278" t="s">
        <v>1558</v>
      </c>
      <c r="E554" s="278" t="s">
        <v>1505</v>
      </c>
      <c r="F554" s="218">
        <v>47026</v>
      </c>
      <c r="G554" s="218">
        <v>47026</v>
      </c>
      <c r="H554" s="147" t="str">
        <f t="shared" si="9"/>
        <v>1102071008Ф020610</v>
      </c>
    </row>
    <row r="555" spans="1:8" ht="25.5">
      <c r="A555" s="212" t="s">
        <v>454</v>
      </c>
      <c r="B555" s="278" t="s">
        <v>274</v>
      </c>
      <c r="C555" s="201" t="s">
        <v>469</v>
      </c>
      <c r="D555" s="278" t="s">
        <v>1558</v>
      </c>
      <c r="E555" s="278" t="s">
        <v>455</v>
      </c>
      <c r="F555" s="218">
        <v>47026</v>
      </c>
      <c r="G555" s="218">
        <v>47026</v>
      </c>
      <c r="H555" s="147" t="str">
        <f t="shared" ref="H555:H615" si="10">CONCATENATE(C555,,D555,E555)</f>
        <v>1102071008Ф020612</v>
      </c>
    </row>
    <row r="556" spans="1:8" ht="25.5">
      <c r="A556" s="212" t="s">
        <v>570</v>
      </c>
      <c r="B556" s="278" t="s">
        <v>274</v>
      </c>
      <c r="C556" s="201" t="s">
        <v>469</v>
      </c>
      <c r="D556" s="278" t="s">
        <v>1130</v>
      </c>
      <c r="E556" s="278" t="s">
        <v>1468</v>
      </c>
      <c r="F556" s="218">
        <v>200000</v>
      </c>
      <c r="G556" s="218">
        <v>200000</v>
      </c>
      <c r="H556" s="147" t="str">
        <f t="shared" si="10"/>
        <v>11020720000000</v>
      </c>
    </row>
    <row r="557" spans="1:8" ht="102">
      <c r="A557" s="212" t="s">
        <v>598</v>
      </c>
      <c r="B557" s="278" t="s">
        <v>274</v>
      </c>
      <c r="C557" s="201" t="s">
        <v>469</v>
      </c>
      <c r="D557" s="278" t="s">
        <v>818</v>
      </c>
      <c r="E557" s="278" t="s">
        <v>1468</v>
      </c>
      <c r="F557" s="218">
        <v>16900</v>
      </c>
      <c r="G557" s="218">
        <v>16900</v>
      </c>
      <c r="H557" s="147" t="str">
        <f t="shared" si="10"/>
        <v>11020720080010</v>
      </c>
    </row>
    <row r="558" spans="1:8" ht="38.25">
      <c r="A558" s="212" t="s">
        <v>1763</v>
      </c>
      <c r="B558" s="278" t="s">
        <v>274</v>
      </c>
      <c r="C558" s="201" t="s">
        <v>469</v>
      </c>
      <c r="D558" s="278" t="s">
        <v>818</v>
      </c>
      <c r="E558" s="278" t="s">
        <v>1764</v>
      </c>
      <c r="F558" s="218">
        <v>16900</v>
      </c>
      <c r="G558" s="218">
        <v>16900</v>
      </c>
      <c r="H558" s="147" t="str">
        <f t="shared" si="10"/>
        <v>11020720080010600</v>
      </c>
    </row>
    <row r="559" spans="1:8">
      <c r="A559" s="212" t="s">
        <v>1504</v>
      </c>
      <c r="B559" s="278" t="s">
        <v>274</v>
      </c>
      <c r="C559" s="201" t="s">
        <v>469</v>
      </c>
      <c r="D559" s="278" t="s">
        <v>818</v>
      </c>
      <c r="E559" s="278" t="s">
        <v>1505</v>
      </c>
      <c r="F559" s="218">
        <v>16900</v>
      </c>
      <c r="G559" s="218">
        <v>16900</v>
      </c>
      <c r="H559" s="147" t="str">
        <f t="shared" si="10"/>
        <v>11020720080010610</v>
      </c>
    </row>
    <row r="560" spans="1:8" ht="25.5">
      <c r="A560" s="212" t="s">
        <v>454</v>
      </c>
      <c r="B560" s="278" t="s">
        <v>274</v>
      </c>
      <c r="C560" s="278" t="s">
        <v>469</v>
      </c>
      <c r="D560" s="278" t="s">
        <v>818</v>
      </c>
      <c r="E560" s="278" t="s">
        <v>455</v>
      </c>
      <c r="F560" s="6">
        <v>16900</v>
      </c>
      <c r="G560" s="6">
        <v>16900</v>
      </c>
      <c r="H560" s="147" t="str">
        <f t="shared" si="10"/>
        <v>11020720080010612</v>
      </c>
    </row>
    <row r="561" spans="1:8" ht="76.5">
      <c r="A561" s="212" t="s">
        <v>472</v>
      </c>
      <c r="B561" s="278" t="s">
        <v>274</v>
      </c>
      <c r="C561" s="278" t="s">
        <v>469</v>
      </c>
      <c r="D561" s="278" t="s">
        <v>819</v>
      </c>
      <c r="E561" s="278" t="s">
        <v>1468</v>
      </c>
      <c r="F561" s="6">
        <v>176400</v>
      </c>
      <c r="G561" s="6">
        <v>176400</v>
      </c>
      <c r="H561" s="147" t="str">
        <f t="shared" si="10"/>
        <v>11020720080020</v>
      </c>
    </row>
    <row r="562" spans="1:8" ht="38.25">
      <c r="A562" s="212" t="s">
        <v>1763</v>
      </c>
      <c r="B562" s="278" t="s">
        <v>274</v>
      </c>
      <c r="C562" s="278" t="s">
        <v>469</v>
      </c>
      <c r="D562" s="278" t="s">
        <v>819</v>
      </c>
      <c r="E562" s="278" t="s">
        <v>1764</v>
      </c>
      <c r="F562" s="6">
        <v>176400</v>
      </c>
      <c r="G562" s="6">
        <v>176400</v>
      </c>
      <c r="H562" s="147" t="str">
        <f t="shared" si="10"/>
        <v>11020720080020600</v>
      </c>
    </row>
    <row r="563" spans="1:8">
      <c r="A563" s="212" t="s">
        <v>1504</v>
      </c>
      <c r="B563" s="278" t="s">
        <v>274</v>
      </c>
      <c r="C563" s="278" t="s">
        <v>469</v>
      </c>
      <c r="D563" s="278" t="s">
        <v>819</v>
      </c>
      <c r="E563" s="278" t="s">
        <v>1505</v>
      </c>
      <c r="F563" s="6">
        <v>176400</v>
      </c>
      <c r="G563" s="6">
        <v>176400</v>
      </c>
      <c r="H563" s="147" t="str">
        <f t="shared" si="10"/>
        <v>11020720080020610</v>
      </c>
    </row>
    <row r="564" spans="1:8" ht="25.5">
      <c r="A564" s="212" t="s">
        <v>454</v>
      </c>
      <c r="B564" s="278" t="s">
        <v>274</v>
      </c>
      <c r="C564" s="278" t="s">
        <v>469</v>
      </c>
      <c r="D564" s="278" t="s">
        <v>819</v>
      </c>
      <c r="E564" s="278" t="s">
        <v>455</v>
      </c>
      <c r="F564" s="6">
        <v>176400</v>
      </c>
      <c r="G564" s="6">
        <v>176400</v>
      </c>
      <c r="H564" s="147" t="str">
        <f t="shared" si="10"/>
        <v>11020720080020612</v>
      </c>
    </row>
    <row r="565" spans="1:8" ht="127.5">
      <c r="A565" s="212" t="s">
        <v>473</v>
      </c>
      <c r="B565" s="278" t="s">
        <v>274</v>
      </c>
      <c r="C565" s="278" t="s">
        <v>469</v>
      </c>
      <c r="D565" s="278" t="s">
        <v>820</v>
      </c>
      <c r="E565" s="278" t="s">
        <v>1468</v>
      </c>
      <c r="F565" s="6">
        <v>6700</v>
      </c>
      <c r="G565" s="6">
        <v>6700</v>
      </c>
      <c r="H565" s="147" t="str">
        <f t="shared" si="10"/>
        <v>11020720080030</v>
      </c>
    </row>
    <row r="566" spans="1:8" ht="38.25">
      <c r="A566" s="212" t="s">
        <v>1763</v>
      </c>
      <c r="B566" s="278" t="s">
        <v>274</v>
      </c>
      <c r="C566" s="278" t="s">
        <v>469</v>
      </c>
      <c r="D566" s="278" t="s">
        <v>820</v>
      </c>
      <c r="E566" s="278" t="s">
        <v>1764</v>
      </c>
      <c r="F566" s="6">
        <v>6700</v>
      </c>
      <c r="G566" s="6">
        <v>6700</v>
      </c>
      <c r="H566" s="147" t="str">
        <f t="shared" si="10"/>
        <v>11020720080030600</v>
      </c>
    </row>
    <row r="567" spans="1:8">
      <c r="A567" s="212" t="s">
        <v>1504</v>
      </c>
      <c r="B567" s="278" t="s">
        <v>274</v>
      </c>
      <c r="C567" s="278" t="s">
        <v>469</v>
      </c>
      <c r="D567" s="278" t="s">
        <v>820</v>
      </c>
      <c r="E567" s="278" t="s">
        <v>1505</v>
      </c>
      <c r="F567" s="6">
        <v>6700</v>
      </c>
      <c r="G567" s="6">
        <v>6700</v>
      </c>
      <c r="H567" s="147" t="str">
        <f t="shared" si="10"/>
        <v>11020720080030610</v>
      </c>
    </row>
    <row r="568" spans="1:8" ht="25.5">
      <c r="A568" s="212" t="s">
        <v>454</v>
      </c>
      <c r="B568" s="278" t="s">
        <v>274</v>
      </c>
      <c r="C568" s="278" t="s">
        <v>469</v>
      </c>
      <c r="D568" s="278" t="s">
        <v>820</v>
      </c>
      <c r="E568" s="278" t="s">
        <v>455</v>
      </c>
      <c r="F568" s="6">
        <v>6700</v>
      </c>
      <c r="G568" s="6">
        <v>6700</v>
      </c>
      <c r="H568" s="147" t="str">
        <f t="shared" si="10"/>
        <v>11020720080030612</v>
      </c>
    </row>
    <row r="569" spans="1:8" ht="25.5">
      <c r="A569" s="212" t="s">
        <v>227</v>
      </c>
      <c r="B569" s="278" t="s">
        <v>89</v>
      </c>
      <c r="C569" s="278" t="s">
        <v>1468</v>
      </c>
      <c r="D569" s="278" t="s">
        <v>1468</v>
      </c>
      <c r="E569" s="278" t="s">
        <v>1468</v>
      </c>
      <c r="F569" s="6">
        <v>6994500</v>
      </c>
      <c r="G569" s="6">
        <v>5577100</v>
      </c>
      <c r="H569" s="147" t="str">
        <f t="shared" si="10"/>
        <v/>
      </c>
    </row>
    <row r="570" spans="1:8" ht="25.5">
      <c r="A570" s="212" t="s">
        <v>283</v>
      </c>
      <c r="B570" s="278" t="s">
        <v>89</v>
      </c>
      <c r="C570" s="278" t="s">
        <v>1363</v>
      </c>
      <c r="D570" s="278" t="s">
        <v>1468</v>
      </c>
      <c r="E570" s="278" t="s">
        <v>1468</v>
      </c>
      <c r="F570" s="6">
        <v>325000</v>
      </c>
      <c r="G570" s="6">
        <v>325000</v>
      </c>
      <c r="H570" s="147" t="str">
        <f t="shared" si="10"/>
        <v>0500</v>
      </c>
    </row>
    <row r="571" spans="1:8">
      <c r="A571" s="212" t="s">
        <v>3</v>
      </c>
      <c r="B571" s="278" t="s">
        <v>89</v>
      </c>
      <c r="C571" s="278" t="s">
        <v>474</v>
      </c>
      <c r="D571" s="278" t="s">
        <v>1468</v>
      </c>
      <c r="E571" s="278" t="s">
        <v>1468</v>
      </c>
      <c r="F571" s="6">
        <v>325000</v>
      </c>
      <c r="G571" s="6">
        <v>325000</v>
      </c>
      <c r="H571" s="147" t="str">
        <f t="shared" si="10"/>
        <v>0501</v>
      </c>
    </row>
    <row r="572" spans="1:8" ht="63.75">
      <c r="A572" s="212" t="s">
        <v>545</v>
      </c>
      <c r="B572" s="278" t="s">
        <v>89</v>
      </c>
      <c r="C572" s="278" t="s">
        <v>474</v>
      </c>
      <c r="D572" s="278" t="s">
        <v>1113</v>
      </c>
      <c r="E572" s="278" t="s">
        <v>1468</v>
      </c>
      <c r="F572" s="6">
        <v>185000</v>
      </c>
      <c r="G572" s="6">
        <v>185000</v>
      </c>
      <c r="H572" s="147" t="str">
        <f t="shared" si="10"/>
        <v>05010300000000</v>
      </c>
    </row>
    <row r="573" spans="1:8" ht="63.75">
      <c r="A573" s="212" t="s">
        <v>701</v>
      </c>
      <c r="B573" s="278" t="s">
        <v>89</v>
      </c>
      <c r="C573" s="278" t="s">
        <v>474</v>
      </c>
      <c r="D573" s="278" t="s">
        <v>1115</v>
      </c>
      <c r="E573" s="278" t="s">
        <v>1468</v>
      </c>
      <c r="F573" s="6">
        <v>185000</v>
      </c>
      <c r="G573" s="6">
        <v>185000</v>
      </c>
      <c r="H573" s="147" t="str">
        <f t="shared" si="10"/>
        <v>05010330000000</v>
      </c>
    </row>
    <row r="574" spans="1:8" ht="127.5">
      <c r="A574" s="212" t="s">
        <v>623</v>
      </c>
      <c r="B574" s="278" t="s">
        <v>89</v>
      </c>
      <c r="C574" s="278" t="s">
        <v>474</v>
      </c>
      <c r="D574" s="278" t="s">
        <v>865</v>
      </c>
      <c r="E574" s="278" t="s">
        <v>1468</v>
      </c>
      <c r="F574" s="6">
        <v>185000</v>
      </c>
      <c r="G574" s="6">
        <v>185000</v>
      </c>
      <c r="H574" s="147" t="str">
        <f t="shared" si="10"/>
        <v>05010330080000</v>
      </c>
    </row>
    <row r="575" spans="1:8" ht="38.25">
      <c r="A575" s="212" t="s">
        <v>1755</v>
      </c>
      <c r="B575" s="278" t="s">
        <v>89</v>
      </c>
      <c r="C575" s="201" t="s">
        <v>474</v>
      </c>
      <c r="D575" s="278" t="s">
        <v>865</v>
      </c>
      <c r="E575" s="278" t="s">
        <v>1756</v>
      </c>
      <c r="F575" s="218">
        <v>185000</v>
      </c>
      <c r="G575" s="218">
        <v>185000</v>
      </c>
      <c r="H575" s="147" t="str">
        <f t="shared" si="10"/>
        <v>05010330080000200</v>
      </c>
    </row>
    <row r="576" spans="1:8" ht="38.25">
      <c r="A576" s="212" t="s">
        <v>1502</v>
      </c>
      <c r="B576" s="278" t="s">
        <v>89</v>
      </c>
      <c r="C576" s="278" t="s">
        <v>474</v>
      </c>
      <c r="D576" s="278" t="s">
        <v>865</v>
      </c>
      <c r="E576" s="278" t="s">
        <v>1503</v>
      </c>
      <c r="F576" s="218">
        <v>185000</v>
      </c>
      <c r="G576" s="218">
        <v>185000</v>
      </c>
      <c r="H576" s="147" t="str">
        <f t="shared" si="10"/>
        <v>05010330080000240</v>
      </c>
    </row>
    <row r="577" spans="1:8">
      <c r="A577" s="212" t="s">
        <v>1577</v>
      </c>
      <c r="B577" s="278" t="s">
        <v>89</v>
      </c>
      <c r="C577" s="278" t="s">
        <v>474</v>
      </c>
      <c r="D577" s="278" t="s">
        <v>865</v>
      </c>
      <c r="E577" s="278" t="s">
        <v>416</v>
      </c>
      <c r="F577" s="218">
        <v>185000</v>
      </c>
      <c r="G577" s="218">
        <v>185000</v>
      </c>
      <c r="H577" s="147" t="str">
        <f t="shared" si="10"/>
        <v>05010330080000244</v>
      </c>
    </row>
    <row r="578" spans="1:8" ht="38.25">
      <c r="A578" s="212" t="s">
        <v>705</v>
      </c>
      <c r="B578" s="278" t="s">
        <v>89</v>
      </c>
      <c r="C578" s="278" t="s">
        <v>474</v>
      </c>
      <c r="D578" s="278" t="s">
        <v>1137</v>
      </c>
      <c r="E578" s="278" t="s">
        <v>1468</v>
      </c>
      <c r="F578" s="218">
        <v>140000</v>
      </c>
      <c r="G578" s="218">
        <v>140000</v>
      </c>
      <c r="H578" s="147" t="str">
        <f t="shared" si="10"/>
        <v>05011000000000</v>
      </c>
    </row>
    <row r="579" spans="1:8" ht="38.25">
      <c r="A579" s="212" t="s">
        <v>706</v>
      </c>
      <c r="B579" s="278" t="s">
        <v>89</v>
      </c>
      <c r="C579" s="278" t="s">
        <v>474</v>
      </c>
      <c r="D579" s="278" t="s">
        <v>1138</v>
      </c>
      <c r="E579" s="278" t="s">
        <v>1468</v>
      </c>
      <c r="F579" s="218">
        <v>140000</v>
      </c>
      <c r="G579" s="218">
        <v>140000</v>
      </c>
      <c r="H579" s="147" t="str">
        <f t="shared" si="10"/>
        <v>05011050000000</v>
      </c>
    </row>
    <row r="580" spans="1:8" ht="89.25">
      <c r="A580" s="212" t="s">
        <v>622</v>
      </c>
      <c r="B580" s="278" t="s">
        <v>89</v>
      </c>
      <c r="C580" s="278" t="s">
        <v>474</v>
      </c>
      <c r="D580" s="278" t="s">
        <v>864</v>
      </c>
      <c r="E580" s="278" t="s">
        <v>1468</v>
      </c>
      <c r="F580" s="218">
        <v>140000</v>
      </c>
      <c r="G580" s="218">
        <v>140000</v>
      </c>
      <c r="H580" s="147" t="str">
        <f t="shared" si="10"/>
        <v>05011050080000</v>
      </c>
    </row>
    <row r="581" spans="1:8" ht="25.5">
      <c r="A581" s="212" t="s">
        <v>1759</v>
      </c>
      <c r="B581" s="278" t="s">
        <v>89</v>
      </c>
      <c r="C581" s="278" t="s">
        <v>474</v>
      </c>
      <c r="D581" s="278" t="s">
        <v>864</v>
      </c>
      <c r="E581" s="278" t="s">
        <v>1760</v>
      </c>
      <c r="F581" s="218">
        <v>140000</v>
      </c>
      <c r="G581" s="218">
        <v>140000</v>
      </c>
      <c r="H581" s="147" t="str">
        <f t="shared" si="10"/>
        <v>05011050080000300</v>
      </c>
    </row>
    <row r="582" spans="1:8">
      <c r="A582" s="212" t="s">
        <v>625</v>
      </c>
      <c r="B582" s="278" t="s">
        <v>89</v>
      </c>
      <c r="C582" s="278" t="s">
        <v>474</v>
      </c>
      <c r="D582" s="278" t="s">
        <v>864</v>
      </c>
      <c r="E582" s="278" t="s">
        <v>626</v>
      </c>
      <c r="F582" s="218">
        <v>140000</v>
      </c>
      <c r="G582" s="218">
        <v>140000</v>
      </c>
      <c r="H582" s="147" t="str">
        <f t="shared" si="10"/>
        <v>05011050080000360</v>
      </c>
    </row>
    <row r="583" spans="1:8">
      <c r="A583" s="212" t="s">
        <v>174</v>
      </c>
      <c r="B583" s="278" t="s">
        <v>89</v>
      </c>
      <c r="C583" s="278" t="s">
        <v>1365</v>
      </c>
      <c r="D583" s="278" t="s">
        <v>1468</v>
      </c>
      <c r="E583" s="278" t="s">
        <v>1468</v>
      </c>
      <c r="F583" s="218">
        <v>6669500</v>
      </c>
      <c r="G583" s="218">
        <v>5252100</v>
      </c>
      <c r="H583" s="147" t="str">
        <f t="shared" si="10"/>
        <v>1000</v>
      </c>
    </row>
    <row r="584" spans="1:8">
      <c r="A584" s="212" t="s">
        <v>127</v>
      </c>
      <c r="B584" s="278" t="s">
        <v>89</v>
      </c>
      <c r="C584" s="278" t="s">
        <v>466</v>
      </c>
      <c r="D584" s="278" t="s">
        <v>1468</v>
      </c>
      <c r="E584" s="278" t="s">
        <v>1468</v>
      </c>
      <c r="F584" s="218">
        <v>1000000</v>
      </c>
      <c r="G584" s="218">
        <v>1000000</v>
      </c>
      <c r="H584" s="147" t="str">
        <f t="shared" si="10"/>
        <v>1003</v>
      </c>
    </row>
    <row r="585" spans="1:8" ht="25.5">
      <c r="A585" s="212" t="s">
        <v>559</v>
      </c>
      <c r="B585" s="278" t="s">
        <v>89</v>
      </c>
      <c r="C585" s="278" t="s">
        <v>466</v>
      </c>
      <c r="D585" s="278" t="s">
        <v>1124</v>
      </c>
      <c r="E585" s="278" t="s">
        <v>1468</v>
      </c>
      <c r="F585" s="218">
        <v>1000000</v>
      </c>
      <c r="G585" s="218">
        <v>1000000</v>
      </c>
      <c r="H585" s="147" t="str">
        <f t="shared" si="10"/>
        <v>10030600000000</v>
      </c>
    </row>
    <row r="586" spans="1:8" ht="25.5">
      <c r="A586" s="212" t="s">
        <v>564</v>
      </c>
      <c r="B586" s="278" t="s">
        <v>89</v>
      </c>
      <c r="C586" s="278" t="s">
        <v>466</v>
      </c>
      <c r="D586" s="278" t="s">
        <v>1126</v>
      </c>
      <c r="E586" s="278" t="s">
        <v>1468</v>
      </c>
      <c r="F586" s="218">
        <v>1000000</v>
      </c>
      <c r="G586" s="218">
        <v>1000000</v>
      </c>
      <c r="H586" s="147" t="str">
        <f t="shared" si="10"/>
        <v>10030630000000</v>
      </c>
    </row>
    <row r="587" spans="1:8" ht="114.75">
      <c r="A587" s="212" t="s">
        <v>495</v>
      </c>
      <c r="B587" s="278" t="s">
        <v>89</v>
      </c>
      <c r="C587" s="278" t="s">
        <v>466</v>
      </c>
      <c r="D587" s="278" t="s">
        <v>1607</v>
      </c>
      <c r="E587" s="278" t="s">
        <v>1468</v>
      </c>
      <c r="F587" s="218">
        <v>1000000</v>
      </c>
      <c r="G587" s="218">
        <v>1000000</v>
      </c>
      <c r="H587" s="147" t="str">
        <f t="shared" si="10"/>
        <v>100306300L4970</v>
      </c>
    </row>
    <row r="588" spans="1:8" ht="25.5">
      <c r="A588" s="212" t="s">
        <v>1759</v>
      </c>
      <c r="B588" s="278" t="s">
        <v>89</v>
      </c>
      <c r="C588" s="278" t="s">
        <v>466</v>
      </c>
      <c r="D588" s="278" t="s">
        <v>1607</v>
      </c>
      <c r="E588" s="278" t="s">
        <v>1760</v>
      </c>
      <c r="F588" s="218">
        <v>1000000</v>
      </c>
      <c r="G588" s="218">
        <v>1000000</v>
      </c>
      <c r="H588" s="147" t="str">
        <f t="shared" si="10"/>
        <v>100306300L4970300</v>
      </c>
    </row>
    <row r="589" spans="1:8" ht="38.25">
      <c r="A589" s="212" t="s">
        <v>1506</v>
      </c>
      <c r="B589" s="278" t="s">
        <v>89</v>
      </c>
      <c r="C589" s="201" t="s">
        <v>466</v>
      </c>
      <c r="D589" s="278" t="s">
        <v>1607</v>
      </c>
      <c r="E589" s="278" t="s">
        <v>666</v>
      </c>
      <c r="F589" s="218">
        <v>1000000</v>
      </c>
      <c r="G589" s="218">
        <v>1000000</v>
      </c>
      <c r="H589" s="147" t="str">
        <f t="shared" si="10"/>
        <v>100306300L4970320</v>
      </c>
    </row>
    <row r="590" spans="1:8" ht="25.5">
      <c r="A590" s="212" t="s">
        <v>712</v>
      </c>
      <c r="B590" s="278" t="s">
        <v>89</v>
      </c>
      <c r="C590" s="278" t="s">
        <v>466</v>
      </c>
      <c r="D590" s="278" t="s">
        <v>1607</v>
      </c>
      <c r="E590" s="278" t="s">
        <v>711</v>
      </c>
      <c r="F590" s="218">
        <v>1000000</v>
      </c>
      <c r="G590" s="218">
        <v>1000000</v>
      </c>
      <c r="H590" s="147" t="str">
        <f t="shared" si="10"/>
        <v>100306300L4970322</v>
      </c>
    </row>
    <row r="591" spans="1:8">
      <c r="A591" s="212" t="s">
        <v>26</v>
      </c>
      <c r="B591" s="278" t="s">
        <v>89</v>
      </c>
      <c r="C591" s="278" t="s">
        <v>512</v>
      </c>
      <c r="D591" s="278" t="s">
        <v>1468</v>
      </c>
      <c r="E591" s="278" t="s">
        <v>1468</v>
      </c>
      <c r="F591" s="218">
        <v>5669500</v>
      </c>
      <c r="G591" s="218">
        <v>4252100</v>
      </c>
      <c r="H591" s="147" t="str">
        <f t="shared" si="10"/>
        <v>1004</v>
      </c>
    </row>
    <row r="592" spans="1:8" ht="25.5">
      <c r="A592" s="212" t="s">
        <v>535</v>
      </c>
      <c r="B592" s="278" t="s">
        <v>89</v>
      </c>
      <c r="C592" s="278" t="s">
        <v>512</v>
      </c>
      <c r="D592" s="278" t="s">
        <v>1105</v>
      </c>
      <c r="E592" s="278" t="s">
        <v>1468</v>
      </c>
      <c r="F592" s="218">
        <v>5669500</v>
      </c>
      <c r="G592" s="218">
        <v>4252100</v>
      </c>
      <c r="H592" s="147" t="str">
        <f t="shared" si="10"/>
        <v>10040100000000</v>
      </c>
    </row>
    <row r="593" spans="1:8" ht="51">
      <c r="A593" s="212" t="s">
        <v>538</v>
      </c>
      <c r="B593" s="278" t="s">
        <v>89</v>
      </c>
      <c r="C593" s="278" t="s">
        <v>512</v>
      </c>
      <c r="D593" s="278" t="s">
        <v>1356</v>
      </c>
      <c r="E593" s="278" t="s">
        <v>1468</v>
      </c>
      <c r="F593" s="218">
        <v>5669500</v>
      </c>
      <c r="G593" s="218">
        <v>4252100</v>
      </c>
      <c r="H593" s="147" t="str">
        <f t="shared" si="10"/>
        <v>10040120000000</v>
      </c>
    </row>
    <row r="594" spans="1:8" ht="127.5">
      <c r="A594" s="212" t="s">
        <v>1483</v>
      </c>
      <c r="B594" s="278" t="s">
        <v>89</v>
      </c>
      <c r="C594" s="278" t="s">
        <v>512</v>
      </c>
      <c r="D594" s="278" t="s">
        <v>1484</v>
      </c>
      <c r="E594" s="278" t="s">
        <v>1468</v>
      </c>
      <c r="F594" s="218">
        <v>5669500</v>
      </c>
      <c r="G594" s="218">
        <v>4252100</v>
      </c>
      <c r="H594" s="147" t="str">
        <f t="shared" si="10"/>
        <v>100401200R0820</v>
      </c>
    </row>
    <row r="595" spans="1:8" ht="38.25">
      <c r="A595" s="212" t="s">
        <v>1761</v>
      </c>
      <c r="B595" s="278" t="s">
        <v>89</v>
      </c>
      <c r="C595" s="278" t="s">
        <v>512</v>
      </c>
      <c r="D595" s="278" t="s">
        <v>1484</v>
      </c>
      <c r="E595" s="278" t="s">
        <v>1762</v>
      </c>
      <c r="F595" s="218">
        <v>5669500</v>
      </c>
      <c r="G595" s="218">
        <v>4252100</v>
      </c>
      <c r="H595" s="147" t="str">
        <f t="shared" si="10"/>
        <v>100401200R0820400</v>
      </c>
    </row>
    <row r="596" spans="1:8">
      <c r="A596" s="212" t="s">
        <v>1513</v>
      </c>
      <c r="B596" s="278" t="s">
        <v>89</v>
      </c>
      <c r="C596" s="278" t="s">
        <v>512</v>
      </c>
      <c r="D596" s="278" t="s">
        <v>1484</v>
      </c>
      <c r="E596" s="278" t="s">
        <v>101</v>
      </c>
      <c r="F596" s="218">
        <v>5669500</v>
      </c>
      <c r="G596" s="218">
        <v>4252100</v>
      </c>
      <c r="H596" s="147" t="str">
        <f t="shared" si="10"/>
        <v>100401200R0820410</v>
      </c>
    </row>
    <row r="597" spans="1:8" ht="51">
      <c r="A597" s="212" t="s">
        <v>493</v>
      </c>
      <c r="B597" s="278" t="s">
        <v>89</v>
      </c>
      <c r="C597" s="278" t="s">
        <v>512</v>
      </c>
      <c r="D597" s="278" t="s">
        <v>1484</v>
      </c>
      <c r="E597" s="278" t="s">
        <v>494</v>
      </c>
      <c r="F597" s="218">
        <v>5669500</v>
      </c>
      <c r="G597" s="218">
        <v>4252100</v>
      </c>
      <c r="H597" s="147" t="str">
        <f t="shared" si="10"/>
        <v>100401200R0820412</v>
      </c>
    </row>
    <row r="598" spans="1:8" ht="25.5">
      <c r="A598" s="212" t="s">
        <v>301</v>
      </c>
      <c r="B598" s="278" t="s">
        <v>248</v>
      </c>
      <c r="C598" s="278" t="s">
        <v>1468</v>
      </c>
      <c r="D598" s="278" t="s">
        <v>1468</v>
      </c>
      <c r="E598" s="278" t="s">
        <v>1468</v>
      </c>
      <c r="F598" s="218">
        <v>1193709488</v>
      </c>
      <c r="G598" s="218">
        <v>1193709488</v>
      </c>
      <c r="H598" s="147" t="str">
        <f t="shared" si="10"/>
        <v/>
      </c>
    </row>
    <row r="599" spans="1:8">
      <c r="A599" s="212" t="s">
        <v>173</v>
      </c>
      <c r="B599" s="278" t="s">
        <v>248</v>
      </c>
      <c r="C599" s="278" t="s">
        <v>1364</v>
      </c>
      <c r="D599" s="278" t="s">
        <v>1468</v>
      </c>
      <c r="E599" s="278" t="s">
        <v>1468</v>
      </c>
      <c r="F599" s="218">
        <v>1153434488</v>
      </c>
      <c r="G599" s="218">
        <v>1153434488</v>
      </c>
      <c r="H599" s="147" t="str">
        <f t="shared" si="10"/>
        <v>0700</v>
      </c>
    </row>
    <row r="600" spans="1:8">
      <c r="A600" s="212" t="s">
        <v>186</v>
      </c>
      <c r="B600" s="278" t="s">
        <v>248</v>
      </c>
      <c r="C600" s="278" t="s">
        <v>497</v>
      </c>
      <c r="D600" s="278" t="s">
        <v>1468</v>
      </c>
      <c r="E600" s="278" t="s">
        <v>1468</v>
      </c>
      <c r="F600" s="218">
        <v>385161126</v>
      </c>
      <c r="G600" s="218">
        <v>385161126</v>
      </c>
      <c r="H600" s="147" t="str">
        <f t="shared" si="10"/>
        <v>0701</v>
      </c>
    </row>
    <row r="601" spans="1:8" ht="25.5">
      <c r="A601" s="212" t="s">
        <v>535</v>
      </c>
      <c r="B601" s="278" t="s">
        <v>248</v>
      </c>
      <c r="C601" s="278" t="s">
        <v>497</v>
      </c>
      <c r="D601" s="278" t="s">
        <v>1105</v>
      </c>
      <c r="E601" s="278" t="s">
        <v>1468</v>
      </c>
      <c r="F601" s="218">
        <v>385161126</v>
      </c>
      <c r="G601" s="218">
        <v>385161126</v>
      </c>
      <c r="H601" s="147" t="str">
        <f t="shared" si="10"/>
        <v>07010100000000</v>
      </c>
    </row>
    <row r="602" spans="1:8" ht="38.25">
      <c r="A602" s="212" t="s">
        <v>536</v>
      </c>
      <c r="B602" s="278" t="s">
        <v>248</v>
      </c>
      <c r="C602" s="278" t="s">
        <v>497</v>
      </c>
      <c r="D602" s="278" t="s">
        <v>1106</v>
      </c>
      <c r="E602" s="278" t="s">
        <v>1468</v>
      </c>
      <c r="F602" s="218">
        <v>385161126</v>
      </c>
      <c r="G602" s="218">
        <v>385161126</v>
      </c>
      <c r="H602" s="147" t="str">
        <f t="shared" si="10"/>
        <v>07010110000000</v>
      </c>
    </row>
    <row r="603" spans="1:8" ht="140.25">
      <c r="A603" s="212" t="s">
        <v>499</v>
      </c>
      <c r="B603" s="278" t="s">
        <v>248</v>
      </c>
      <c r="C603" s="278" t="s">
        <v>497</v>
      </c>
      <c r="D603" s="278" t="s">
        <v>870</v>
      </c>
      <c r="E603" s="278" t="s">
        <v>1468</v>
      </c>
      <c r="F603" s="218">
        <v>69833121</v>
      </c>
      <c r="G603" s="218">
        <v>69833121</v>
      </c>
      <c r="H603" s="147" t="str">
        <f t="shared" si="10"/>
        <v>07010110040010</v>
      </c>
    </row>
    <row r="604" spans="1:8" ht="76.5">
      <c r="A604" s="212" t="s">
        <v>1754</v>
      </c>
      <c r="B604" s="278" t="s">
        <v>248</v>
      </c>
      <c r="C604" s="278" t="s">
        <v>497</v>
      </c>
      <c r="D604" s="278" t="s">
        <v>870</v>
      </c>
      <c r="E604" s="278" t="s">
        <v>322</v>
      </c>
      <c r="F604" s="218">
        <v>25231916</v>
      </c>
      <c r="G604" s="218">
        <v>25231916</v>
      </c>
      <c r="H604" s="147" t="str">
        <f t="shared" si="10"/>
        <v>07010110040010100</v>
      </c>
    </row>
    <row r="605" spans="1:8" ht="25.5">
      <c r="A605" s="212" t="s">
        <v>1487</v>
      </c>
      <c r="B605" s="278" t="s">
        <v>248</v>
      </c>
      <c r="C605" s="278" t="s">
        <v>497</v>
      </c>
      <c r="D605" s="278" t="s">
        <v>870</v>
      </c>
      <c r="E605" s="278" t="s">
        <v>165</v>
      </c>
      <c r="F605" s="218">
        <v>25231916</v>
      </c>
      <c r="G605" s="218">
        <v>25231916</v>
      </c>
      <c r="H605" s="147" t="str">
        <f t="shared" si="10"/>
        <v>07010110040010110</v>
      </c>
    </row>
    <row r="606" spans="1:8">
      <c r="A606" s="212" t="s">
        <v>1360</v>
      </c>
      <c r="B606" s="278" t="s">
        <v>248</v>
      </c>
      <c r="C606" s="278" t="s">
        <v>497</v>
      </c>
      <c r="D606" s="278" t="s">
        <v>870</v>
      </c>
      <c r="E606" s="278" t="s">
        <v>430</v>
      </c>
      <c r="F606" s="218">
        <v>19379352</v>
      </c>
      <c r="G606" s="218">
        <v>19379352</v>
      </c>
      <c r="H606" s="147" t="str">
        <f t="shared" si="10"/>
        <v>07010110040010111</v>
      </c>
    </row>
    <row r="607" spans="1:8" ht="51">
      <c r="A607" s="212" t="s">
        <v>1361</v>
      </c>
      <c r="B607" s="278" t="s">
        <v>248</v>
      </c>
      <c r="C607" s="278" t="s">
        <v>497</v>
      </c>
      <c r="D607" s="278" t="s">
        <v>870</v>
      </c>
      <c r="E607" s="278" t="s">
        <v>1197</v>
      </c>
      <c r="F607" s="218">
        <v>5852564</v>
      </c>
      <c r="G607" s="218">
        <v>5852564</v>
      </c>
      <c r="H607" s="147" t="str">
        <f t="shared" si="10"/>
        <v>07010110040010119</v>
      </c>
    </row>
    <row r="608" spans="1:8" ht="38.25">
      <c r="A608" s="212" t="s">
        <v>1755</v>
      </c>
      <c r="B608" s="278" t="s">
        <v>248</v>
      </c>
      <c r="C608" s="278" t="s">
        <v>497</v>
      </c>
      <c r="D608" s="278" t="s">
        <v>870</v>
      </c>
      <c r="E608" s="278" t="s">
        <v>1756</v>
      </c>
      <c r="F608" s="218">
        <v>44508205</v>
      </c>
      <c r="G608" s="218">
        <v>44508205</v>
      </c>
      <c r="H608" s="147" t="str">
        <f t="shared" si="10"/>
        <v>07010110040010200</v>
      </c>
    </row>
    <row r="609" spans="1:8" ht="38.25">
      <c r="A609" s="212" t="s">
        <v>1502</v>
      </c>
      <c r="B609" s="278" t="s">
        <v>248</v>
      </c>
      <c r="C609" s="278" t="s">
        <v>497</v>
      </c>
      <c r="D609" s="278" t="s">
        <v>870</v>
      </c>
      <c r="E609" s="278" t="s">
        <v>1503</v>
      </c>
      <c r="F609" s="218">
        <v>44508205</v>
      </c>
      <c r="G609" s="218">
        <v>44508205</v>
      </c>
      <c r="H609" s="147" t="str">
        <f t="shared" si="10"/>
        <v>07010110040010240</v>
      </c>
    </row>
    <row r="610" spans="1:8">
      <c r="A610" s="212" t="s">
        <v>1577</v>
      </c>
      <c r="B610" s="278" t="s">
        <v>248</v>
      </c>
      <c r="C610" s="278" t="s">
        <v>497</v>
      </c>
      <c r="D610" s="278" t="s">
        <v>870</v>
      </c>
      <c r="E610" s="278" t="s">
        <v>416</v>
      </c>
      <c r="F610" s="218">
        <v>44508205</v>
      </c>
      <c r="G610" s="218">
        <v>44508205</v>
      </c>
      <c r="H610" s="147" t="str">
        <f t="shared" si="10"/>
        <v>07010110040010244</v>
      </c>
    </row>
    <row r="611" spans="1:8">
      <c r="A611" s="212" t="s">
        <v>1757</v>
      </c>
      <c r="B611" s="278" t="s">
        <v>248</v>
      </c>
      <c r="C611" s="278" t="s">
        <v>497</v>
      </c>
      <c r="D611" s="278" t="s">
        <v>870</v>
      </c>
      <c r="E611" s="278" t="s">
        <v>1758</v>
      </c>
      <c r="F611" s="218">
        <v>93000</v>
      </c>
      <c r="G611" s="218">
        <v>93000</v>
      </c>
      <c r="H611" s="147" t="str">
        <f t="shared" si="10"/>
        <v>07010110040010800</v>
      </c>
    </row>
    <row r="612" spans="1:8">
      <c r="A612" s="212" t="s">
        <v>1507</v>
      </c>
      <c r="B612" s="278" t="s">
        <v>248</v>
      </c>
      <c r="C612" s="278" t="s">
        <v>497</v>
      </c>
      <c r="D612" s="278" t="s">
        <v>870</v>
      </c>
      <c r="E612" s="278" t="s">
        <v>1508</v>
      </c>
      <c r="F612" s="218">
        <v>93000</v>
      </c>
      <c r="G612" s="218">
        <v>93000</v>
      </c>
      <c r="H612" s="147" t="str">
        <f t="shared" si="10"/>
        <v>07010110040010850</v>
      </c>
    </row>
    <row r="613" spans="1:8">
      <c r="A613" s="212" t="s">
        <v>1198</v>
      </c>
      <c r="B613" s="278" t="s">
        <v>248</v>
      </c>
      <c r="C613" s="278" t="s">
        <v>497</v>
      </c>
      <c r="D613" s="278" t="s">
        <v>870</v>
      </c>
      <c r="E613" s="278" t="s">
        <v>1199</v>
      </c>
      <c r="F613" s="218">
        <v>93000</v>
      </c>
      <c r="G613" s="218">
        <v>93000</v>
      </c>
      <c r="H613" s="147" t="str">
        <f t="shared" si="10"/>
        <v>07010110040010853</v>
      </c>
    </row>
    <row r="614" spans="1:8" ht="191.25">
      <c r="A614" s="212" t="s">
        <v>681</v>
      </c>
      <c r="B614" s="278" t="s">
        <v>248</v>
      </c>
      <c r="C614" s="278" t="s">
        <v>497</v>
      </c>
      <c r="D614" s="278" t="s">
        <v>871</v>
      </c>
      <c r="E614" s="278" t="s">
        <v>1468</v>
      </c>
      <c r="F614" s="218">
        <v>34384501</v>
      </c>
      <c r="G614" s="218">
        <v>34384501</v>
      </c>
      <c r="H614" s="147" t="str">
        <f t="shared" si="10"/>
        <v>07010110041010</v>
      </c>
    </row>
    <row r="615" spans="1:8" ht="76.5">
      <c r="A615" s="212" t="s">
        <v>1754</v>
      </c>
      <c r="B615" s="278" t="s">
        <v>248</v>
      </c>
      <c r="C615" s="278" t="s">
        <v>497</v>
      </c>
      <c r="D615" s="278" t="s">
        <v>871</v>
      </c>
      <c r="E615" s="278" t="s">
        <v>322</v>
      </c>
      <c r="F615" s="218">
        <v>34384501</v>
      </c>
      <c r="G615" s="218">
        <v>34384501</v>
      </c>
      <c r="H615" s="147" t="str">
        <f t="shared" si="10"/>
        <v>07010110041010100</v>
      </c>
    </row>
    <row r="616" spans="1:8" ht="25.5">
      <c r="A616" s="212" t="s">
        <v>1487</v>
      </c>
      <c r="B616" s="278" t="s">
        <v>248</v>
      </c>
      <c r="C616" s="278" t="s">
        <v>497</v>
      </c>
      <c r="D616" s="278" t="s">
        <v>871</v>
      </c>
      <c r="E616" s="278" t="s">
        <v>165</v>
      </c>
      <c r="F616" s="218">
        <v>34384501</v>
      </c>
      <c r="G616" s="218">
        <v>34384501</v>
      </c>
      <c r="H616" s="147" t="str">
        <f t="shared" ref="H616:H677" si="11">CONCATENATE(C616,,D616,E616)</f>
        <v>07010110041010110</v>
      </c>
    </row>
    <row r="617" spans="1:8">
      <c r="A617" s="212" t="s">
        <v>1360</v>
      </c>
      <c r="B617" s="278" t="s">
        <v>248</v>
      </c>
      <c r="C617" s="278" t="s">
        <v>497</v>
      </c>
      <c r="D617" s="278" t="s">
        <v>871</v>
      </c>
      <c r="E617" s="278" t="s">
        <v>430</v>
      </c>
      <c r="F617" s="218">
        <v>26408996</v>
      </c>
      <c r="G617" s="218">
        <v>26408996</v>
      </c>
      <c r="H617" s="147" t="str">
        <f t="shared" si="11"/>
        <v>07010110041010111</v>
      </c>
    </row>
    <row r="618" spans="1:8" ht="51">
      <c r="A618" s="212" t="s">
        <v>1361</v>
      </c>
      <c r="B618" s="278" t="s">
        <v>248</v>
      </c>
      <c r="C618" s="278" t="s">
        <v>497</v>
      </c>
      <c r="D618" s="278" t="s">
        <v>871</v>
      </c>
      <c r="E618" s="278" t="s">
        <v>1197</v>
      </c>
      <c r="F618" s="218">
        <v>7975505</v>
      </c>
      <c r="G618" s="218">
        <v>7975505</v>
      </c>
      <c r="H618" s="147" t="str">
        <f t="shared" si="11"/>
        <v>07010110041010119</v>
      </c>
    </row>
    <row r="619" spans="1:8" ht="140.25">
      <c r="A619" s="212" t="s">
        <v>682</v>
      </c>
      <c r="B619" s="278" t="s">
        <v>248</v>
      </c>
      <c r="C619" s="278" t="s">
        <v>497</v>
      </c>
      <c r="D619" s="278" t="s">
        <v>872</v>
      </c>
      <c r="E619" s="278" t="s">
        <v>1468</v>
      </c>
      <c r="F619" s="218">
        <v>989000</v>
      </c>
      <c r="G619" s="218">
        <v>989000</v>
      </c>
      <c r="H619" s="147" t="str">
        <f t="shared" si="11"/>
        <v>07010110047010</v>
      </c>
    </row>
    <row r="620" spans="1:8" ht="76.5">
      <c r="A620" s="212" t="s">
        <v>1754</v>
      </c>
      <c r="B620" s="278" t="s">
        <v>248</v>
      </c>
      <c r="C620" s="278" t="s">
        <v>497</v>
      </c>
      <c r="D620" s="278" t="s">
        <v>872</v>
      </c>
      <c r="E620" s="278" t="s">
        <v>322</v>
      </c>
      <c r="F620" s="218">
        <v>989000</v>
      </c>
      <c r="G620" s="218">
        <v>989000</v>
      </c>
      <c r="H620" s="147" t="str">
        <f t="shared" si="11"/>
        <v>07010110047010100</v>
      </c>
    </row>
    <row r="621" spans="1:8" ht="25.5">
      <c r="A621" s="212" t="s">
        <v>1487</v>
      </c>
      <c r="B621" s="278" t="s">
        <v>248</v>
      </c>
      <c r="C621" s="278" t="s">
        <v>497</v>
      </c>
      <c r="D621" s="278" t="s">
        <v>872</v>
      </c>
      <c r="E621" s="278" t="s">
        <v>165</v>
      </c>
      <c r="F621" s="218">
        <v>989000</v>
      </c>
      <c r="G621" s="218">
        <v>989000</v>
      </c>
      <c r="H621" s="147" t="str">
        <f t="shared" si="11"/>
        <v>07010110047010110</v>
      </c>
    </row>
    <row r="622" spans="1:8" ht="25.5">
      <c r="A622" s="212" t="s">
        <v>1369</v>
      </c>
      <c r="B622" s="278" t="s">
        <v>248</v>
      </c>
      <c r="C622" s="278" t="s">
        <v>497</v>
      </c>
      <c r="D622" s="278" t="s">
        <v>872</v>
      </c>
      <c r="E622" s="278" t="s">
        <v>479</v>
      </c>
      <c r="F622" s="218">
        <v>989000</v>
      </c>
      <c r="G622" s="218">
        <v>989000</v>
      </c>
      <c r="H622" s="147" t="str">
        <f t="shared" si="11"/>
        <v>07010110047010112</v>
      </c>
    </row>
    <row r="623" spans="1:8" ht="153">
      <c r="A623" s="212" t="s">
        <v>683</v>
      </c>
      <c r="B623" s="278" t="s">
        <v>248</v>
      </c>
      <c r="C623" s="278" t="s">
        <v>497</v>
      </c>
      <c r="D623" s="278" t="s">
        <v>873</v>
      </c>
      <c r="E623" s="278" t="s">
        <v>1468</v>
      </c>
      <c r="F623" s="218">
        <v>34289926</v>
      </c>
      <c r="G623" s="218">
        <v>34289926</v>
      </c>
      <c r="H623" s="147" t="str">
        <f t="shared" si="11"/>
        <v>0701011004Г010</v>
      </c>
    </row>
    <row r="624" spans="1:8" ht="38.25">
      <c r="A624" s="212" t="s">
        <v>1755</v>
      </c>
      <c r="B624" s="278" t="s">
        <v>248</v>
      </c>
      <c r="C624" s="278" t="s">
        <v>497</v>
      </c>
      <c r="D624" s="278" t="s">
        <v>873</v>
      </c>
      <c r="E624" s="278" t="s">
        <v>1756</v>
      </c>
      <c r="F624" s="218">
        <v>34289926</v>
      </c>
      <c r="G624" s="218">
        <v>34289926</v>
      </c>
      <c r="H624" s="147" t="str">
        <f t="shared" si="11"/>
        <v>0701011004Г010200</v>
      </c>
    </row>
    <row r="625" spans="1:8" ht="38.25">
      <c r="A625" s="212" t="s">
        <v>1502</v>
      </c>
      <c r="B625" s="278" t="s">
        <v>248</v>
      </c>
      <c r="C625" s="278" t="s">
        <v>497</v>
      </c>
      <c r="D625" s="278" t="s">
        <v>873</v>
      </c>
      <c r="E625" s="278" t="s">
        <v>1503</v>
      </c>
      <c r="F625" s="218">
        <v>34289926</v>
      </c>
      <c r="G625" s="218">
        <v>34289926</v>
      </c>
      <c r="H625" s="147" t="str">
        <f t="shared" si="11"/>
        <v>0701011004Г010240</v>
      </c>
    </row>
    <row r="626" spans="1:8">
      <c r="A626" s="212" t="s">
        <v>1577</v>
      </c>
      <c r="B626" s="278" t="s">
        <v>248</v>
      </c>
      <c r="C626" s="278" t="s">
        <v>497</v>
      </c>
      <c r="D626" s="278" t="s">
        <v>873</v>
      </c>
      <c r="E626" s="278" t="s">
        <v>416</v>
      </c>
      <c r="F626" s="218">
        <v>34289926</v>
      </c>
      <c r="G626" s="218">
        <v>34289926</v>
      </c>
      <c r="H626" s="147" t="str">
        <f t="shared" si="11"/>
        <v>0701011004Г010244</v>
      </c>
    </row>
    <row r="627" spans="1:8" ht="127.5">
      <c r="A627" s="212" t="s">
        <v>684</v>
      </c>
      <c r="B627" s="278" t="s">
        <v>248</v>
      </c>
      <c r="C627" s="278" t="s">
        <v>497</v>
      </c>
      <c r="D627" s="278" t="s">
        <v>874</v>
      </c>
      <c r="E627" s="278" t="s">
        <v>1468</v>
      </c>
      <c r="F627" s="218">
        <v>40173000</v>
      </c>
      <c r="G627" s="218">
        <v>40173000</v>
      </c>
      <c r="H627" s="147" t="str">
        <f t="shared" si="11"/>
        <v>0701011004П010</v>
      </c>
    </row>
    <row r="628" spans="1:8" ht="38.25">
      <c r="A628" s="212" t="s">
        <v>1755</v>
      </c>
      <c r="B628" s="278" t="s">
        <v>248</v>
      </c>
      <c r="C628" s="278" t="s">
        <v>497</v>
      </c>
      <c r="D628" s="278" t="s">
        <v>874</v>
      </c>
      <c r="E628" s="278" t="s">
        <v>1756</v>
      </c>
      <c r="F628" s="218">
        <v>40173000</v>
      </c>
      <c r="G628" s="218">
        <v>40173000</v>
      </c>
      <c r="H628" s="147" t="str">
        <f t="shared" si="11"/>
        <v>0701011004П010200</v>
      </c>
    </row>
    <row r="629" spans="1:8" ht="38.25">
      <c r="A629" s="212" t="s">
        <v>1502</v>
      </c>
      <c r="B629" s="278" t="s">
        <v>248</v>
      </c>
      <c r="C629" s="278" t="s">
        <v>497</v>
      </c>
      <c r="D629" s="278" t="s">
        <v>874</v>
      </c>
      <c r="E629" s="278" t="s">
        <v>1503</v>
      </c>
      <c r="F629" s="218">
        <v>40173000</v>
      </c>
      <c r="G629" s="218">
        <v>40173000</v>
      </c>
      <c r="H629" s="147" t="str">
        <f t="shared" si="11"/>
        <v>0701011004П010240</v>
      </c>
    </row>
    <row r="630" spans="1:8">
      <c r="A630" s="212" t="s">
        <v>1577</v>
      </c>
      <c r="B630" s="278" t="s">
        <v>248</v>
      </c>
      <c r="C630" s="278" t="s">
        <v>497</v>
      </c>
      <c r="D630" s="278" t="s">
        <v>874</v>
      </c>
      <c r="E630" s="278" t="s">
        <v>416</v>
      </c>
      <c r="F630" s="218">
        <v>40173000</v>
      </c>
      <c r="G630" s="218">
        <v>40173000</v>
      </c>
      <c r="H630" s="147" t="str">
        <f t="shared" si="11"/>
        <v>0701011004П010244</v>
      </c>
    </row>
    <row r="631" spans="1:8" ht="127.5">
      <c r="A631" s="212" t="s">
        <v>1095</v>
      </c>
      <c r="B631" s="278" t="s">
        <v>248</v>
      </c>
      <c r="C631" s="278" t="s">
        <v>497</v>
      </c>
      <c r="D631" s="278" t="s">
        <v>1096</v>
      </c>
      <c r="E631" s="278" t="s">
        <v>1468</v>
      </c>
      <c r="F631" s="218">
        <v>8535278</v>
      </c>
      <c r="G631" s="218">
        <v>8535278</v>
      </c>
      <c r="H631" s="147" t="str">
        <f t="shared" si="11"/>
        <v>0701011004Э010</v>
      </c>
    </row>
    <row r="632" spans="1:8" ht="38.25">
      <c r="A632" s="212" t="s">
        <v>1755</v>
      </c>
      <c r="B632" s="278" t="s">
        <v>248</v>
      </c>
      <c r="C632" s="278" t="s">
        <v>497</v>
      </c>
      <c r="D632" s="278" t="s">
        <v>1096</v>
      </c>
      <c r="E632" s="278" t="s">
        <v>1756</v>
      </c>
      <c r="F632" s="218">
        <v>8535278</v>
      </c>
      <c r="G632" s="218">
        <v>8535278</v>
      </c>
      <c r="H632" s="147" t="str">
        <f t="shared" si="11"/>
        <v>0701011004Э010200</v>
      </c>
    </row>
    <row r="633" spans="1:8" ht="38.25">
      <c r="A633" s="212" t="s">
        <v>1502</v>
      </c>
      <c r="B633" s="278" t="s">
        <v>248</v>
      </c>
      <c r="C633" s="278" t="s">
        <v>497</v>
      </c>
      <c r="D633" s="278" t="s">
        <v>1096</v>
      </c>
      <c r="E633" s="278" t="s">
        <v>1503</v>
      </c>
      <c r="F633" s="218">
        <v>8535278</v>
      </c>
      <c r="G633" s="218">
        <v>8535278</v>
      </c>
      <c r="H633" s="147" t="str">
        <f t="shared" si="11"/>
        <v>0701011004Э010240</v>
      </c>
    </row>
    <row r="634" spans="1:8">
      <c r="A634" s="212" t="s">
        <v>1577</v>
      </c>
      <c r="B634" s="278" t="s">
        <v>248</v>
      </c>
      <c r="C634" s="278" t="s">
        <v>497</v>
      </c>
      <c r="D634" s="278" t="s">
        <v>1096</v>
      </c>
      <c r="E634" s="278" t="s">
        <v>416</v>
      </c>
      <c r="F634" s="218">
        <v>8535278</v>
      </c>
      <c r="G634" s="218">
        <v>8535278</v>
      </c>
      <c r="H634" s="147" t="str">
        <f t="shared" si="11"/>
        <v>0701011004Э010244</v>
      </c>
    </row>
    <row r="635" spans="1:8" ht="267.75">
      <c r="A635" s="212" t="s">
        <v>868</v>
      </c>
      <c r="B635" s="278" t="s">
        <v>248</v>
      </c>
      <c r="C635" s="278" t="s">
        <v>497</v>
      </c>
      <c r="D635" s="278" t="s">
        <v>869</v>
      </c>
      <c r="E635" s="278" t="s">
        <v>1468</v>
      </c>
      <c r="F635" s="218">
        <v>69732400</v>
      </c>
      <c r="G635" s="218">
        <v>69732400</v>
      </c>
      <c r="H635" s="147" t="str">
        <f t="shared" si="11"/>
        <v>07010110074080</v>
      </c>
    </row>
    <row r="636" spans="1:8" ht="76.5">
      <c r="A636" s="212" t="s">
        <v>1754</v>
      </c>
      <c r="B636" s="278" t="s">
        <v>248</v>
      </c>
      <c r="C636" s="278" t="s">
        <v>497</v>
      </c>
      <c r="D636" s="278" t="s">
        <v>869</v>
      </c>
      <c r="E636" s="278" t="s">
        <v>322</v>
      </c>
      <c r="F636" s="218">
        <v>68597129</v>
      </c>
      <c r="G636" s="218">
        <v>68597129</v>
      </c>
      <c r="H636" s="147" t="str">
        <f t="shared" si="11"/>
        <v>07010110074080100</v>
      </c>
    </row>
    <row r="637" spans="1:8" ht="25.5">
      <c r="A637" s="212" t="s">
        <v>1487</v>
      </c>
      <c r="B637" s="278" t="s">
        <v>248</v>
      </c>
      <c r="C637" s="278" t="s">
        <v>497</v>
      </c>
      <c r="D637" s="278" t="s">
        <v>869</v>
      </c>
      <c r="E637" s="278" t="s">
        <v>165</v>
      </c>
      <c r="F637" s="218">
        <v>68597129</v>
      </c>
      <c r="G637" s="218">
        <v>68597129</v>
      </c>
      <c r="H637" s="147" t="str">
        <f t="shared" si="11"/>
        <v>07010110074080110</v>
      </c>
    </row>
    <row r="638" spans="1:8">
      <c r="A638" s="212" t="s">
        <v>1360</v>
      </c>
      <c r="B638" s="278" t="s">
        <v>248</v>
      </c>
      <c r="C638" s="278" t="s">
        <v>497</v>
      </c>
      <c r="D638" s="278" t="s">
        <v>869</v>
      </c>
      <c r="E638" s="278" t="s">
        <v>430</v>
      </c>
      <c r="F638" s="218">
        <v>51484356</v>
      </c>
      <c r="G638" s="218">
        <v>51484356</v>
      </c>
      <c r="H638" s="147" t="str">
        <f t="shared" si="11"/>
        <v>07010110074080111</v>
      </c>
    </row>
    <row r="639" spans="1:8" ht="25.5">
      <c r="A639" s="212" t="s">
        <v>1369</v>
      </c>
      <c r="B639" s="278" t="s">
        <v>248</v>
      </c>
      <c r="C639" s="278" t="s">
        <v>497</v>
      </c>
      <c r="D639" s="278" t="s">
        <v>869</v>
      </c>
      <c r="E639" s="278" t="s">
        <v>479</v>
      </c>
      <c r="F639" s="218">
        <v>1564500</v>
      </c>
      <c r="G639" s="218">
        <v>1564500</v>
      </c>
      <c r="H639" s="147" t="str">
        <f t="shared" si="11"/>
        <v>07010110074080112</v>
      </c>
    </row>
    <row r="640" spans="1:8" ht="51">
      <c r="A640" s="212" t="s">
        <v>1361</v>
      </c>
      <c r="B640" s="278" t="s">
        <v>248</v>
      </c>
      <c r="C640" s="278" t="s">
        <v>497</v>
      </c>
      <c r="D640" s="278" t="s">
        <v>869</v>
      </c>
      <c r="E640" s="278" t="s">
        <v>1197</v>
      </c>
      <c r="F640" s="218">
        <v>15548273</v>
      </c>
      <c r="G640" s="218">
        <v>15548273</v>
      </c>
      <c r="H640" s="147" t="str">
        <f t="shared" si="11"/>
        <v>07010110074080119</v>
      </c>
    </row>
    <row r="641" spans="1:8" ht="38.25">
      <c r="A641" s="212" t="s">
        <v>1755</v>
      </c>
      <c r="B641" s="278" t="s">
        <v>248</v>
      </c>
      <c r="C641" s="278" t="s">
        <v>497</v>
      </c>
      <c r="D641" s="278" t="s">
        <v>869</v>
      </c>
      <c r="E641" s="278" t="s">
        <v>1756</v>
      </c>
      <c r="F641" s="218">
        <v>1135271</v>
      </c>
      <c r="G641" s="218">
        <v>1135271</v>
      </c>
      <c r="H641" s="147" t="str">
        <f t="shared" si="11"/>
        <v>07010110074080200</v>
      </c>
    </row>
    <row r="642" spans="1:8" ht="38.25">
      <c r="A642" s="212" t="s">
        <v>1502</v>
      </c>
      <c r="B642" s="278" t="s">
        <v>248</v>
      </c>
      <c r="C642" s="278" t="s">
        <v>497</v>
      </c>
      <c r="D642" s="278" t="s">
        <v>869</v>
      </c>
      <c r="E642" s="278" t="s">
        <v>1503</v>
      </c>
      <c r="F642" s="218">
        <v>1135271</v>
      </c>
      <c r="G642" s="218">
        <v>1135271</v>
      </c>
      <c r="H642" s="147" t="str">
        <f t="shared" si="11"/>
        <v>07010110074080240</v>
      </c>
    </row>
    <row r="643" spans="1:8">
      <c r="A643" s="212" t="s">
        <v>1577</v>
      </c>
      <c r="B643" s="278" t="s">
        <v>248</v>
      </c>
      <c r="C643" s="278" t="s">
        <v>497</v>
      </c>
      <c r="D643" s="278" t="s">
        <v>869</v>
      </c>
      <c r="E643" s="278" t="s">
        <v>416</v>
      </c>
      <c r="F643" s="218">
        <v>1135271</v>
      </c>
      <c r="G643" s="218">
        <v>1135271</v>
      </c>
      <c r="H643" s="147" t="str">
        <f t="shared" si="11"/>
        <v>07010110074080244</v>
      </c>
    </row>
    <row r="644" spans="1:8" ht="191.25">
      <c r="A644" s="212" t="s">
        <v>498</v>
      </c>
      <c r="B644" s="278" t="s">
        <v>248</v>
      </c>
      <c r="C644" s="278" t="s">
        <v>497</v>
      </c>
      <c r="D644" s="278" t="s">
        <v>867</v>
      </c>
      <c r="E644" s="278" t="s">
        <v>1468</v>
      </c>
      <c r="F644" s="218">
        <v>127223900</v>
      </c>
      <c r="G644" s="218">
        <v>127223900</v>
      </c>
      <c r="H644" s="147" t="str">
        <f t="shared" si="11"/>
        <v>07010110075880</v>
      </c>
    </row>
    <row r="645" spans="1:8" ht="76.5">
      <c r="A645" s="212" t="s">
        <v>1754</v>
      </c>
      <c r="B645" s="278" t="s">
        <v>248</v>
      </c>
      <c r="C645" s="278" t="s">
        <v>497</v>
      </c>
      <c r="D645" s="278" t="s">
        <v>867</v>
      </c>
      <c r="E645" s="278" t="s">
        <v>322</v>
      </c>
      <c r="F645" s="218">
        <v>110052578</v>
      </c>
      <c r="G645" s="218">
        <v>110052578</v>
      </c>
      <c r="H645" s="147" t="str">
        <f t="shared" si="11"/>
        <v>07010110075880100</v>
      </c>
    </row>
    <row r="646" spans="1:8" ht="25.5">
      <c r="A646" s="212" t="s">
        <v>1487</v>
      </c>
      <c r="B646" s="278" t="s">
        <v>248</v>
      </c>
      <c r="C646" s="278" t="s">
        <v>497</v>
      </c>
      <c r="D646" s="278" t="s">
        <v>867</v>
      </c>
      <c r="E646" s="278" t="s">
        <v>165</v>
      </c>
      <c r="F646" s="218">
        <v>110052578</v>
      </c>
      <c r="G646" s="218">
        <v>110052578</v>
      </c>
      <c r="H646" s="147" t="str">
        <f t="shared" si="11"/>
        <v>07010110075880110</v>
      </c>
    </row>
    <row r="647" spans="1:8">
      <c r="A647" s="212" t="s">
        <v>1360</v>
      </c>
      <c r="B647" s="278" t="s">
        <v>248</v>
      </c>
      <c r="C647" s="278" t="s">
        <v>497</v>
      </c>
      <c r="D647" s="278" t="s">
        <v>867</v>
      </c>
      <c r="E647" s="278" t="s">
        <v>430</v>
      </c>
      <c r="F647" s="218">
        <v>82669030</v>
      </c>
      <c r="G647" s="218">
        <v>82669030</v>
      </c>
      <c r="H647" s="147" t="str">
        <f t="shared" si="11"/>
        <v>07010110075880111</v>
      </c>
    </row>
    <row r="648" spans="1:8" ht="25.5">
      <c r="A648" s="212" t="s">
        <v>1369</v>
      </c>
      <c r="B648" s="278" t="s">
        <v>248</v>
      </c>
      <c r="C648" s="278" t="s">
        <v>497</v>
      </c>
      <c r="D648" s="278" t="s">
        <v>867</v>
      </c>
      <c r="E648" s="278" t="s">
        <v>479</v>
      </c>
      <c r="F648" s="218">
        <v>2417500</v>
      </c>
      <c r="G648" s="218">
        <v>2417500</v>
      </c>
      <c r="H648" s="147" t="str">
        <f t="shared" si="11"/>
        <v>07010110075880112</v>
      </c>
    </row>
    <row r="649" spans="1:8" ht="51">
      <c r="A649" s="212" t="s">
        <v>1361</v>
      </c>
      <c r="B649" s="278" t="s">
        <v>248</v>
      </c>
      <c r="C649" s="278" t="s">
        <v>497</v>
      </c>
      <c r="D649" s="278" t="s">
        <v>867</v>
      </c>
      <c r="E649" s="278" t="s">
        <v>1197</v>
      </c>
      <c r="F649" s="218">
        <v>24966048</v>
      </c>
      <c r="G649" s="218">
        <v>24966048</v>
      </c>
      <c r="H649" s="147" t="str">
        <f t="shared" si="11"/>
        <v>07010110075880119</v>
      </c>
    </row>
    <row r="650" spans="1:8" ht="38.25">
      <c r="A650" s="212" t="s">
        <v>1755</v>
      </c>
      <c r="B650" s="278" t="s">
        <v>248</v>
      </c>
      <c r="C650" s="278" t="s">
        <v>497</v>
      </c>
      <c r="D650" s="278" t="s">
        <v>867</v>
      </c>
      <c r="E650" s="278" t="s">
        <v>1756</v>
      </c>
      <c r="F650" s="218">
        <v>17171322</v>
      </c>
      <c r="G650" s="218">
        <v>17171322</v>
      </c>
      <c r="H650" s="147" t="str">
        <f t="shared" si="11"/>
        <v>07010110075880200</v>
      </c>
    </row>
    <row r="651" spans="1:8" ht="38.25">
      <c r="A651" s="212" t="s">
        <v>1502</v>
      </c>
      <c r="B651" s="278" t="s">
        <v>248</v>
      </c>
      <c r="C651" s="278" t="s">
        <v>497</v>
      </c>
      <c r="D651" s="278" t="s">
        <v>867</v>
      </c>
      <c r="E651" s="278" t="s">
        <v>1503</v>
      </c>
      <c r="F651" s="218">
        <v>17171322</v>
      </c>
      <c r="G651" s="218">
        <v>17171322</v>
      </c>
      <c r="H651" s="147" t="str">
        <f t="shared" si="11"/>
        <v>07010110075880240</v>
      </c>
    </row>
    <row r="652" spans="1:8">
      <c r="A652" s="212" t="s">
        <v>1577</v>
      </c>
      <c r="B652" s="278" t="s">
        <v>248</v>
      </c>
      <c r="C652" s="278" t="s">
        <v>497</v>
      </c>
      <c r="D652" s="278" t="s">
        <v>867</v>
      </c>
      <c r="E652" s="278" t="s">
        <v>416</v>
      </c>
      <c r="F652" s="218">
        <v>17171322</v>
      </c>
      <c r="G652" s="218">
        <v>17171322</v>
      </c>
      <c r="H652" s="147" t="str">
        <f t="shared" si="11"/>
        <v>07010110075880244</v>
      </c>
    </row>
    <row r="653" spans="1:8">
      <c r="A653" s="212" t="s">
        <v>187</v>
      </c>
      <c r="B653" s="278" t="s">
        <v>248</v>
      </c>
      <c r="C653" s="278" t="s">
        <v>484</v>
      </c>
      <c r="D653" s="278" t="s">
        <v>1468</v>
      </c>
      <c r="E653" s="278" t="s">
        <v>1468</v>
      </c>
      <c r="F653" s="218">
        <v>643183205</v>
      </c>
      <c r="G653" s="218">
        <v>643183205</v>
      </c>
      <c r="H653" s="147" t="str">
        <f t="shared" si="11"/>
        <v>0702</v>
      </c>
    </row>
    <row r="654" spans="1:8" ht="25.5">
      <c r="A654" s="212" t="s">
        <v>535</v>
      </c>
      <c r="B654" s="278" t="s">
        <v>248</v>
      </c>
      <c r="C654" s="278" t="s">
        <v>484</v>
      </c>
      <c r="D654" s="278" t="s">
        <v>1105</v>
      </c>
      <c r="E654" s="278" t="s">
        <v>1468</v>
      </c>
      <c r="F654" s="218">
        <v>643183205</v>
      </c>
      <c r="G654" s="218">
        <v>643183205</v>
      </c>
      <c r="H654" s="147" t="str">
        <f t="shared" si="11"/>
        <v>07020100000000</v>
      </c>
    </row>
    <row r="655" spans="1:8" ht="38.25">
      <c r="A655" s="212" t="s">
        <v>536</v>
      </c>
      <c r="B655" s="278" t="s">
        <v>248</v>
      </c>
      <c r="C655" s="278" t="s">
        <v>484</v>
      </c>
      <c r="D655" s="278" t="s">
        <v>1106</v>
      </c>
      <c r="E655" s="278" t="s">
        <v>1468</v>
      </c>
      <c r="F655" s="218">
        <v>643183205</v>
      </c>
      <c r="G655" s="218">
        <v>643183205</v>
      </c>
      <c r="H655" s="147" t="str">
        <f t="shared" si="11"/>
        <v>07020110000000</v>
      </c>
    </row>
    <row r="656" spans="1:8" ht="153">
      <c r="A656" s="212" t="s">
        <v>502</v>
      </c>
      <c r="B656" s="278" t="s">
        <v>248</v>
      </c>
      <c r="C656" s="278" t="s">
        <v>484</v>
      </c>
      <c r="D656" s="278" t="s">
        <v>878</v>
      </c>
      <c r="E656" s="278" t="s">
        <v>1468</v>
      </c>
      <c r="F656" s="218">
        <v>55306926</v>
      </c>
      <c r="G656" s="218">
        <v>55306926</v>
      </c>
      <c r="H656" s="147" t="str">
        <f t="shared" si="11"/>
        <v>07020110040020</v>
      </c>
    </row>
    <row r="657" spans="1:8" ht="76.5">
      <c r="A657" s="212" t="s">
        <v>1754</v>
      </c>
      <c r="B657" s="278" t="s">
        <v>248</v>
      </c>
      <c r="C657" s="278" t="s">
        <v>484</v>
      </c>
      <c r="D657" s="278" t="s">
        <v>878</v>
      </c>
      <c r="E657" s="278" t="s">
        <v>322</v>
      </c>
      <c r="F657" s="218">
        <v>40230498</v>
      </c>
      <c r="G657" s="218">
        <v>40230498</v>
      </c>
      <c r="H657" s="147" t="str">
        <f t="shared" si="11"/>
        <v>07020110040020100</v>
      </c>
    </row>
    <row r="658" spans="1:8" ht="25.5">
      <c r="A658" s="212" t="s">
        <v>1487</v>
      </c>
      <c r="B658" s="278" t="s">
        <v>248</v>
      </c>
      <c r="C658" s="278" t="s">
        <v>484</v>
      </c>
      <c r="D658" s="278" t="s">
        <v>878</v>
      </c>
      <c r="E658" s="278" t="s">
        <v>165</v>
      </c>
      <c r="F658" s="218">
        <v>40230498</v>
      </c>
      <c r="G658" s="218">
        <v>40230498</v>
      </c>
      <c r="H658" s="147" t="str">
        <f t="shared" si="11"/>
        <v>07020110040020110</v>
      </c>
    </row>
    <row r="659" spans="1:8">
      <c r="A659" s="212" t="s">
        <v>1360</v>
      </c>
      <c r="B659" s="278" t="s">
        <v>248</v>
      </c>
      <c r="C659" s="278" t="s">
        <v>484</v>
      </c>
      <c r="D659" s="278" t="s">
        <v>878</v>
      </c>
      <c r="E659" s="278" t="s">
        <v>430</v>
      </c>
      <c r="F659" s="218">
        <v>30899000</v>
      </c>
      <c r="G659" s="218">
        <v>30899000</v>
      </c>
      <c r="H659" s="147" t="str">
        <f t="shared" si="11"/>
        <v>07020110040020111</v>
      </c>
    </row>
    <row r="660" spans="1:8" ht="51">
      <c r="A660" s="212" t="s">
        <v>1361</v>
      </c>
      <c r="B660" s="278" t="s">
        <v>248</v>
      </c>
      <c r="C660" s="278" t="s">
        <v>484</v>
      </c>
      <c r="D660" s="278" t="s">
        <v>878</v>
      </c>
      <c r="E660" s="278" t="s">
        <v>1197</v>
      </c>
      <c r="F660" s="218">
        <v>9331498</v>
      </c>
      <c r="G660" s="218">
        <v>9331498</v>
      </c>
      <c r="H660" s="147" t="str">
        <f t="shared" si="11"/>
        <v>07020110040020119</v>
      </c>
    </row>
    <row r="661" spans="1:8" ht="38.25">
      <c r="A661" s="212" t="s">
        <v>1755</v>
      </c>
      <c r="B661" s="278" t="s">
        <v>248</v>
      </c>
      <c r="C661" s="278" t="s">
        <v>484</v>
      </c>
      <c r="D661" s="278" t="s">
        <v>878</v>
      </c>
      <c r="E661" s="278" t="s">
        <v>1756</v>
      </c>
      <c r="F661" s="218">
        <v>15026428</v>
      </c>
      <c r="G661" s="218">
        <v>15026428</v>
      </c>
      <c r="H661" s="147" t="str">
        <f t="shared" si="11"/>
        <v>07020110040020200</v>
      </c>
    </row>
    <row r="662" spans="1:8" ht="38.25">
      <c r="A662" s="212" t="s">
        <v>1502</v>
      </c>
      <c r="B662" s="278" t="s">
        <v>248</v>
      </c>
      <c r="C662" s="278" t="s">
        <v>484</v>
      </c>
      <c r="D662" s="278" t="s">
        <v>878</v>
      </c>
      <c r="E662" s="278" t="s">
        <v>1503</v>
      </c>
      <c r="F662" s="218">
        <v>15026428</v>
      </c>
      <c r="G662" s="218">
        <v>15026428</v>
      </c>
      <c r="H662" s="147" t="str">
        <f t="shared" si="11"/>
        <v>07020110040020240</v>
      </c>
    </row>
    <row r="663" spans="1:8">
      <c r="A663" s="212" t="s">
        <v>1577</v>
      </c>
      <c r="B663" s="278" t="s">
        <v>248</v>
      </c>
      <c r="C663" s="278" t="s">
        <v>484</v>
      </c>
      <c r="D663" s="278" t="s">
        <v>878</v>
      </c>
      <c r="E663" s="278" t="s">
        <v>416</v>
      </c>
      <c r="F663" s="218">
        <v>15026428</v>
      </c>
      <c r="G663" s="218">
        <v>15026428</v>
      </c>
      <c r="H663" s="147" t="str">
        <f t="shared" si="11"/>
        <v>07020110040020244</v>
      </c>
    </row>
    <row r="664" spans="1:8">
      <c r="A664" s="212" t="s">
        <v>1757</v>
      </c>
      <c r="B664" s="278" t="s">
        <v>248</v>
      </c>
      <c r="C664" s="278" t="s">
        <v>484</v>
      </c>
      <c r="D664" s="278" t="s">
        <v>878</v>
      </c>
      <c r="E664" s="278" t="s">
        <v>1758</v>
      </c>
      <c r="F664" s="218">
        <v>50000</v>
      </c>
      <c r="G664" s="218">
        <v>50000</v>
      </c>
      <c r="H664" s="147" t="str">
        <f t="shared" si="11"/>
        <v>07020110040020800</v>
      </c>
    </row>
    <row r="665" spans="1:8">
      <c r="A665" s="212" t="s">
        <v>1507</v>
      </c>
      <c r="B665" s="278" t="s">
        <v>248</v>
      </c>
      <c r="C665" s="278" t="s">
        <v>484</v>
      </c>
      <c r="D665" s="278" t="s">
        <v>878</v>
      </c>
      <c r="E665" s="278" t="s">
        <v>1508</v>
      </c>
      <c r="F665" s="218">
        <v>50000</v>
      </c>
      <c r="G665" s="218">
        <v>50000</v>
      </c>
      <c r="H665" s="147" t="str">
        <f t="shared" si="11"/>
        <v>07020110040020850</v>
      </c>
    </row>
    <row r="666" spans="1:8">
      <c r="A666" s="212" t="s">
        <v>1198</v>
      </c>
      <c r="B666" s="278" t="s">
        <v>248</v>
      </c>
      <c r="C666" s="278" t="s">
        <v>484</v>
      </c>
      <c r="D666" s="278" t="s">
        <v>878</v>
      </c>
      <c r="E666" s="278" t="s">
        <v>1199</v>
      </c>
      <c r="F666" s="218">
        <v>50000</v>
      </c>
      <c r="G666" s="218">
        <v>50000</v>
      </c>
      <c r="H666" s="147" t="str">
        <f t="shared" si="11"/>
        <v>07020110040020853</v>
      </c>
    </row>
    <row r="667" spans="1:8" ht="204">
      <c r="A667" s="212" t="s">
        <v>504</v>
      </c>
      <c r="B667" s="278" t="s">
        <v>248</v>
      </c>
      <c r="C667" s="278" t="s">
        <v>484</v>
      </c>
      <c r="D667" s="278" t="s">
        <v>879</v>
      </c>
      <c r="E667" s="278" t="s">
        <v>1468</v>
      </c>
      <c r="F667" s="218">
        <v>44634389</v>
      </c>
      <c r="G667" s="218">
        <v>44634389</v>
      </c>
      <c r="H667" s="147" t="str">
        <f t="shared" si="11"/>
        <v>07020110041020</v>
      </c>
    </row>
    <row r="668" spans="1:8" ht="76.5">
      <c r="A668" s="212" t="s">
        <v>1754</v>
      </c>
      <c r="B668" s="278" t="s">
        <v>248</v>
      </c>
      <c r="C668" s="278" t="s">
        <v>484</v>
      </c>
      <c r="D668" s="278" t="s">
        <v>879</v>
      </c>
      <c r="E668" s="278" t="s">
        <v>322</v>
      </c>
      <c r="F668" s="218">
        <v>44634389</v>
      </c>
      <c r="G668" s="218">
        <v>44634389</v>
      </c>
      <c r="H668" s="147" t="str">
        <f t="shared" si="11"/>
        <v>07020110041020100</v>
      </c>
    </row>
    <row r="669" spans="1:8" ht="25.5">
      <c r="A669" s="212" t="s">
        <v>1487</v>
      </c>
      <c r="B669" s="278" t="s">
        <v>248</v>
      </c>
      <c r="C669" s="278" t="s">
        <v>484</v>
      </c>
      <c r="D669" s="278" t="s">
        <v>879</v>
      </c>
      <c r="E669" s="278" t="s">
        <v>165</v>
      </c>
      <c r="F669" s="218">
        <v>44634389</v>
      </c>
      <c r="G669" s="218">
        <v>44634389</v>
      </c>
      <c r="H669" s="147" t="str">
        <f t="shared" si="11"/>
        <v>07020110041020110</v>
      </c>
    </row>
    <row r="670" spans="1:8">
      <c r="A670" s="212" t="s">
        <v>1360</v>
      </c>
      <c r="B670" s="278" t="s">
        <v>248</v>
      </c>
      <c r="C670" s="278" t="s">
        <v>484</v>
      </c>
      <c r="D670" s="278" t="s">
        <v>879</v>
      </c>
      <c r="E670" s="278" t="s">
        <v>430</v>
      </c>
      <c r="F670" s="218">
        <v>34281405</v>
      </c>
      <c r="G670" s="218">
        <v>34281405</v>
      </c>
      <c r="H670" s="147" t="str">
        <f t="shared" si="11"/>
        <v>07020110041020111</v>
      </c>
    </row>
    <row r="671" spans="1:8" ht="51">
      <c r="A671" s="212" t="s">
        <v>1361</v>
      </c>
      <c r="B671" s="278" t="s">
        <v>248</v>
      </c>
      <c r="C671" s="278" t="s">
        <v>484</v>
      </c>
      <c r="D671" s="278" t="s">
        <v>879</v>
      </c>
      <c r="E671" s="278" t="s">
        <v>1197</v>
      </c>
      <c r="F671" s="218">
        <v>10352984</v>
      </c>
      <c r="G671" s="218">
        <v>10352984</v>
      </c>
      <c r="H671" s="147" t="str">
        <f t="shared" si="11"/>
        <v>07020110041020119</v>
      </c>
    </row>
    <row r="672" spans="1:8" ht="178.5">
      <c r="A672" s="212" t="s">
        <v>624</v>
      </c>
      <c r="B672" s="278" t="s">
        <v>248</v>
      </c>
      <c r="C672" s="278" t="s">
        <v>484</v>
      </c>
      <c r="D672" s="278" t="s">
        <v>885</v>
      </c>
      <c r="E672" s="278" t="s">
        <v>1468</v>
      </c>
      <c r="F672" s="218">
        <v>1800000</v>
      </c>
      <c r="G672" s="218">
        <v>1800000</v>
      </c>
      <c r="H672" s="147" t="str">
        <f t="shared" si="11"/>
        <v>07020110043020</v>
      </c>
    </row>
    <row r="673" spans="1:8" ht="76.5">
      <c r="A673" s="212" t="s">
        <v>1754</v>
      </c>
      <c r="B673" s="278" t="s">
        <v>248</v>
      </c>
      <c r="C673" s="278" t="s">
        <v>484</v>
      </c>
      <c r="D673" s="278" t="s">
        <v>885</v>
      </c>
      <c r="E673" s="278" t="s">
        <v>322</v>
      </c>
      <c r="F673" s="218">
        <v>678000</v>
      </c>
      <c r="G673" s="218">
        <v>678000</v>
      </c>
      <c r="H673" s="147" t="str">
        <f t="shared" si="11"/>
        <v>07020110043020100</v>
      </c>
    </row>
    <row r="674" spans="1:8" ht="25.5">
      <c r="A674" s="212" t="s">
        <v>1487</v>
      </c>
      <c r="B674" s="278" t="s">
        <v>248</v>
      </c>
      <c r="C674" s="278" t="s">
        <v>484</v>
      </c>
      <c r="D674" s="278" t="s">
        <v>885</v>
      </c>
      <c r="E674" s="278" t="s">
        <v>165</v>
      </c>
      <c r="F674" s="218">
        <v>678000</v>
      </c>
      <c r="G674" s="218">
        <v>678000</v>
      </c>
      <c r="H674" s="147" t="str">
        <f t="shared" si="11"/>
        <v>07020110043020110</v>
      </c>
    </row>
    <row r="675" spans="1:8" ht="25.5">
      <c r="A675" s="212" t="s">
        <v>1369</v>
      </c>
      <c r="B675" s="278" t="s">
        <v>248</v>
      </c>
      <c r="C675" s="278" t="s">
        <v>484</v>
      </c>
      <c r="D675" s="278" t="s">
        <v>885</v>
      </c>
      <c r="E675" s="278" t="s">
        <v>479</v>
      </c>
      <c r="F675" s="218">
        <v>498000</v>
      </c>
      <c r="G675" s="218">
        <v>498000</v>
      </c>
      <c r="H675" s="147" t="str">
        <f t="shared" si="11"/>
        <v>07020110043020112</v>
      </c>
    </row>
    <row r="676" spans="1:8" ht="51">
      <c r="A676" s="212" t="s">
        <v>1371</v>
      </c>
      <c r="B676" s="278" t="s">
        <v>248</v>
      </c>
      <c r="C676" s="278" t="s">
        <v>484</v>
      </c>
      <c r="D676" s="278" t="s">
        <v>885</v>
      </c>
      <c r="E676" s="278" t="s">
        <v>1200</v>
      </c>
      <c r="F676" s="218">
        <v>180000</v>
      </c>
      <c r="G676" s="218">
        <v>180000</v>
      </c>
      <c r="H676" s="147" t="str">
        <f t="shared" si="11"/>
        <v>07020110043020113</v>
      </c>
    </row>
    <row r="677" spans="1:8">
      <c r="A677" s="278" t="s">
        <v>1755</v>
      </c>
      <c r="B677" s="278" t="s">
        <v>248</v>
      </c>
      <c r="C677" s="278" t="s">
        <v>484</v>
      </c>
      <c r="D677" s="278" t="s">
        <v>885</v>
      </c>
      <c r="E677" s="278" t="s">
        <v>1756</v>
      </c>
      <c r="F677" s="218">
        <v>1122000</v>
      </c>
      <c r="G677" s="218">
        <v>1122000</v>
      </c>
      <c r="H677" s="147" t="str">
        <f t="shared" si="11"/>
        <v>07020110043020200</v>
      </c>
    </row>
    <row r="678" spans="1:8">
      <c r="A678" s="6" t="s">
        <v>1502</v>
      </c>
      <c r="B678" s="278" t="s">
        <v>248</v>
      </c>
      <c r="C678" s="278" t="s">
        <v>484</v>
      </c>
      <c r="D678" s="278" t="s">
        <v>885</v>
      </c>
      <c r="E678" s="278" t="s">
        <v>1503</v>
      </c>
      <c r="F678" s="218">
        <v>1122000</v>
      </c>
      <c r="G678" s="218">
        <v>1122000</v>
      </c>
      <c r="H678" s="147" t="str">
        <f t="shared" ref="H678:H741" si="12">CONCATENATE(C678,,D678,E678)</f>
        <v>07020110043020240</v>
      </c>
    </row>
    <row r="679" spans="1:8">
      <c r="A679" s="212" t="s">
        <v>1577</v>
      </c>
      <c r="B679" s="278" t="s">
        <v>248</v>
      </c>
      <c r="C679" s="278" t="s">
        <v>484</v>
      </c>
      <c r="D679" s="278" t="s">
        <v>885</v>
      </c>
      <c r="E679" s="278" t="s">
        <v>416</v>
      </c>
      <c r="F679" s="218">
        <v>1122000</v>
      </c>
      <c r="G679" s="218">
        <v>1122000</v>
      </c>
      <c r="H679" s="147" t="str">
        <f t="shared" si="12"/>
        <v>07020110043020244</v>
      </c>
    </row>
    <row r="680" spans="1:8" ht="153">
      <c r="A680" s="212" t="s">
        <v>687</v>
      </c>
      <c r="B680" s="278" t="s">
        <v>248</v>
      </c>
      <c r="C680" s="278" t="s">
        <v>484</v>
      </c>
      <c r="D680" s="278" t="s">
        <v>880</v>
      </c>
      <c r="E680" s="278" t="s">
        <v>1468</v>
      </c>
      <c r="F680" s="218">
        <v>1273300</v>
      </c>
      <c r="G680" s="218">
        <v>1273300</v>
      </c>
      <c r="H680" s="147" t="str">
        <f t="shared" si="12"/>
        <v>07020110047020</v>
      </c>
    </row>
    <row r="681" spans="1:8" ht="76.5">
      <c r="A681" s="212" t="s">
        <v>1754</v>
      </c>
      <c r="B681" s="278" t="s">
        <v>248</v>
      </c>
      <c r="C681" s="278" t="s">
        <v>484</v>
      </c>
      <c r="D681" s="278" t="s">
        <v>880</v>
      </c>
      <c r="E681" s="278" t="s">
        <v>322</v>
      </c>
      <c r="F681" s="218">
        <v>1273300</v>
      </c>
      <c r="G681" s="218">
        <v>1273300</v>
      </c>
      <c r="H681" s="147" t="str">
        <f t="shared" si="12"/>
        <v>07020110047020100</v>
      </c>
    </row>
    <row r="682" spans="1:8" ht="25.5">
      <c r="A682" s="212" t="s">
        <v>1487</v>
      </c>
      <c r="B682" s="278" t="s">
        <v>248</v>
      </c>
      <c r="C682" s="278" t="s">
        <v>484</v>
      </c>
      <c r="D682" s="278" t="s">
        <v>880</v>
      </c>
      <c r="E682" s="278" t="s">
        <v>165</v>
      </c>
      <c r="F682" s="218">
        <v>1273300</v>
      </c>
      <c r="G682" s="218">
        <v>1273300</v>
      </c>
      <c r="H682" s="147" t="str">
        <f t="shared" si="12"/>
        <v>07020110047020110</v>
      </c>
    </row>
    <row r="683" spans="1:8" ht="25.5">
      <c r="A683" s="212" t="s">
        <v>1369</v>
      </c>
      <c r="B683" s="278" t="s">
        <v>248</v>
      </c>
      <c r="C683" s="278" t="s">
        <v>484</v>
      </c>
      <c r="D683" s="278" t="s">
        <v>880</v>
      </c>
      <c r="E683" s="278" t="s">
        <v>479</v>
      </c>
      <c r="F683" s="218">
        <v>1273300</v>
      </c>
      <c r="G683" s="218">
        <v>1273300</v>
      </c>
      <c r="H683" s="147" t="str">
        <f t="shared" si="12"/>
        <v>07020110047020112</v>
      </c>
    </row>
    <row r="684" spans="1:8" ht="165.75">
      <c r="A684" s="212" t="s">
        <v>689</v>
      </c>
      <c r="B684" s="278" t="s">
        <v>248</v>
      </c>
      <c r="C684" s="278" t="s">
        <v>484</v>
      </c>
      <c r="D684" s="278" t="s">
        <v>881</v>
      </c>
      <c r="E684" s="278" t="s">
        <v>1468</v>
      </c>
      <c r="F684" s="218">
        <v>81336890</v>
      </c>
      <c r="G684" s="218">
        <v>81336890</v>
      </c>
      <c r="H684" s="147" t="str">
        <f t="shared" si="12"/>
        <v>0702011004Г020</v>
      </c>
    </row>
    <row r="685" spans="1:8" ht="38.25">
      <c r="A685" s="212" t="s">
        <v>1755</v>
      </c>
      <c r="B685" s="278" t="s">
        <v>248</v>
      </c>
      <c r="C685" s="278" t="s">
        <v>484</v>
      </c>
      <c r="D685" s="278" t="s">
        <v>881</v>
      </c>
      <c r="E685" s="278" t="s">
        <v>1756</v>
      </c>
      <c r="F685" s="218">
        <v>81336890</v>
      </c>
      <c r="G685" s="218">
        <v>81336890</v>
      </c>
      <c r="H685" s="147" t="str">
        <f t="shared" si="12"/>
        <v>0702011004Г020200</v>
      </c>
    </row>
    <row r="686" spans="1:8" ht="38.25">
      <c r="A686" s="212" t="s">
        <v>1502</v>
      </c>
      <c r="B686" s="278" t="s">
        <v>248</v>
      </c>
      <c r="C686" s="278" t="s">
        <v>484</v>
      </c>
      <c r="D686" s="278" t="s">
        <v>881</v>
      </c>
      <c r="E686" s="278" t="s">
        <v>1503</v>
      </c>
      <c r="F686" s="218">
        <v>81336890</v>
      </c>
      <c r="G686" s="218">
        <v>81336890</v>
      </c>
      <c r="H686" s="147" t="str">
        <f t="shared" si="12"/>
        <v>0702011004Г020240</v>
      </c>
    </row>
    <row r="687" spans="1:8">
      <c r="A687" s="212" t="s">
        <v>1577</v>
      </c>
      <c r="B687" s="278" t="s">
        <v>248</v>
      </c>
      <c r="C687" s="278" t="s">
        <v>484</v>
      </c>
      <c r="D687" s="278" t="s">
        <v>881</v>
      </c>
      <c r="E687" s="278" t="s">
        <v>416</v>
      </c>
      <c r="F687" s="218">
        <v>81336890</v>
      </c>
      <c r="G687" s="218">
        <v>81336890</v>
      </c>
      <c r="H687" s="147" t="str">
        <f t="shared" si="12"/>
        <v>0702011004Г020244</v>
      </c>
    </row>
    <row r="688" spans="1:8" ht="140.25">
      <c r="A688" s="212" t="s">
        <v>691</v>
      </c>
      <c r="B688" s="278" t="s">
        <v>248</v>
      </c>
      <c r="C688" s="278" t="s">
        <v>484</v>
      </c>
      <c r="D688" s="278" t="s">
        <v>886</v>
      </c>
      <c r="E688" s="278" t="s">
        <v>1468</v>
      </c>
      <c r="F688" s="218">
        <v>5519000</v>
      </c>
      <c r="G688" s="218">
        <v>5519000</v>
      </c>
      <c r="H688" s="147" t="str">
        <f t="shared" si="12"/>
        <v>0702011004П020</v>
      </c>
    </row>
    <row r="689" spans="1:8" ht="38.25">
      <c r="A689" s="212" t="s">
        <v>1755</v>
      </c>
      <c r="B689" s="278" t="s">
        <v>248</v>
      </c>
      <c r="C689" s="278" t="s">
        <v>484</v>
      </c>
      <c r="D689" s="278" t="s">
        <v>886</v>
      </c>
      <c r="E689" s="278" t="s">
        <v>1756</v>
      </c>
      <c r="F689" s="218">
        <v>5519000</v>
      </c>
      <c r="G689" s="218">
        <v>5519000</v>
      </c>
      <c r="H689" s="147" t="str">
        <f t="shared" si="12"/>
        <v>0702011004П020200</v>
      </c>
    </row>
    <row r="690" spans="1:8" ht="38.25">
      <c r="A690" s="212" t="s">
        <v>1502</v>
      </c>
      <c r="B690" s="278" t="s">
        <v>248</v>
      </c>
      <c r="C690" s="278" t="s">
        <v>484</v>
      </c>
      <c r="D690" s="278" t="s">
        <v>886</v>
      </c>
      <c r="E690" s="278" t="s">
        <v>1503</v>
      </c>
      <c r="F690" s="218">
        <v>5519000</v>
      </c>
      <c r="G690" s="218">
        <v>5519000</v>
      </c>
      <c r="H690" s="147" t="str">
        <f t="shared" si="12"/>
        <v>0702011004П020240</v>
      </c>
    </row>
    <row r="691" spans="1:8">
      <c r="A691" s="212" t="s">
        <v>1577</v>
      </c>
      <c r="B691" s="278" t="s">
        <v>248</v>
      </c>
      <c r="C691" s="278" t="s">
        <v>484</v>
      </c>
      <c r="D691" s="278" t="s">
        <v>886</v>
      </c>
      <c r="E691" s="278" t="s">
        <v>416</v>
      </c>
      <c r="F691" s="218">
        <v>5519000</v>
      </c>
      <c r="G691" s="218">
        <v>5519000</v>
      </c>
      <c r="H691" s="147" t="str">
        <f t="shared" si="12"/>
        <v>0702011004П020244</v>
      </c>
    </row>
    <row r="692" spans="1:8" ht="140.25">
      <c r="A692" s="212" t="s">
        <v>1097</v>
      </c>
      <c r="B692" s="278" t="s">
        <v>248</v>
      </c>
      <c r="C692" s="278" t="s">
        <v>484</v>
      </c>
      <c r="D692" s="278" t="s">
        <v>1098</v>
      </c>
      <c r="E692" s="278" t="s">
        <v>1468</v>
      </c>
      <c r="F692" s="218">
        <v>9764000</v>
      </c>
      <c r="G692" s="218">
        <v>9764000</v>
      </c>
      <c r="H692" s="147" t="str">
        <f t="shared" si="12"/>
        <v>0702011004Э020</v>
      </c>
    </row>
    <row r="693" spans="1:8" ht="38.25">
      <c r="A693" s="212" t="s">
        <v>1755</v>
      </c>
      <c r="B693" s="278" t="s">
        <v>248</v>
      </c>
      <c r="C693" s="278" t="s">
        <v>484</v>
      </c>
      <c r="D693" s="278" t="s">
        <v>1098</v>
      </c>
      <c r="E693" s="278" t="s">
        <v>1756</v>
      </c>
      <c r="F693" s="218">
        <v>9764000</v>
      </c>
      <c r="G693" s="218">
        <v>9764000</v>
      </c>
      <c r="H693" s="147" t="str">
        <f t="shared" si="12"/>
        <v>0702011004Э020200</v>
      </c>
    </row>
    <row r="694" spans="1:8" ht="38.25">
      <c r="A694" s="212" t="s">
        <v>1502</v>
      </c>
      <c r="B694" s="278" t="s">
        <v>248</v>
      </c>
      <c r="C694" s="278" t="s">
        <v>484</v>
      </c>
      <c r="D694" s="278" t="s">
        <v>1098</v>
      </c>
      <c r="E694" s="278" t="s">
        <v>1503</v>
      </c>
      <c r="F694" s="218">
        <v>9764000</v>
      </c>
      <c r="G694" s="218">
        <v>9764000</v>
      </c>
      <c r="H694" s="147" t="str">
        <f t="shared" si="12"/>
        <v>0702011004Э020240</v>
      </c>
    </row>
    <row r="695" spans="1:8">
      <c r="A695" s="212" t="s">
        <v>1577</v>
      </c>
      <c r="B695" s="278" t="s">
        <v>248</v>
      </c>
      <c r="C695" s="278" t="s">
        <v>484</v>
      </c>
      <c r="D695" s="278" t="s">
        <v>1098</v>
      </c>
      <c r="E695" s="278" t="s">
        <v>416</v>
      </c>
      <c r="F695" s="218">
        <v>9764000</v>
      </c>
      <c r="G695" s="218">
        <v>9764000</v>
      </c>
      <c r="H695" s="147" t="str">
        <f t="shared" si="12"/>
        <v>0702011004Э020244</v>
      </c>
    </row>
    <row r="696" spans="1:8" ht="255">
      <c r="A696" s="212" t="s">
        <v>1101</v>
      </c>
      <c r="B696" s="278" t="s">
        <v>248</v>
      </c>
      <c r="C696" s="278" t="s">
        <v>484</v>
      </c>
      <c r="D696" s="278" t="s">
        <v>877</v>
      </c>
      <c r="E696" s="278" t="s">
        <v>1468</v>
      </c>
      <c r="F696" s="218">
        <v>74361300</v>
      </c>
      <c r="G696" s="218">
        <v>74361300</v>
      </c>
      <c r="H696" s="147" t="str">
        <f t="shared" si="12"/>
        <v>07020110074090</v>
      </c>
    </row>
    <row r="697" spans="1:8" ht="76.5">
      <c r="A697" s="212" t="s">
        <v>1754</v>
      </c>
      <c r="B697" s="278" t="s">
        <v>248</v>
      </c>
      <c r="C697" s="278" t="s">
        <v>484</v>
      </c>
      <c r="D697" s="278" t="s">
        <v>877</v>
      </c>
      <c r="E697" s="278" t="s">
        <v>322</v>
      </c>
      <c r="F697" s="218">
        <v>70585683</v>
      </c>
      <c r="G697" s="218">
        <v>70585683</v>
      </c>
      <c r="H697" s="147" t="str">
        <f t="shared" si="12"/>
        <v>07020110074090100</v>
      </c>
    </row>
    <row r="698" spans="1:8" ht="25.5">
      <c r="A698" s="212" t="s">
        <v>1487</v>
      </c>
      <c r="B698" s="278" t="s">
        <v>248</v>
      </c>
      <c r="C698" s="278" t="s">
        <v>484</v>
      </c>
      <c r="D698" s="278" t="s">
        <v>877</v>
      </c>
      <c r="E698" s="278" t="s">
        <v>165</v>
      </c>
      <c r="F698" s="218">
        <v>70585683</v>
      </c>
      <c r="G698" s="218">
        <v>70585683</v>
      </c>
      <c r="H698" s="147" t="str">
        <f t="shared" si="12"/>
        <v>07020110074090110</v>
      </c>
    </row>
    <row r="699" spans="1:8">
      <c r="A699" s="212" t="s">
        <v>1360</v>
      </c>
      <c r="B699" s="278" t="s">
        <v>248</v>
      </c>
      <c r="C699" s="278" t="s">
        <v>484</v>
      </c>
      <c r="D699" s="278" t="s">
        <v>877</v>
      </c>
      <c r="E699" s="278" t="s">
        <v>430</v>
      </c>
      <c r="F699" s="218">
        <v>52709695</v>
      </c>
      <c r="G699" s="218">
        <v>52709695</v>
      </c>
      <c r="H699" s="147" t="str">
        <f t="shared" si="12"/>
        <v>07020110074090111</v>
      </c>
    </row>
    <row r="700" spans="1:8" ht="25.5">
      <c r="A700" s="212" t="s">
        <v>1369</v>
      </c>
      <c r="B700" s="278" t="s">
        <v>248</v>
      </c>
      <c r="C700" s="278" t="s">
        <v>484</v>
      </c>
      <c r="D700" s="278" t="s">
        <v>877</v>
      </c>
      <c r="E700" s="278" t="s">
        <v>479</v>
      </c>
      <c r="F700" s="218">
        <v>1957660</v>
      </c>
      <c r="G700" s="218">
        <v>1957660</v>
      </c>
      <c r="H700" s="147" t="str">
        <f t="shared" si="12"/>
        <v>07020110074090112</v>
      </c>
    </row>
    <row r="701" spans="1:8" ht="51">
      <c r="A701" s="212" t="s">
        <v>1361</v>
      </c>
      <c r="B701" s="278" t="s">
        <v>248</v>
      </c>
      <c r="C701" s="278" t="s">
        <v>484</v>
      </c>
      <c r="D701" s="278" t="s">
        <v>877</v>
      </c>
      <c r="E701" s="278" t="s">
        <v>1197</v>
      </c>
      <c r="F701" s="218">
        <v>15918328</v>
      </c>
      <c r="G701" s="218">
        <v>15918328</v>
      </c>
      <c r="H701" s="147" t="str">
        <f t="shared" si="12"/>
        <v>07020110074090119</v>
      </c>
    </row>
    <row r="702" spans="1:8" ht="38.25">
      <c r="A702" s="212" t="s">
        <v>1755</v>
      </c>
      <c r="B702" s="278" t="s">
        <v>248</v>
      </c>
      <c r="C702" s="278" t="s">
        <v>484</v>
      </c>
      <c r="D702" s="278" t="s">
        <v>877</v>
      </c>
      <c r="E702" s="278" t="s">
        <v>1756</v>
      </c>
      <c r="F702" s="218">
        <v>3775617</v>
      </c>
      <c r="G702" s="218">
        <v>3775617</v>
      </c>
      <c r="H702" s="147" t="str">
        <f t="shared" si="12"/>
        <v>07020110074090200</v>
      </c>
    </row>
    <row r="703" spans="1:8" ht="38.25">
      <c r="A703" s="212" t="s">
        <v>1502</v>
      </c>
      <c r="B703" s="278" t="s">
        <v>248</v>
      </c>
      <c r="C703" s="278" t="s">
        <v>484</v>
      </c>
      <c r="D703" s="278" t="s">
        <v>877</v>
      </c>
      <c r="E703" s="278" t="s">
        <v>1503</v>
      </c>
      <c r="F703" s="218">
        <v>3775617</v>
      </c>
      <c r="G703" s="218">
        <v>3775617</v>
      </c>
      <c r="H703" s="147" t="str">
        <f t="shared" si="12"/>
        <v>07020110074090240</v>
      </c>
    </row>
    <row r="704" spans="1:8">
      <c r="A704" s="212" t="s">
        <v>1577</v>
      </c>
      <c r="B704" s="278" t="s">
        <v>248</v>
      </c>
      <c r="C704" s="278" t="s">
        <v>484</v>
      </c>
      <c r="D704" s="278" t="s">
        <v>877</v>
      </c>
      <c r="E704" s="278" t="s">
        <v>416</v>
      </c>
      <c r="F704" s="218">
        <v>3775617</v>
      </c>
      <c r="G704" s="218">
        <v>3775617</v>
      </c>
      <c r="H704" s="147" t="str">
        <f t="shared" si="12"/>
        <v>07020110074090244</v>
      </c>
    </row>
    <row r="705" spans="1:8" ht="204">
      <c r="A705" s="212" t="s">
        <v>501</v>
      </c>
      <c r="B705" s="278" t="s">
        <v>248</v>
      </c>
      <c r="C705" s="278" t="s">
        <v>484</v>
      </c>
      <c r="D705" s="278" t="s">
        <v>875</v>
      </c>
      <c r="E705" s="278" t="s">
        <v>1468</v>
      </c>
      <c r="F705" s="218">
        <v>368055200</v>
      </c>
      <c r="G705" s="218">
        <v>368055200</v>
      </c>
      <c r="H705" s="147" t="str">
        <f t="shared" si="12"/>
        <v>07020110075640</v>
      </c>
    </row>
    <row r="706" spans="1:8" ht="76.5">
      <c r="A706" s="212" t="s">
        <v>1754</v>
      </c>
      <c r="B706" s="278" t="s">
        <v>248</v>
      </c>
      <c r="C706" s="278" t="s">
        <v>484</v>
      </c>
      <c r="D706" s="278" t="s">
        <v>875</v>
      </c>
      <c r="E706" s="278" t="s">
        <v>322</v>
      </c>
      <c r="F706" s="218">
        <v>337695986</v>
      </c>
      <c r="G706" s="218">
        <v>337695986</v>
      </c>
      <c r="H706" s="147" t="str">
        <f t="shared" si="12"/>
        <v>07020110075640100</v>
      </c>
    </row>
    <row r="707" spans="1:8" ht="25.5">
      <c r="A707" s="212" t="s">
        <v>1487</v>
      </c>
      <c r="B707" s="278" t="s">
        <v>248</v>
      </c>
      <c r="C707" s="278" t="s">
        <v>484</v>
      </c>
      <c r="D707" s="278" t="s">
        <v>875</v>
      </c>
      <c r="E707" s="278" t="s">
        <v>165</v>
      </c>
      <c r="F707" s="218">
        <v>337695986</v>
      </c>
      <c r="G707" s="218">
        <v>337695986</v>
      </c>
      <c r="H707" s="147" t="str">
        <f t="shared" si="12"/>
        <v>07020110075640110</v>
      </c>
    </row>
    <row r="708" spans="1:8">
      <c r="A708" s="212" t="s">
        <v>1360</v>
      </c>
      <c r="B708" s="278" t="s">
        <v>248</v>
      </c>
      <c r="C708" s="278" t="s">
        <v>484</v>
      </c>
      <c r="D708" s="278" t="s">
        <v>875</v>
      </c>
      <c r="E708" s="278" t="s">
        <v>430</v>
      </c>
      <c r="F708" s="218">
        <v>255688992</v>
      </c>
      <c r="G708" s="218">
        <v>255688992</v>
      </c>
      <c r="H708" s="147" t="str">
        <f t="shared" si="12"/>
        <v>07020110075640111</v>
      </c>
    </row>
    <row r="709" spans="1:8" ht="25.5">
      <c r="A709" s="212" t="s">
        <v>1369</v>
      </c>
      <c r="B709" s="278" t="s">
        <v>248</v>
      </c>
      <c r="C709" s="278" t="s">
        <v>484</v>
      </c>
      <c r="D709" s="278" t="s">
        <v>875</v>
      </c>
      <c r="E709" s="278" t="s">
        <v>479</v>
      </c>
      <c r="F709" s="218">
        <v>4788919</v>
      </c>
      <c r="G709" s="218">
        <v>4788919</v>
      </c>
      <c r="H709" s="147" t="str">
        <f t="shared" si="12"/>
        <v>07020110075640112</v>
      </c>
    </row>
    <row r="710" spans="1:8" ht="51">
      <c r="A710" s="212" t="s">
        <v>1361</v>
      </c>
      <c r="B710" s="278" t="s">
        <v>248</v>
      </c>
      <c r="C710" s="278" t="s">
        <v>484</v>
      </c>
      <c r="D710" s="278" t="s">
        <v>875</v>
      </c>
      <c r="E710" s="278" t="s">
        <v>1197</v>
      </c>
      <c r="F710" s="218">
        <v>77218075</v>
      </c>
      <c r="G710" s="218">
        <v>77218075</v>
      </c>
      <c r="H710" s="147" t="str">
        <f t="shared" si="12"/>
        <v>07020110075640119</v>
      </c>
    </row>
    <row r="711" spans="1:8" ht="38.25">
      <c r="A711" s="212" t="s">
        <v>1755</v>
      </c>
      <c r="B711" s="278" t="s">
        <v>248</v>
      </c>
      <c r="C711" s="278" t="s">
        <v>484</v>
      </c>
      <c r="D711" s="278" t="s">
        <v>875</v>
      </c>
      <c r="E711" s="278" t="s">
        <v>1756</v>
      </c>
      <c r="F711" s="218">
        <v>30359214</v>
      </c>
      <c r="G711" s="218">
        <v>30359214</v>
      </c>
      <c r="H711" s="147" t="str">
        <f t="shared" si="12"/>
        <v>07020110075640200</v>
      </c>
    </row>
    <row r="712" spans="1:8" ht="38.25">
      <c r="A712" s="212" t="s">
        <v>1502</v>
      </c>
      <c r="B712" s="278" t="s">
        <v>248</v>
      </c>
      <c r="C712" s="278" t="s">
        <v>484</v>
      </c>
      <c r="D712" s="278" t="s">
        <v>875</v>
      </c>
      <c r="E712" s="278" t="s">
        <v>1503</v>
      </c>
      <c r="F712" s="218">
        <v>30359214</v>
      </c>
      <c r="G712" s="218">
        <v>30359214</v>
      </c>
      <c r="H712" s="147" t="str">
        <f t="shared" si="12"/>
        <v>07020110075640240</v>
      </c>
    </row>
    <row r="713" spans="1:8">
      <c r="A713" s="212" t="s">
        <v>1577</v>
      </c>
      <c r="B713" s="278" t="s">
        <v>248</v>
      </c>
      <c r="C713" s="278" t="s">
        <v>484</v>
      </c>
      <c r="D713" s="278" t="s">
        <v>875</v>
      </c>
      <c r="E713" s="278" t="s">
        <v>416</v>
      </c>
      <c r="F713" s="218">
        <v>30359214</v>
      </c>
      <c r="G713" s="218">
        <v>30359214</v>
      </c>
      <c r="H713" s="147" t="str">
        <f t="shared" si="12"/>
        <v>07020110075640244</v>
      </c>
    </row>
    <row r="714" spans="1:8" ht="89.25">
      <c r="A714" s="212" t="s">
        <v>500</v>
      </c>
      <c r="B714" s="278" t="s">
        <v>248</v>
      </c>
      <c r="C714" s="278" t="s">
        <v>484</v>
      </c>
      <c r="D714" s="278" t="s">
        <v>889</v>
      </c>
      <c r="E714" s="278" t="s">
        <v>1468</v>
      </c>
      <c r="F714" s="218">
        <v>905000</v>
      </c>
      <c r="G714" s="218">
        <v>905000</v>
      </c>
      <c r="H714" s="147" t="str">
        <f t="shared" si="12"/>
        <v>07020110080020</v>
      </c>
    </row>
    <row r="715" spans="1:8" ht="38.25">
      <c r="A715" s="212" t="s">
        <v>1755</v>
      </c>
      <c r="B715" s="278" t="s">
        <v>248</v>
      </c>
      <c r="C715" s="278" t="s">
        <v>484</v>
      </c>
      <c r="D715" s="278" t="s">
        <v>889</v>
      </c>
      <c r="E715" s="278" t="s">
        <v>1756</v>
      </c>
      <c r="F715" s="218">
        <v>800000</v>
      </c>
      <c r="G715" s="218">
        <v>800000</v>
      </c>
      <c r="H715" s="147" t="str">
        <f t="shared" si="12"/>
        <v>07020110080020200</v>
      </c>
    </row>
    <row r="716" spans="1:8" ht="38.25">
      <c r="A716" s="212" t="s">
        <v>1502</v>
      </c>
      <c r="B716" s="278" t="s">
        <v>248</v>
      </c>
      <c r="C716" s="278" t="s">
        <v>484</v>
      </c>
      <c r="D716" s="278" t="s">
        <v>889</v>
      </c>
      <c r="E716" s="278" t="s">
        <v>1503</v>
      </c>
      <c r="F716" s="218">
        <v>800000</v>
      </c>
      <c r="G716" s="218">
        <v>800000</v>
      </c>
      <c r="H716" s="147" t="str">
        <f t="shared" si="12"/>
        <v>07020110080020240</v>
      </c>
    </row>
    <row r="717" spans="1:8">
      <c r="A717" s="212" t="s">
        <v>1577</v>
      </c>
      <c r="B717" s="278" t="s">
        <v>248</v>
      </c>
      <c r="C717" s="278" t="s">
        <v>484</v>
      </c>
      <c r="D717" s="278" t="s">
        <v>889</v>
      </c>
      <c r="E717" s="278" t="s">
        <v>416</v>
      </c>
      <c r="F717" s="218">
        <v>800000</v>
      </c>
      <c r="G717" s="218">
        <v>800000</v>
      </c>
      <c r="H717" s="147" t="str">
        <f t="shared" si="12"/>
        <v>07020110080020244</v>
      </c>
    </row>
    <row r="718" spans="1:8" ht="25.5">
      <c r="A718" s="212" t="s">
        <v>1759</v>
      </c>
      <c r="B718" s="278" t="s">
        <v>248</v>
      </c>
      <c r="C718" s="278" t="s">
        <v>484</v>
      </c>
      <c r="D718" s="278" t="s">
        <v>889</v>
      </c>
      <c r="E718" s="278" t="s">
        <v>1760</v>
      </c>
      <c r="F718" s="218">
        <v>105000</v>
      </c>
      <c r="G718" s="218">
        <v>105000</v>
      </c>
      <c r="H718" s="147" t="str">
        <f t="shared" si="12"/>
        <v>07020110080020300</v>
      </c>
    </row>
    <row r="719" spans="1:8">
      <c r="A719" s="212" t="s">
        <v>625</v>
      </c>
      <c r="B719" s="278" t="s">
        <v>248</v>
      </c>
      <c r="C719" s="278" t="s">
        <v>484</v>
      </c>
      <c r="D719" s="278" t="s">
        <v>889</v>
      </c>
      <c r="E719" s="278" t="s">
        <v>626</v>
      </c>
      <c r="F719" s="218">
        <v>105000</v>
      </c>
      <c r="G719" s="218">
        <v>105000</v>
      </c>
      <c r="H719" s="147" t="str">
        <f t="shared" si="12"/>
        <v>07020110080020360</v>
      </c>
    </row>
    <row r="720" spans="1:8" ht="89.25">
      <c r="A720" s="212" t="s">
        <v>627</v>
      </c>
      <c r="B720" s="278" t="s">
        <v>248</v>
      </c>
      <c r="C720" s="278" t="s">
        <v>484</v>
      </c>
      <c r="D720" s="278" t="s">
        <v>892</v>
      </c>
      <c r="E720" s="278" t="s">
        <v>1468</v>
      </c>
      <c r="F720" s="218">
        <v>187200</v>
      </c>
      <c r="G720" s="218">
        <v>187200</v>
      </c>
      <c r="H720" s="147" t="str">
        <f t="shared" si="12"/>
        <v>07020110080040</v>
      </c>
    </row>
    <row r="721" spans="1:8" ht="25.5">
      <c r="A721" s="212" t="s">
        <v>1759</v>
      </c>
      <c r="B721" s="278" t="s">
        <v>248</v>
      </c>
      <c r="C721" s="278" t="s">
        <v>484</v>
      </c>
      <c r="D721" s="278" t="s">
        <v>892</v>
      </c>
      <c r="E721" s="278" t="s">
        <v>1760</v>
      </c>
      <c r="F721" s="218">
        <v>187200</v>
      </c>
      <c r="G721" s="218">
        <v>187200</v>
      </c>
      <c r="H721" s="147" t="str">
        <f t="shared" si="12"/>
        <v>07020110080040300</v>
      </c>
    </row>
    <row r="722" spans="1:8" ht="25.5">
      <c r="A722" s="212" t="s">
        <v>426</v>
      </c>
      <c r="B722" s="278" t="s">
        <v>248</v>
      </c>
      <c r="C722" s="278" t="s">
        <v>484</v>
      </c>
      <c r="D722" s="278" t="s">
        <v>892</v>
      </c>
      <c r="E722" s="278" t="s">
        <v>427</v>
      </c>
      <c r="F722" s="218">
        <v>187200</v>
      </c>
      <c r="G722" s="218">
        <v>187200</v>
      </c>
      <c r="H722" s="147" t="str">
        <f t="shared" si="12"/>
        <v>07020110080040330</v>
      </c>
    </row>
    <row r="723" spans="1:8" ht="76.5">
      <c r="A723" s="212" t="s">
        <v>693</v>
      </c>
      <c r="B723" s="278" t="s">
        <v>248</v>
      </c>
      <c r="C723" s="278" t="s">
        <v>484</v>
      </c>
      <c r="D723" s="278" t="s">
        <v>891</v>
      </c>
      <c r="E723" s="278" t="s">
        <v>1468</v>
      </c>
      <c r="F723" s="218">
        <v>40000</v>
      </c>
      <c r="G723" s="218">
        <v>40000</v>
      </c>
      <c r="H723" s="147" t="str">
        <f t="shared" si="12"/>
        <v>0702011008П020</v>
      </c>
    </row>
    <row r="724" spans="1:8" ht="38.25">
      <c r="A724" s="212" t="s">
        <v>1755</v>
      </c>
      <c r="B724" s="278" t="s">
        <v>248</v>
      </c>
      <c r="C724" s="278" t="s">
        <v>484</v>
      </c>
      <c r="D724" s="278" t="s">
        <v>891</v>
      </c>
      <c r="E724" s="278" t="s">
        <v>1756</v>
      </c>
      <c r="F724" s="218">
        <v>40000</v>
      </c>
      <c r="G724" s="218">
        <v>40000</v>
      </c>
      <c r="H724" s="147" t="str">
        <f t="shared" si="12"/>
        <v>0702011008П020200</v>
      </c>
    </row>
    <row r="725" spans="1:8" ht="38.25">
      <c r="A725" s="212" t="s">
        <v>1502</v>
      </c>
      <c r="B725" s="278" t="s">
        <v>248</v>
      </c>
      <c r="C725" s="278" t="s">
        <v>484</v>
      </c>
      <c r="D725" s="278" t="s">
        <v>891</v>
      </c>
      <c r="E725" s="278" t="s">
        <v>1503</v>
      </c>
      <c r="F725" s="218">
        <v>40000</v>
      </c>
      <c r="G725" s="218">
        <v>40000</v>
      </c>
      <c r="H725" s="147" t="str">
        <f t="shared" si="12"/>
        <v>0702011008П020240</v>
      </c>
    </row>
    <row r="726" spans="1:8">
      <c r="A726" s="212" t="s">
        <v>1577</v>
      </c>
      <c r="B726" s="278" t="s">
        <v>248</v>
      </c>
      <c r="C726" s="278" t="s">
        <v>484</v>
      </c>
      <c r="D726" s="278" t="s">
        <v>891</v>
      </c>
      <c r="E726" s="278" t="s">
        <v>416</v>
      </c>
      <c r="F726" s="218">
        <v>40000</v>
      </c>
      <c r="G726" s="218">
        <v>40000</v>
      </c>
      <c r="H726" s="147" t="str">
        <f t="shared" si="12"/>
        <v>0702011008П020244</v>
      </c>
    </row>
    <row r="727" spans="1:8">
      <c r="A727" s="212" t="s">
        <v>1240</v>
      </c>
      <c r="B727" s="278" t="s">
        <v>248</v>
      </c>
      <c r="C727" s="278" t="s">
        <v>1241</v>
      </c>
      <c r="D727" s="278" t="s">
        <v>1468</v>
      </c>
      <c r="E727" s="278" t="s">
        <v>1468</v>
      </c>
      <c r="F727" s="218">
        <v>38608913</v>
      </c>
      <c r="G727" s="218">
        <v>38608913</v>
      </c>
      <c r="H727" s="147" t="str">
        <f t="shared" si="12"/>
        <v>0703</v>
      </c>
    </row>
    <row r="728" spans="1:8" ht="25.5">
      <c r="A728" s="212" t="s">
        <v>535</v>
      </c>
      <c r="B728" s="278" t="s">
        <v>248</v>
      </c>
      <c r="C728" s="278" t="s">
        <v>1241</v>
      </c>
      <c r="D728" s="278" t="s">
        <v>1105</v>
      </c>
      <c r="E728" s="278" t="s">
        <v>1468</v>
      </c>
      <c r="F728" s="218">
        <v>38555903</v>
      </c>
      <c r="G728" s="218">
        <v>38555903</v>
      </c>
      <c r="H728" s="147" t="str">
        <f t="shared" si="12"/>
        <v>07030100000000</v>
      </c>
    </row>
    <row r="729" spans="1:8" ht="38.25">
      <c r="A729" s="212" t="s">
        <v>536</v>
      </c>
      <c r="B729" s="278" t="s">
        <v>248</v>
      </c>
      <c r="C729" s="278" t="s">
        <v>1241</v>
      </c>
      <c r="D729" s="278" t="s">
        <v>1106</v>
      </c>
      <c r="E729" s="278" t="s">
        <v>1468</v>
      </c>
      <c r="F729" s="218">
        <v>38555903</v>
      </c>
      <c r="G729" s="218">
        <v>38555903</v>
      </c>
      <c r="H729" s="147" t="str">
        <f t="shared" si="12"/>
        <v>07030110000000</v>
      </c>
    </row>
    <row r="730" spans="1:8" ht="140.25">
      <c r="A730" s="212" t="s">
        <v>503</v>
      </c>
      <c r="B730" s="278" t="s">
        <v>248</v>
      </c>
      <c r="C730" s="278" t="s">
        <v>1241</v>
      </c>
      <c r="D730" s="278" t="s">
        <v>882</v>
      </c>
      <c r="E730" s="278" t="s">
        <v>1468</v>
      </c>
      <c r="F730" s="218">
        <v>30350679</v>
      </c>
      <c r="G730" s="218">
        <v>30350679</v>
      </c>
      <c r="H730" s="147" t="str">
        <f t="shared" si="12"/>
        <v>07030110040030</v>
      </c>
    </row>
    <row r="731" spans="1:8" ht="76.5">
      <c r="A731" s="212" t="s">
        <v>1754</v>
      </c>
      <c r="B731" s="278" t="s">
        <v>248</v>
      </c>
      <c r="C731" s="278" t="s">
        <v>1241</v>
      </c>
      <c r="D731" s="278" t="s">
        <v>882</v>
      </c>
      <c r="E731" s="278" t="s">
        <v>322</v>
      </c>
      <c r="F731" s="218">
        <v>17358400</v>
      </c>
      <c r="G731" s="218">
        <v>17358400</v>
      </c>
      <c r="H731" s="147" t="str">
        <f t="shared" si="12"/>
        <v>07030110040030100</v>
      </c>
    </row>
    <row r="732" spans="1:8" ht="25.5">
      <c r="A732" s="212" t="s">
        <v>1487</v>
      </c>
      <c r="B732" s="278" t="s">
        <v>248</v>
      </c>
      <c r="C732" s="278" t="s">
        <v>1241</v>
      </c>
      <c r="D732" s="278" t="s">
        <v>882</v>
      </c>
      <c r="E732" s="278" t="s">
        <v>165</v>
      </c>
      <c r="F732" s="218">
        <v>17358400</v>
      </c>
      <c r="G732" s="218">
        <v>17358400</v>
      </c>
      <c r="H732" s="147" t="str">
        <f t="shared" si="12"/>
        <v>07030110040030110</v>
      </c>
    </row>
    <row r="733" spans="1:8">
      <c r="A733" s="212" t="s">
        <v>1360</v>
      </c>
      <c r="B733" s="278" t="s">
        <v>248</v>
      </c>
      <c r="C733" s="278" t="s">
        <v>1241</v>
      </c>
      <c r="D733" s="278" t="s">
        <v>882</v>
      </c>
      <c r="E733" s="278" t="s">
        <v>430</v>
      </c>
      <c r="F733" s="218">
        <v>13255300</v>
      </c>
      <c r="G733" s="218">
        <v>13255300</v>
      </c>
      <c r="H733" s="147" t="str">
        <f t="shared" si="12"/>
        <v>07030110040030111</v>
      </c>
    </row>
    <row r="734" spans="1:8" ht="25.5">
      <c r="A734" s="212" t="s">
        <v>1369</v>
      </c>
      <c r="B734" s="278" t="s">
        <v>248</v>
      </c>
      <c r="C734" s="278" t="s">
        <v>1241</v>
      </c>
      <c r="D734" s="278" t="s">
        <v>882</v>
      </c>
      <c r="E734" s="278" t="s">
        <v>479</v>
      </c>
      <c r="F734" s="218">
        <v>100000</v>
      </c>
      <c r="G734" s="218">
        <v>100000</v>
      </c>
      <c r="H734" s="147" t="str">
        <f t="shared" si="12"/>
        <v>07030110040030112</v>
      </c>
    </row>
    <row r="735" spans="1:8" ht="51">
      <c r="A735" s="212" t="s">
        <v>1361</v>
      </c>
      <c r="B735" s="278" t="s">
        <v>248</v>
      </c>
      <c r="C735" s="278" t="s">
        <v>1241</v>
      </c>
      <c r="D735" s="278" t="s">
        <v>882</v>
      </c>
      <c r="E735" s="278" t="s">
        <v>1197</v>
      </c>
      <c r="F735" s="218">
        <v>4003100</v>
      </c>
      <c r="G735" s="218">
        <v>4003100</v>
      </c>
      <c r="H735" s="147" t="str">
        <f t="shared" si="12"/>
        <v>07030110040030119</v>
      </c>
    </row>
    <row r="736" spans="1:8" ht="38.25">
      <c r="A736" s="212" t="s">
        <v>1755</v>
      </c>
      <c r="B736" s="278" t="s">
        <v>248</v>
      </c>
      <c r="C736" s="278" t="s">
        <v>1241</v>
      </c>
      <c r="D736" s="278" t="s">
        <v>882</v>
      </c>
      <c r="E736" s="278" t="s">
        <v>1756</v>
      </c>
      <c r="F736" s="218">
        <v>685000</v>
      </c>
      <c r="G736" s="218">
        <v>685000</v>
      </c>
      <c r="H736" s="147" t="str">
        <f t="shared" si="12"/>
        <v>07030110040030200</v>
      </c>
    </row>
    <row r="737" spans="1:8" ht="38.25">
      <c r="A737" s="212" t="s">
        <v>1502</v>
      </c>
      <c r="B737" s="278" t="s">
        <v>248</v>
      </c>
      <c r="C737" s="278" t="s">
        <v>1241</v>
      </c>
      <c r="D737" s="278" t="s">
        <v>882</v>
      </c>
      <c r="E737" s="278" t="s">
        <v>1503</v>
      </c>
      <c r="F737" s="218">
        <v>685000</v>
      </c>
      <c r="G737" s="218">
        <v>685000</v>
      </c>
      <c r="H737" s="147" t="str">
        <f t="shared" si="12"/>
        <v>07030110040030240</v>
      </c>
    </row>
    <row r="738" spans="1:8">
      <c r="A738" s="212" t="s">
        <v>1577</v>
      </c>
      <c r="B738" s="278" t="s">
        <v>248</v>
      </c>
      <c r="C738" s="278" t="s">
        <v>1241</v>
      </c>
      <c r="D738" s="278" t="s">
        <v>882</v>
      </c>
      <c r="E738" s="278" t="s">
        <v>416</v>
      </c>
      <c r="F738" s="218">
        <v>685000</v>
      </c>
      <c r="G738" s="218">
        <v>685000</v>
      </c>
      <c r="H738" s="147" t="str">
        <f t="shared" si="12"/>
        <v>07030110040030244</v>
      </c>
    </row>
    <row r="739" spans="1:8" ht="38.25">
      <c r="A739" s="212" t="s">
        <v>1763</v>
      </c>
      <c r="B739" s="278" t="s">
        <v>248</v>
      </c>
      <c r="C739" s="278" t="s">
        <v>1241</v>
      </c>
      <c r="D739" s="278" t="s">
        <v>882</v>
      </c>
      <c r="E739" s="278" t="s">
        <v>1764</v>
      </c>
      <c r="F739" s="218">
        <v>12307279</v>
      </c>
      <c r="G739" s="218">
        <v>12307279</v>
      </c>
      <c r="H739" s="147" t="str">
        <f t="shared" si="12"/>
        <v>07030110040030600</v>
      </c>
    </row>
    <row r="740" spans="1:8">
      <c r="A740" s="212" t="s">
        <v>1504</v>
      </c>
      <c r="B740" s="278" t="s">
        <v>248</v>
      </c>
      <c r="C740" s="278" t="s">
        <v>1241</v>
      </c>
      <c r="D740" s="278" t="s">
        <v>882</v>
      </c>
      <c r="E740" s="278" t="s">
        <v>1505</v>
      </c>
      <c r="F740" s="218">
        <v>12307279</v>
      </c>
      <c r="G740" s="218">
        <v>12307279</v>
      </c>
      <c r="H740" s="147" t="str">
        <f t="shared" si="12"/>
        <v>07030110040030610</v>
      </c>
    </row>
    <row r="741" spans="1:8" ht="76.5">
      <c r="A741" s="212" t="s">
        <v>435</v>
      </c>
      <c r="B741" s="278" t="s">
        <v>248</v>
      </c>
      <c r="C741" s="278" t="s">
        <v>1241</v>
      </c>
      <c r="D741" s="278" t="s">
        <v>882</v>
      </c>
      <c r="E741" s="278" t="s">
        <v>436</v>
      </c>
      <c r="F741" s="218">
        <v>12307279</v>
      </c>
      <c r="G741" s="218">
        <v>12307279</v>
      </c>
      <c r="H741" s="147" t="str">
        <f t="shared" si="12"/>
        <v>07030110040030611</v>
      </c>
    </row>
    <row r="742" spans="1:8" ht="191.25">
      <c r="A742" s="212" t="s">
        <v>685</v>
      </c>
      <c r="B742" s="278" t="s">
        <v>248</v>
      </c>
      <c r="C742" s="278" t="s">
        <v>1241</v>
      </c>
      <c r="D742" s="278" t="s">
        <v>883</v>
      </c>
      <c r="E742" s="278" t="s">
        <v>1468</v>
      </c>
      <c r="F742" s="218">
        <v>3613400</v>
      </c>
      <c r="G742" s="218">
        <v>3613400</v>
      </c>
      <c r="H742" s="147" t="str">
        <f t="shared" ref="H742:H805" si="13">CONCATENATE(C742,,D742,E742)</f>
        <v>07030110041030</v>
      </c>
    </row>
    <row r="743" spans="1:8" ht="76.5">
      <c r="A743" s="212" t="s">
        <v>1754</v>
      </c>
      <c r="B743" s="278" t="s">
        <v>248</v>
      </c>
      <c r="C743" s="278" t="s">
        <v>1241</v>
      </c>
      <c r="D743" s="278" t="s">
        <v>883</v>
      </c>
      <c r="E743" s="278" t="s">
        <v>322</v>
      </c>
      <c r="F743" s="218">
        <v>2213400</v>
      </c>
      <c r="G743" s="218">
        <v>2213400</v>
      </c>
      <c r="H743" s="147" t="str">
        <f t="shared" si="13"/>
        <v>07030110041030100</v>
      </c>
    </row>
    <row r="744" spans="1:8" ht="25.5">
      <c r="A744" s="212" t="s">
        <v>1487</v>
      </c>
      <c r="B744" s="278" t="s">
        <v>248</v>
      </c>
      <c r="C744" s="278" t="s">
        <v>1241</v>
      </c>
      <c r="D744" s="278" t="s">
        <v>883</v>
      </c>
      <c r="E744" s="278" t="s">
        <v>165</v>
      </c>
      <c r="F744" s="218">
        <v>2213400</v>
      </c>
      <c r="G744" s="218">
        <v>2213400</v>
      </c>
      <c r="H744" s="147" t="str">
        <f t="shared" si="13"/>
        <v>07030110041030110</v>
      </c>
    </row>
    <row r="745" spans="1:8">
      <c r="A745" s="212" t="s">
        <v>1360</v>
      </c>
      <c r="B745" s="278" t="s">
        <v>248</v>
      </c>
      <c r="C745" s="278" t="s">
        <v>1241</v>
      </c>
      <c r="D745" s="278" t="s">
        <v>883</v>
      </c>
      <c r="E745" s="278" t="s">
        <v>430</v>
      </c>
      <c r="F745" s="218">
        <v>1700000</v>
      </c>
      <c r="G745" s="218">
        <v>1700000</v>
      </c>
      <c r="H745" s="147" t="str">
        <f t="shared" si="13"/>
        <v>07030110041030111</v>
      </c>
    </row>
    <row r="746" spans="1:8" ht="51">
      <c r="A746" s="212" t="s">
        <v>1361</v>
      </c>
      <c r="B746" s="278" t="s">
        <v>248</v>
      </c>
      <c r="C746" s="278" t="s">
        <v>1241</v>
      </c>
      <c r="D746" s="278" t="s">
        <v>883</v>
      </c>
      <c r="E746" s="278" t="s">
        <v>1197</v>
      </c>
      <c r="F746" s="218">
        <v>513400</v>
      </c>
      <c r="G746" s="218">
        <v>513400</v>
      </c>
      <c r="H746" s="147" t="str">
        <f t="shared" si="13"/>
        <v>07030110041030119</v>
      </c>
    </row>
    <row r="747" spans="1:8" ht="38.25">
      <c r="A747" s="212" t="s">
        <v>1763</v>
      </c>
      <c r="B747" s="278" t="s">
        <v>248</v>
      </c>
      <c r="C747" s="278" t="s">
        <v>1241</v>
      </c>
      <c r="D747" s="278" t="s">
        <v>883</v>
      </c>
      <c r="E747" s="278" t="s">
        <v>1764</v>
      </c>
      <c r="F747" s="218">
        <v>1400000</v>
      </c>
      <c r="G747" s="218">
        <v>1400000</v>
      </c>
      <c r="H747" s="147" t="str">
        <f t="shared" si="13"/>
        <v>07030110041030600</v>
      </c>
    </row>
    <row r="748" spans="1:8">
      <c r="A748" s="212" t="s">
        <v>1504</v>
      </c>
      <c r="B748" s="278" t="s">
        <v>248</v>
      </c>
      <c r="C748" s="278" t="s">
        <v>1241</v>
      </c>
      <c r="D748" s="278" t="s">
        <v>883</v>
      </c>
      <c r="E748" s="278" t="s">
        <v>1505</v>
      </c>
      <c r="F748" s="218">
        <v>1400000</v>
      </c>
      <c r="G748" s="218">
        <v>1400000</v>
      </c>
      <c r="H748" s="147" t="str">
        <f t="shared" si="13"/>
        <v>07030110041030610</v>
      </c>
    </row>
    <row r="749" spans="1:8" ht="76.5">
      <c r="A749" s="212" t="s">
        <v>435</v>
      </c>
      <c r="B749" s="278" t="s">
        <v>248</v>
      </c>
      <c r="C749" s="278" t="s">
        <v>1241</v>
      </c>
      <c r="D749" s="278" t="s">
        <v>883</v>
      </c>
      <c r="E749" s="278" t="s">
        <v>436</v>
      </c>
      <c r="F749" s="218">
        <v>1400000</v>
      </c>
      <c r="G749" s="218">
        <v>1400000</v>
      </c>
      <c r="H749" s="147" t="str">
        <f t="shared" si="13"/>
        <v>07030110041030611</v>
      </c>
    </row>
    <row r="750" spans="1:8" ht="153">
      <c r="A750" s="212" t="s">
        <v>686</v>
      </c>
      <c r="B750" s="278" t="s">
        <v>248</v>
      </c>
      <c r="C750" s="278" t="s">
        <v>1241</v>
      </c>
      <c r="D750" s="278" t="s">
        <v>884</v>
      </c>
      <c r="E750" s="278" t="s">
        <v>1468</v>
      </c>
      <c r="F750" s="218">
        <v>55200</v>
      </c>
      <c r="G750" s="218">
        <v>55200</v>
      </c>
      <c r="H750" s="147" t="str">
        <f t="shared" si="13"/>
        <v>07030110045030</v>
      </c>
    </row>
    <row r="751" spans="1:8" ht="38.25">
      <c r="A751" s="212" t="s">
        <v>1763</v>
      </c>
      <c r="B751" s="278" t="s">
        <v>248</v>
      </c>
      <c r="C751" s="278" t="s">
        <v>1241</v>
      </c>
      <c r="D751" s="278" t="s">
        <v>884</v>
      </c>
      <c r="E751" s="278" t="s">
        <v>1764</v>
      </c>
      <c r="F751" s="218">
        <v>55200</v>
      </c>
      <c r="G751" s="218">
        <v>55200</v>
      </c>
      <c r="H751" s="147" t="str">
        <f t="shared" si="13"/>
        <v>07030110045030600</v>
      </c>
    </row>
    <row r="752" spans="1:8">
      <c r="A752" s="212" t="s">
        <v>1504</v>
      </c>
      <c r="B752" s="278" t="s">
        <v>248</v>
      </c>
      <c r="C752" s="278" t="s">
        <v>1241</v>
      </c>
      <c r="D752" s="278" t="s">
        <v>884</v>
      </c>
      <c r="E752" s="278" t="s">
        <v>1505</v>
      </c>
      <c r="F752" s="218">
        <v>55200</v>
      </c>
      <c r="G752" s="218">
        <v>55200</v>
      </c>
      <c r="H752" s="147" t="str">
        <f t="shared" si="13"/>
        <v>07030110045030610</v>
      </c>
    </row>
    <row r="753" spans="1:8" ht="76.5">
      <c r="A753" s="212" t="s">
        <v>435</v>
      </c>
      <c r="B753" s="278" t="s">
        <v>248</v>
      </c>
      <c r="C753" s="278" t="s">
        <v>1241</v>
      </c>
      <c r="D753" s="278" t="s">
        <v>884</v>
      </c>
      <c r="E753" s="278" t="s">
        <v>436</v>
      </c>
      <c r="F753" s="218">
        <v>55200</v>
      </c>
      <c r="G753" s="218">
        <v>55200</v>
      </c>
      <c r="H753" s="147" t="str">
        <f t="shared" si="13"/>
        <v>07030110045030611</v>
      </c>
    </row>
    <row r="754" spans="1:8" ht="140.25">
      <c r="A754" s="212" t="s">
        <v>688</v>
      </c>
      <c r="B754" s="278" t="s">
        <v>248</v>
      </c>
      <c r="C754" s="278" t="s">
        <v>1241</v>
      </c>
      <c r="D754" s="278" t="s">
        <v>887</v>
      </c>
      <c r="E754" s="278" t="s">
        <v>1468</v>
      </c>
      <c r="F754" s="218">
        <v>330000</v>
      </c>
      <c r="G754" s="218">
        <v>330000</v>
      </c>
      <c r="H754" s="147" t="str">
        <f t="shared" si="13"/>
        <v>07030110047030</v>
      </c>
    </row>
    <row r="755" spans="1:8" ht="76.5">
      <c r="A755" s="212" t="s">
        <v>1754</v>
      </c>
      <c r="B755" s="278" t="s">
        <v>248</v>
      </c>
      <c r="C755" s="278" t="s">
        <v>1241</v>
      </c>
      <c r="D755" s="278" t="s">
        <v>887</v>
      </c>
      <c r="E755" s="278" t="s">
        <v>322</v>
      </c>
      <c r="F755" s="218">
        <v>250000</v>
      </c>
      <c r="G755" s="218">
        <v>250000</v>
      </c>
      <c r="H755" s="147" t="str">
        <f t="shared" si="13"/>
        <v>07030110047030100</v>
      </c>
    </row>
    <row r="756" spans="1:8" ht="25.5">
      <c r="A756" s="212" t="s">
        <v>1487</v>
      </c>
      <c r="B756" s="278" t="s">
        <v>248</v>
      </c>
      <c r="C756" s="278" t="s">
        <v>1241</v>
      </c>
      <c r="D756" s="278" t="s">
        <v>887</v>
      </c>
      <c r="E756" s="278" t="s">
        <v>165</v>
      </c>
      <c r="F756" s="218">
        <v>250000</v>
      </c>
      <c r="G756" s="218">
        <v>250000</v>
      </c>
      <c r="H756" s="147" t="str">
        <f t="shared" si="13"/>
        <v>07030110047030110</v>
      </c>
    </row>
    <row r="757" spans="1:8" ht="25.5">
      <c r="A757" s="212" t="s">
        <v>1369</v>
      </c>
      <c r="B757" s="278" t="s">
        <v>248</v>
      </c>
      <c r="C757" s="278" t="s">
        <v>1241</v>
      </c>
      <c r="D757" s="278" t="s">
        <v>887</v>
      </c>
      <c r="E757" s="278" t="s">
        <v>479</v>
      </c>
      <c r="F757" s="218">
        <v>250000</v>
      </c>
      <c r="G757" s="218">
        <v>250000</v>
      </c>
      <c r="H757" s="147" t="str">
        <f t="shared" si="13"/>
        <v>07030110047030112</v>
      </c>
    </row>
    <row r="758" spans="1:8" ht="38.25">
      <c r="A758" s="212" t="s">
        <v>1763</v>
      </c>
      <c r="B758" s="278" t="s">
        <v>248</v>
      </c>
      <c r="C758" s="278" t="s">
        <v>1241</v>
      </c>
      <c r="D758" s="278" t="s">
        <v>887</v>
      </c>
      <c r="E758" s="278" t="s">
        <v>1764</v>
      </c>
      <c r="F758" s="218">
        <v>80000</v>
      </c>
      <c r="G758" s="218">
        <v>80000</v>
      </c>
      <c r="H758" s="147" t="str">
        <f t="shared" si="13"/>
        <v>07030110047030600</v>
      </c>
    </row>
    <row r="759" spans="1:8">
      <c r="A759" s="212" t="s">
        <v>1504</v>
      </c>
      <c r="B759" s="278" t="s">
        <v>248</v>
      </c>
      <c r="C759" s="278" t="s">
        <v>1241</v>
      </c>
      <c r="D759" s="278" t="s">
        <v>887</v>
      </c>
      <c r="E759" s="278" t="s">
        <v>1505</v>
      </c>
      <c r="F759" s="218">
        <v>80000</v>
      </c>
      <c r="G759" s="218">
        <v>80000</v>
      </c>
      <c r="H759" s="147" t="str">
        <f t="shared" si="13"/>
        <v>07030110047030610</v>
      </c>
    </row>
    <row r="760" spans="1:8" ht="25.5">
      <c r="A760" s="212" t="s">
        <v>454</v>
      </c>
      <c r="B760" s="278" t="s">
        <v>248</v>
      </c>
      <c r="C760" s="278" t="s">
        <v>1241</v>
      </c>
      <c r="D760" s="278" t="s">
        <v>887</v>
      </c>
      <c r="E760" s="278" t="s">
        <v>455</v>
      </c>
      <c r="F760" s="218">
        <v>80000</v>
      </c>
      <c r="G760" s="218">
        <v>80000</v>
      </c>
      <c r="H760" s="147" t="str">
        <f t="shared" si="13"/>
        <v>07030110047030612</v>
      </c>
    </row>
    <row r="761" spans="1:8" ht="153">
      <c r="A761" s="212" t="s">
        <v>690</v>
      </c>
      <c r="B761" s="278" t="s">
        <v>248</v>
      </c>
      <c r="C761" s="278" t="s">
        <v>1241</v>
      </c>
      <c r="D761" s="278" t="s">
        <v>888</v>
      </c>
      <c r="E761" s="278" t="s">
        <v>1468</v>
      </c>
      <c r="F761" s="218">
        <v>2768144</v>
      </c>
      <c r="G761" s="218">
        <v>2768144</v>
      </c>
      <c r="H761" s="147" t="str">
        <f t="shared" si="13"/>
        <v>0703011004Г030</v>
      </c>
    </row>
    <row r="762" spans="1:8" ht="38.25">
      <c r="A762" s="212" t="s">
        <v>1755</v>
      </c>
      <c r="B762" s="278" t="s">
        <v>248</v>
      </c>
      <c r="C762" s="278" t="s">
        <v>1241</v>
      </c>
      <c r="D762" s="278" t="s">
        <v>888</v>
      </c>
      <c r="E762" s="278" t="s">
        <v>1756</v>
      </c>
      <c r="F762" s="218">
        <v>1577009</v>
      </c>
      <c r="G762" s="218">
        <v>1577009</v>
      </c>
      <c r="H762" s="147" t="str">
        <f t="shared" si="13"/>
        <v>0703011004Г030200</v>
      </c>
    </row>
    <row r="763" spans="1:8" ht="38.25">
      <c r="A763" s="212" t="s">
        <v>1502</v>
      </c>
      <c r="B763" s="278" t="s">
        <v>248</v>
      </c>
      <c r="C763" s="278" t="s">
        <v>1241</v>
      </c>
      <c r="D763" s="278" t="s">
        <v>888</v>
      </c>
      <c r="E763" s="278" t="s">
        <v>1503</v>
      </c>
      <c r="F763" s="218">
        <v>1577009</v>
      </c>
      <c r="G763" s="218">
        <v>1577009</v>
      </c>
      <c r="H763" s="147" t="str">
        <f t="shared" si="13"/>
        <v>0703011004Г030240</v>
      </c>
    </row>
    <row r="764" spans="1:8">
      <c r="A764" s="212" t="s">
        <v>1577</v>
      </c>
      <c r="B764" s="278" t="s">
        <v>248</v>
      </c>
      <c r="C764" s="278" t="s">
        <v>1241</v>
      </c>
      <c r="D764" s="278" t="s">
        <v>888</v>
      </c>
      <c r="E764" s="278" t="s">
        <v>416</v>
      </c>
      <c r="F764" s="218">
        <v>1577009</v>
      </c>
      <c r="G764" s="218">
        <v>1577009</v>
      </c>
      <c r="H764" s="147" t="str">
        <f t="shared" si="13"/>
        <v>0703011004Г030244</v>
      </c>
    </row>
    <row r="765" spans="1:8" ht="38.25">
      <c r="A765" s="212" t="s">
        <v>1763</v>
      </c>
      <c r="B765" s="278" t="s">
        <v>248</v>
      </c>
      <c r="C765" s="278" t="s">
        <v>1241</v>
      </c>
      <c r="D765" s="278" t="s">
        <v>888</v>
      </c>
      <c r="E765" s="278" t="s">
        <v>1764</v>
      </c>
      <c r="F765" s="218">
        <v>1191135</v>
      </c>
      <c r="G765" s="218">
        <v>1191135</v>
      </c>
      <c r="H765" s="147" t="str">
        <f t="shared" si="13"/>
        <v>0703011004Г030600</v>
      </c>
    </row>
    <row r="766" spans="1:8">
      <c r="A766" s="212" t="s">
        <v>1504</v>
      </c>
      <c r="B766" s="278" t="s">
        <v>248</v>
      </c>
      <c r="C766" s="278" t="s">
        <v>1241</v>
      </c>
      <c r="D766" s="278" t="s">
        <v>888</v>
      </c>
      <c r="E766" s="278" t="s">
        <v>1505</v>
      </c>
      <c r="F766" s="218">
        <v>1191135</v>
      </c>
      <c r="G766" s="218">
        <v>1191135</v>
      </c>
      <c r="H766" s="147" t="str">
        <f t="shared" si="13"/>
        <v>0703011004Г030610</v>
      </c>
    </row>
    <row r="767" spans="1:8" ht="76.5">
      <c r="A767" s="212" t="s">
        <v>435</v>
      </c>
      <c r="B767" s="278" t="s">
        <v>248</v>
      </c>
      <c r="C767" s="278" t="s">
        <v>1241</v>
      </c>
      <c r="D767" s="278" t="s">
        <v>888</v>
      </c>
      <c r="E767" s="278" t="s">
        <v>436</v>
      </c>
      <c r="F767" s="218">
        <v>1191135</v>
      </c>
      <c r="G767" s="218">
        <v>1191135</v>
      </c>
      <c r="H767" s="147" t="str">
        <f t="shared" si="13"/>
        <v>0703011004Г030611</v>
      </c>
    </row>
    <row r="768" spans="1:8" ht="127.5">
      <c r="A768" s="212" t="s">
        <v>1099</v>
      </c>
      <c r="B768" s="278" t="s">
        <v>248</v>
      </c>
      <c r="C768" s="278" t="s">
        <v>1241</v>
      </c>
      <c r="D768" s="278" t="s">
        <v>1100</v>
      </c>
      <c r="E768" s="278" t="s">
        <v>1468</v>
      </c>
      <c r="F768" s="218">
        <v>396480</v>
      </c>
      <c r="G768" s="218">
        <v>396480</v>
      </c>
      <c r="H768" s="147" t="str">
        <f t="shared" si="13"/>
        <v>0703011004Э030</v>
      </c>
    </row>
    <row r="769" spans="1:8" ht="38.25">
      <c r="A769" s="212" t="s">
        <v>1755</v>
      </c>
      <c r="B769" s="278" t="s">
        <v>248</v>
      </c>
      <c r="C769" s="278" t="s">
        <v>1241</v>
      </c>
      <c r="D769" s="278" t="s">
        <v>1100</v>
      </c>
      <c r="E769" s="278" t="s">
        <v>1756</v>
      </c>
      <c r="F769" s="218">
        <v>253743</v>
      </c>
      <c r="G769" s="218">
        <v>253743</v>
      </c>
      <c r="H769" s="147" t="str">
        <f t="shared" si="13"/>
        <v>0703011004Э030200</v>
      </c>
    </row>
    <row r="770" spans="1:8" ht="38.25">
      <c r="A770" s="212" t="s">
        <v>1502</v>
      </c>
      <c r="B770" s="278" t="s">
        <v>248</v>
      </c>
      <c r="C770" s="278" t="s">
        <v>1241</v>
      </c>
      <c r="D770" s="278" t="s">
        <v>1100</v>
      </c>
      <c r="E770" s="278" t="s">
        <v>1503</v>
      </c>
      <c r="F770" s="218">
        <v>253743</v>
      </c>
      <c r="G770" s="218">
        <v>253743</v>
      </c>
      <c r="H770" s="147" t="str">
        <f t="shared" si="13"/>
        <v>0703011004Э030240</v>
      </c>
    </row>
    <row r="771" spans="1:8">
      <c r="A771" s="212" t="s">
        <v>1577</v>
      </c>
      <c r="B771" s="278" t="s">
        <v>248</v>
      </c>
      <c r="C771" s="278" t="s">
        <v>1241</v>
      </c>
      <c r="D771" s="278" t="s">
        <v>1100</v>
      </c>
      <c r="E771" s="278" t="s">
        <v>416</v>
      </c>
      <c r="F771" s="218">
        <v>253743</v>
      </c>
      <c r="G771" s="218">
        <v>253743</v>
      </c>
      <c r="H771" s="147" t="str">
        <f t="shared" si="13"/>
        <v>0703011004Э030244</v>
      </c>
    </row>
    <row r="772" spans="1:8" ht="38.25">
      <c r="A772" s="212" t="s">
        <v>1763</v>
      </c>
      <c r="B772" s="278" t="s">
        <v>248</v>
      </c>
      <c r="C772" s="278" t="s">
        <v>1241</v>
      </c>
      <c r="D772" s="278" t="s">
        <v>1100</v>
      </c>
      <c r="E772" s="278" t="s">
        <v>1764</v>
      </c>
      <c r="F772" s="218">
        <v>142737</v>
      </c>
      <c r="G772" s="218">
        <v>142737</v>
      </c>
      <c r="H772" s="147" t="str">
        <f t="shared" si="13"/>
        <v>0703011004Э030600</v>
      </c>
    </row>
    <row r="773" spans="1:8">
      <c r="A773" s="212" t="s">
        <v>1504</v>
      </c>
      <c r="B773" s="278" t="s">
        <v>248</v>
      </c>
      <c r="C773" s="278" t="s">
        <v>1241</v>
      </c>
      <c r="D773" s="278" t="s">
        <v>1100</v>
      </c>
      <c r="E773" s="278" t="s">
        <v>1505</v>
      </c>
      <c r="F773" s="218">
        <v>142737</v>
      </c>
      <c r="G773" s="218">
        <v>142737</v>
      </c>
      <c r="H773" s="147" t="str">
        <f t="shared" si="13"/>
        <v>0703011004Э030610</v>
      </c>
    </row>
    <row r="774" spans="1:8" ht="76.5">
      <c r="A774" s="212" t="s">
        <v>435</v>
      </c>
      <c r="B774" s="278" t="s">
        <v>248</v>
      </c>
      <c r="C774" s="278" t="s">
        <v>1241</v>
      </c>
      <c r="D774" s="278" t="s">
        <v>1100</v>
      </c>
      <c r="E774" s="278" t="s">
        <v>436</v>
      </c>
      <c r="F774" s="218">
        <v>142737</v>
      </c>
      <c r="G774" s="218">
        <v>142737</v>
      </c>
      <c r="H774" s="147" t="str">
        <f t="shared" si="13"/>
        <v>0703011004Э030611</v>
      </c>
    </row>
    <row r="775" spans="1:8" ht="89.25">
      <c r="A775" s="212" t="s">
        <v>500</v>
      </c>
      <c r="B775" s="278" t="s">
        <v>248</v>
      </c>
      <c r="C775" s="278" t="s">
        <v>1241</v>
      </c>
      <c r="D775" s="278" t="s">
        <v>889</v>
      </c>
      <c r="E775" s="278" t="s">
        <v>1468</v>
      </c>
      <c r="F775" s="218">
        <v>1042000</v>
      </c>
      <c r="G775" s="218">
        <v>1042000</v>
      </c>
      <c r="H775" s="147" t="str">
        <f t="shared" si="13"/>
        <v>07030110080020</v>
      </c>
    </row>
    <row r="776" spans="1:8" ht="38.25">
      <c r="A776" s="212" t="s">
        <v>1755</v>
      </c>
      <c r="B776" s="278" t="s">
        <v>248</v>
      </c>
      <c r="C776" s="278" t="s">
        <v>1241</v>
      </c>
      <c r="D776" s="278" t="s">
        <v>889</v>
      </c>
      <c r="E776" s="278" t="s">
        <v>1756</v>
      </c>
      <c r="F776" s="218">
        <v>580000</v>
      </c>
      <c r="G776" s="218">
        <v>580000</v>
      </c>
      <c r="H776" s="147" t="str">
        <f t="shared" si="13"/>
        <v>07030110080020200</v>
      </c>
    </row>
    <row r="777" spans="1:8" ht="38.25">
      <c r="A777" s="212" t="s">
        <v>1502</v>
      </c>
      <c r="B777" s="278" t="s">
        <v>248</v>
      </c>
      <c r="C777" s="278" t="s">
        <v>1241</v>
      </c>
      <c r="D777" s="278" t="s">
        <v>889</v>
      </c>
      <c r="E777" s="278" t="s">
        <v>1503</v>
      </c>
      <c r="F777" s="218">
        <v>580000</v>
      </c>
      <c r="G777" s="218">
        <v>580000</v>
      </c>
      <c r="H777" s="147" t="str">
        <f t="shared" si="13"/>
        <v>07030110080020240</v>
      </c>
    </row>
    <row r="778" spans="1:8">
      <c r="A778" s="212" t="s">
        <v>1577</v>
      </c>
      <c r="B778" s="278" t="s">
        <v>248</v>
      </c>
      <c r="C778" s="278" t="s">
        <v>1241</v>
      </c>
      <c r="D778" s="278" t="s">
        <v>889</v>
      </c>
      <c r="E778" s="278" t="s">
        <v>416</v>
      </c>
      <c r="F778" s="218">
        <v>580000</v>
      </c>
      <c r="G778" s="218">
        <v>580000</v>
      </c>
      <c r="H778" s="147" t="str">
        <f t="shared" si="13"/>
        <v>07030110080020244</v>
      </c>
    </row>
    <row r="779" spans="1:8" ht="38.25">
      <c r="A779" s="212" t="s">
        <v>1763</v>
      </c>
      <c r="B779" s="278" t="s">
        <v>248</v>
      </c>
      <c r="C779" s="278" t="s">
        <v>1241</v>
      </c>
      <c r="D779" s="278" t="s">
        <v>889</v>
      </c>
      <c r="E779" s="278" t="s">
        <v>1764</v>
      </c>
      <c r="F779" s="218">
        <v>462000</v>
      </c>
      <c r="G779" s="218">
        <v>462000</v>
      </c>
      <c r="H779" s="147" t="str">
        <f t="shared" si="13"/>
        <v>07030110080020600</v>
      </c>
    </row>
    <row r="780" spans="1:8">
      <c r="A780" s="212" t="s">
        <v>1504</v>
      </c>
      <c r="B780" s="278" t="s">
        <v>248</v>
      </c>
      <c r="C780" s="278" t="s">
        <v>1241</v>
      </c>
      <c r="D780" s="278" t="s">
        <v>889</v>
      </c>
      <c r="E780" s="278" t="s">
        <v>1505</v>
      </c>
      <c r="F780" s="218">
        <v>462000</v>
      </c>
      <c r="G780" s="218">
        <v>462000</v>
      </c>
      <c r="H780" s="147" t="str">
        <f t="shared" si="13"/>
        <v>07030110080020610</v>
      </c>
    </row>
    <row r="781" spans="1:8" ht="25.5">
      <c r="A781" s="212" t="s">
        <v>454</v>
      </c>
      <c r="B781" s="278" t="s">
        <v>248</v>
      </c>
      <c r="C781" s="278" t="s">
        <v>1241</v>
      </c>
      <c r="D781" s="278" t="s">
        <v>889</v>
      </c>
      <c r="E781" s="278" t="s">
        <v>455</v>
      </c>
      <c r="F781" s="218">
        <v>462000</v>
      </c>
      <c r="G781" s="218">
        <v>462000</v>
      </c>
      <c r="H781" s="147" t="str">
        <f t="shared" si="13"/>
        <v>07030110080020612</v>
      </c>
    </row>
    <row r="782" spans="1:8" ht="38.25">
      <c r="A782" s="212" t="s">
        <v>576</v>
      </c>
      <c r="B782" s="278" t="s">
        <v>248</v>
      </c>
      <c r="C782" s="278" t="s">
        <v>1241</v>
      </c>
      <c r="D782" s="278" t="s">
        <v>1133</v>
      </c>
      <c r="E782" s="278" t="s">
        <v>1468</v>
      </c>
      <c r="F782" s="218">
        <v>53010</v>
      </c>
      <c r="G782" s="218">
        <v>53010</v>
      </c>
      <c r="H782" s="147" t="str">
        <f t="shared" si="13"/>
        <v>07030900000000</v>
      </c>
    </row>
    <row r="783" spans="1:8" ht="25.5">
      <c r="A783" s="212" t="s">
        <v>581</v>
      </c>
      <c r="B783" s="278" t="s">
        <v>248</v>
      </c>
      <c r="C783" s="278" t="s">
        <v>1241</v>
      </c>
      <c r="D783" s="278" t="s">
        <v>1136</v>
      </c>
      <c r="E783" s="278" t="s">
        <v>1468</v>
      </c>
      <c r="F783" s="218">
        <v>53010</v>
      </c>
      <c r="G783" s="218">
        <v>53010</v>
      </c>
      <c r="H783" s="147" t="str">
        <f t="shared" si="13"/>
        <v>07030930000000</v>
      </c>
    </row>
    <row r="784" spans="1:8" ht="76.5">
      <c r="A784" s="212" t="s">
        <v>496</v>
      </c>
      <c r="B784" s="278" t="s">
        <v>248</v>
      </c>
      <c r="C784" s="278" t="s">
        <v>1241</v>
      </c>
      <c r="D784" s="278" t="s">
        <v>894</v>
      </c>
      <c r="E784" s="278" t="s">
        <v>1468</v>
      </c>
      <c r="F784" s="218">
        <v>53010</v>
      </c>
      <c r="G784" s="218">
        <v>53010</v>
      </c>
      <c r="H784" s="147" t="str">
        <f t="shared" si="13"/>
        <v>07030930080010</v>
      </c>
    </row>
    <row r="785" spans="1:8" ht="38.25">
      <c r="A785" s="212" t="s">
        <v>1755</v>
      </c>
      <c r="B785" s="278" t="s">
        <v>248</v>
      </c>
      <c r="C785" s="278" t="s">
        <v>1241</v>
      </c>
      <c r="D785" s="278" t="s">
        <v>894</v>
      </c>
      <c r="E785" s="278" t="s">
        <v>1756</v>
      </c>
      <c r="F785" s="218">
        <v>53010</v>
      </c>
      <c r="G785" s="218">
        <v>53010</v>
      </c>
      <c r="H785" s="147" t="str">
        <f t="shared" si="13"/>
        <v>07030930080010200</v>
      </c>
    </row>
    <row r="786" spans="1:8" ht="38.25">
      <c r="A786" s="212" t="s">
        <v>1502</v>
      </c>
      <c r="B786" s="278" t="s">
        <v>248</v>
      </c>
      <c r="C786" s="278" t="s">
        <v>1241</v>
      </c>
      <c r="D786" s="278" t="s">
        <v>894</v>
      </c>
      <c r="E786" s="278" t="s">
        <v>1503</v>
      </c>
      <c r="F786" s="218">
        <v>53010</v>
      </c>
      <c r="G786" s="218">
        <v>53010</v>
      </c>
      <c r="H786" s="147" t="str">
        <f t="shared" si="13"/>
        <v>07030930080010240</v>
      </c>
    </row>
    <row r="787" spans="1:8">
      <c r="A787" s="212" t="s">
        <v>1577</v>
      </c>
      <c r="B787" s="278" t="s">
        <v>248</v>
      </c>
      <c r="C787" s="278" t="s">
        <v>1241</v>
      </c>
      <c r="D787" s="278" t="s">
        <v>894</v>
      </c>
      <c r="E787" s="278" t="s">
        <v>416</v>
      </c>
      <c r="F787" s="218">
        <v>53010</v>
      </c>
      <c r="G787" s="218">
        <v>53010</v>
      </c>
      <c r="H787" s="147" t="str">
        <f t="shared" si="13"/>
        <v>07030930080010244</v>
      </c>
    </row>
    <row r="788" spans="1:8">
      <c r="A788" s="212" t="s">
        <v>1238</v>
      </c>
      <c r="B788" s="278" t="s">
        <v>248</v>
      </c>
      <c r="C788" s="278" t="s">
        <v>453</v>
      </c>
      <c r="D788" s="278" t="s">
        <v>1468</v>
      </c>
      <c r="E788" s="278" t="s">
        <v>1468</v>
      </c>
      <c r="F788" s="218">
        <v>15135233</v>
      </c>
      <c r="G788" s="218">
        <v>15135233</v>
      </c>
      <c r="H788" s="147" t="str">
        <f t="shared" si="13"/>
        <v>0707</v>
      </c>
    </row>
    <row r="789" spans="1:8" ht="25.5">
      <c r="A789" s="212" t="s">
        <v>535</v>
      </c>
      <c r="B789" s="278" t="s">
        <v>248</v>
      </c>
      <c r="C789" s="278" t="s">
        <v>453</v>
      </c>
      <c r="D789" s="278" t="s">
        <v>1105</v>
      </c>
      <c r="E789" s="278" t="s">
        <v>1468</v>
      </c>
      <c r="F789" s="218">
        <v>15135233</v>
      </c>
      <c r="G789" s="218">
        <v>15135233</v>
      </c>
      <c r="H789" s="147" t="str">
        <f t="shared" si="13"/>
        <v>07070100000000</v>
      </c>
    </row>
    <row r="790" spans="1:8" ht="38.25">
      <c r="A790" s="212" t="s">
        <v>536</v>
      </c>
      <c r="B790" s="278" t="s">
        <v>248</v>
      </c>
      <c r="C790" s="278" t="s">
        <v>453</v>
      </c>
      <c r="D790" s="278" t="s">
        <v>1106</v>
      </c>
      <c r="E790" s="278" t="s">
        <v>1468</v>
      </c>
      <c r="F790" s="218">
        <v>14872783</v>
      </c>
      <c r="G790" s="218">
        <v>14872783</v>
      </c>
      <c r="H790" s="147" t="str">
        <f t="shared" si="13"/>
        <v>07070110000000</v>
      </c>
    </row>
    <row r="791" spans="1:8" ht="140.25">
      <c r="A791" s="212" t="s">
        <v>506</v>
      </c>
      <c r="B791" s="278" t="s">
        <v>248</v>
      </c>
      <c r="C791" s="278" t="s">
        <v>453</v>
      </c>
      <c r="D791" s="278" t="s">
        <v>895</v>
      </c>
      <c r="E791" s="278" t="s">
        <v>1468</v>
      </c>
      <c r="F791" s="218">
        <v>911400</v>
      </c>
      <c r="G791" s="218">
        <v>911400</v>
      </c>
      <c r="H791" s="147" t="str">
        <f t="shared" si="13"/>
        <v>07070110040040</v>
      </c>
    </row>
    <row r="792" spans="1:8" ht="38.25">
      <c r="A792" s="212" t="s">
        <v>1763</v>
      </c>
      <c r="B792" s="278" t="s">
        <v>248</v>
      </c>
      <c r="C792" s="278" t="s">
        <v>453</v>
      </c>
      <c r="D792" s="278" t="s">
        <v>895</v>
      </c>
      <c r="E792" s="278" t="s">
        <v>1764</v>
      </c>
      <c r="F792" s="218">
        <v>911400</v>
      </c>
      <c r="G792" s="218">
        <v>911400</v>
      </c>
      <c r="H792" s="147" t="str">
        <f t="shared" si="13"/>
        <v>07070110040040600</v>
      </c>
    </row>
    <row r="793" spans="1:8">
      <c r="A793" s="212" t="s">
        <v>1504</v>
      </c>
      <c r="B793" s="278" t="s">
        <v>248</v>
      </c>
      <c r="C793" s="278" t="s">
        <v>453</v>
      </c>
      <c r="D793" s="278" t="s">
        <v>895</v>
      </c>
      <c r="E793" s="278" t="s">
        <v>1505</v>
      </c>
      <c r="F793" s="218">
        <v>911400</v>
      </c>
      <c r="G793" s="218">
        <v>911400</v>
      </c>
      <c r="H793" s="147" t="str">
        <f t="shared" si="13"/>
        <v>07070110040040610</v>
      </c>
    </row>
    <row r="794" spans="1:8" ht="76.5">
      <c r="A794" s="212" t="s">
        <v>435</v>
      </c>
      <c r="B794" s="278" t="s">
        <v>248</v>
      </c>
      <c r="C794" s="278" t="s">
        <v>453</v>
      </c>
      <c r="D794" s="278" t="s">
        <v>895</v>
      </c>
      <c r="E794" s="278" t="s">
        <v>436</v>
      </c>
      <c r="F794" s="218">
        <v>911400</v>
      </c>
      <c r="G794" s="218">
        <v>911400</v>
      </c>
      <c r="H794" s="147" t="str">
        <f t="shared" si="13"/>
        <v>07070110040040611</v>
      </c>
    </row>
    <row r="795" spans="1:8" ht="191.25">
      <c r="A795" s="212" t="s">
        <v>507</v>
      </c>
      <c r="B795" s="278" t="s">
        <v>248</v>
      </c>
      <c r="C795" s="278" t="s">
        <v>453</v>
      </c>
      <c r="D795" s="278" t="s">
        <v>896</v>
      </c>
      <c r="E795" s="278" t="s">
        <v>1468</v>
      </c>
      <c r="F795" s="218">
        <v>1000000</v>
      </c>
      <c r="G795" s="218">
        <v>1000000</v>
      </c>
      <c r="H795" s="147" t="str">
        <f t="shared" si="13"/>
        <v>07070110041040</v>
      </c>
    </row>
    <row r="796" spans="1:8" ht="38.25">
      <c r="A796" s="212" t="s">
        <v>1763</v>
      </c>
      <c r="B796" s="278" t="s">
        <v>248</v>
      </c>
      <c r="C796" s="278" t="s">
        <v>453</v>
      </c>
      <c r="D796" s="278" t="s">
        <v>896</v>
      </c>
      <c r="E796" s="278" t="s">
        <v>1764</v>
      </c>
      <c r="F796" s="218">
        <v>1000000</v>
      </c>
      <c r="G796" s="218">
        <v>1000000</v>
      </c>
      <c r="H796" s="147" t="str">
        <f t="shared" si="13"/>
        <v>07070110041040600</v>
      </c>
    </row>
    <row r="797" spans="1:8">
      <c r="A797" s="212" t="s">
        <v>1504</v>
      </c>
      <c r="B797" s="278" t="s">
        <v>248</v>
      </c>
      <c r="C797" s="278" t="s">
        <v>453</v>
      </c>
      <c r="D797" s="278" t="s">
        <v>896</v>
      </c>
      <c r="E797" s="278" t="s">
        <v>1505</v>
      </c>
      <c r="F797" s="218">
        <v>1000000</v>
      </c>
      <c r="G797" s="218">
        <v>1000000</v>
      </c>
      <c r="H797" s="147" t="str">
        <f t="shared" si="13"/>
        <v>07070110041040610</v>
      </c>
    </row>
    <row r="798" spans="1:8" ht="76.5">
      <c r="A798" s="212" t="s">
        <v>435</v>
      </c>
      <c r="B798" s="278" t="s">
        <v>248</v>
      </c>
      <c r="C798" s="278" t="s">
        <v>453</v>
      </c>
      <c r="D798" s="278" t="s">
        <v>896</v>
      </c>
      <c r="E798" s="278" t="s">
        <v>436</v>
      </c>
      <c r="F798" s="218">
        <v>1000000</v>
      </c>
      <c r="G798" s="218">
        <v>1000000</v>
      </c>
      <c r="H798" s="147" t="str">
        <f t="shared" si="13"/>
        <v>07070110041040611</v>
      </c>
    </row>
    <row r="799" spans="1:8" ht="153">
      <c r="A799" s="212" t="s">
        <v>897</v>
      </c>
      <c r="B799" s="278" t="s">
        <v>248</v>
      </c>
      <c r="C799" s="278" t="s">
        <v>453</v>
      </c>
      <c r="D799" s="278" t="s">
        <v>898</v>
      </c>
      <c r="E799" s="278" t="s">
        <v>1468</v>
      </c>
      <c r="F799" s="218">
        <v>50000</v>
      </c>
      <c r="G799" s="218">
        <v>50000</v>
      </c>
      <c r="H799" s="147" t="str">
        <f t="shared" si="13"/>
        <v>07070110047040</v>
      </c>
    </row>
    <row r="800" spans="1:8" ht="38.25">
      <c r="A800" s="212" t="s">
        <v>1763</v>
      </c>
      <c r="B800" s="278" t="s">
        <v>248</v>
      </c>
      <c r="C800" s="278" t="s">
        <v>453</v>
      </c>
      <c r="D800" s="278" t="s">
        <v>898</v>
      </c>
      <c r="E800" s="278" t="s">
        <v>1764</v>
      </c>
      <c r="F800" s="218">
        <v>50000</v>
      </c>
      <c r="G800" s="218">
        <v>50000</v>
      </c>
      <c r="H800" s="147" t="str">
        <f t="shared" si="13"/>
        <v>07070110047040600</v>
      </c>
    </row>
    <row r="801" spans="1:8">
      <c r="A801" s="212" t="s">
        <v>1504</v>
      </c>
      <c r="B801" s="278" t="s">
        <v>248</v>
      </c>
      <c r="C801" s="278" t="s">
        <v>453</v>
      </c>
      <c r="D801" s="278" t="s">
        <v>898</v>
      </c>
      <c r="E801" s="278" t="s">
        <v>1505</v>
      </c>
      <c r="F801" s="218">
        <v>50000</v>
      </c>
      <c r="G801" s="218">
        <v>50000</v>
      </c>
      <c r="H801" s="147" t="str">
        <f t="shared" si="13"/>
        <v>07070110047040610</v>
      </c>
    </row>
    <row r="802" spans="1:8" ht="25.5">
      <c r="A802" s="212" t="s">
        <v>454</v>
      </c>
      <c r="B802" s="278" t="s">
        <v>248</v>
      </c>
      <c r="C802" s="278" t="s">
        <v>453</v>
      </c>
      <c r="D802" s="278" t="s">
        <v>898</v>
      </c>
      <c r="E802" s="278" t="s">
        <v>455</v>
      </c>
      <c r="F802" s="218">
        <v>50000</v>
      </c>
      <c r="G802" s="218">
        <v>50000</v>
      </c>
      <c r="H802" s="147" t="str">
        <f t="shared" si="13"/>
        <v>07070110047040612</v>
      </c>
    </row>
    <row r="803" spans="1:8" ht="153">
      <c r="A803" s="212" t="s">
        <v>1372</v>
      </c>
      <c r="B803" s="278" t="s">
        <v>248</v>
      </c>
      <c r="C803" s="278" t="s">
        <v>453</v>
      </c>
      <c r="D803" s="278" t="s">
        <v>1373</v>
      </c>
      <c r="E803" s="278" t="s">
        <v>1468</v>
      </c>
      <c r="F803" s="218">
        <v>38888</v>
      </c>
      <c r="G803" s="218">
        <v>38888</v>
      </c>
      <c r="H803" s="147" t="str">
        <f t="shared" si="13"/>
        <v>0707011004Г040</v>
      </c>
    </row>
    <row r="804" spans="1:8" ht="38.25">
      <c r="A804" s="212" t="s">
        <v>1763</v>
      </c>
      <c r="B804" s="278" t="s">
        <v>248</v>
      </c>
      <c r="C804" s="278" t="s">
        <v>453</v>
      </c>
      <c r="D804" s="278" t="s">
        <v>1373</v>
      </c>
      <c r="E804" s="278" t="s">
        <v>1764</v>
      </c>
      <c r="F804" s="218">
        <v>38888</v>
      </c>
      <c r="G804" s="218">
        <v>38888</v>
      </c>
      <c r="H804" s="147" t="str">
        <f t="shared" si="13"/>
        <v>0707011004Г040600</v>
      </c>
    </row>
    <row r="805" spans="1:8">
      <c r="A805" s="212" t="s">
        <v>1504</v>
      </c>
      <c r="B805" s="278" t="s">
        <v>248</v>
      </c>
      <c r="C805" s="278" t="s">
        <v>453</v>
      </c>
      <c r="D805" s="278" t="s">
        <v>1373</v>
      </c>
      <c r="E805" s="278" t="s">
        <v>1505</v>
      </c>
      <c r="F805" s="218">
        <v>38888</v>
      </c>
      <c r="G805" s="218">
        <v>38888</v>
      </c>
      <c r="H805" s="147" t="str">
        <f t="shared" si="13"/>
        <v>0707011004Г040610</v>
      </c>
    </row>
    <row r="806" spans="1:8" ht="76.5">
      <c r="A806" s="212" t="s">
        <v>435</v>
      </c>
      <c r="B806" s="278" t="s">
        <v>248</v>
      </c>
      <c r="C806" s="278" t="s">
        <v>453</v>
      </c>
      <c r="D806" s="278" t="s">
        <v>1373</v>
      </c>
      <c r="E806" s="278" t="s">
        <v>436</v>
      </c>
      <c r="F806" s="218">
        <v>38888</v>
      </c>
      <c r="G806" s="218">
        <v>38888</v>
      </c>
      <c r="H806" s="147" t="str">
        <f t="shared" ref="H806:H869" si="14">CONCATENATE(C806,,D806,E806)</f>
        <v>0707011004Г040611</v>
      </c>
    </row>
    <row r="807" spans="1:8" ht="140.25">
      <c r="A807" s="212" t="s">
        <v>1374</v>
      </c>
      <c r="B807" s="278" t="s">
        <v>248</v>
      </c>
      <c r="C807" s="278" t="s">
        <v>453</v>
      </c>
      <c r="D807" s="278" t="s">
        <v>1375</v>
      </c>
      <c r="E807" s="278" t="s">
        <v>1468</v>
      </c>
      <c r="F807" s="218">
        <v>183365</v>
      </c>
      <c r="G807" s="218">
        <v>183365</v>
      </c>
      <c r="H807" s="147" t="str">
        <f t="shared" si="14"/>
        <v>0707011004Э040</v>
      </c>
    </row>
    <row r="808" spans="1:8" ht="38.25">
      <c r="A808" s="212" t="s">
        <v>1763</v>
      </c>
      <c r="B808" s="278" t="s">
        <v>248</v>
      </c>
      <c r="C808" s="278" t="s">
        <v>453</v>
      </c>
      <c r="D808" s="278" t="s">
        <v>1375</v>
      </c>
      <c r="E808" s="278" t="s">
        <v>1764</v>
      </c>
      <c r="F808" s="218">
        <v>183365</v>
      </c>
      <c r="G808" s="218">
        <v>183365</v>
      </c>
      <c r="H808" s="147" t="str">
        <f t="shared" si="14"/>
        <v>0707011004Э040600</v>
      </c>
    </row>
    <row r="809" spans="1:8">
      <c r="A809" s="212" t="s">
        <v>1504</v>
      </c>
      <c r="B809" s="278" t="s">
        <v>248</v>
      </c>
      <c r="C809" s="278" t="s">
        <v>453</v>
      </c>
      <c r="D809" s="278" t="s">
        <v>1375</v>
      </c>
      <c r="E809" s="278" t="s">
        <v>1505</v>
      </c>
      <c r="F809" s="218">
        <v>183365</v>
      </c>
      <c r="G809" s="218">
        <v>183365</v>
      </c>
      <c r="H809" s="147" t="str">
        <f t="shared" si="14"/>
        <v>0707011004Э040610</v>
      </c>
    </row>
    <row r="810" spans="1:8" ht="76.5">
      <c r="A810" s="212" t="s">
        <v>435</v>
      </c>
      <c r="B810" s="278" t="s">
        <v>248</v>
      </c>
      <c r="C810" s="278" t="s">
        <v>453</v>
      </c>
      <c r="D810" s="278" t="s">
        <v>1375</v>
      </c>
      <c r="E810" s="278" t="s">
        <v>436</v>
      </c>
      <c r="F810" s="218">
        <v>183365</v>
      </c>
      <c r="G810" s="218">
        <v>183365</v>
      </c>
      <c r="H810" s="147" t="str">
        <f t="shared" si="14"/>
        <v>0707011004Э040611</v>
      </c>
    </row>
    <row r="811" spans="1:8" ht="76.5">
      <c r="A811" s="212" t="s">
        <v>1212</v>
      </c>
      <c r="B811" s="278" t="s">
        <v>248</v>
      </c>
      <c r="C811" s="278" t="s">
        <v>453</v>
      </c>
      <c r="D811" s="278" t="s">
        <v>1213</v>
      </c>
      <c r="E811" s="278" t="s">
        <v>1468</v>
      </c>
      <c r="F811" s="218">
        <v>317600</v>
      </c>
      <c r="G811" s="218">
        <v>317600</v>
      </c>
      <c r="H811" s="147" t="str">
        <f t="shared" si="14"/>
        <v>07070110073970</v>
      </c>
    </row>
    <row r="812" spans="1:8" ht="38.25">
      <c r="A812" s="212" t="s">
        <v>1763</v>
      </c>
      <c r="B812" s="278" t="s">
        <v>248</v>
      </c>
      <c r="C812" s="278" t="s">
        <v>453</v>
      </c>
      <c r="D812" s="278" t="s">
        <v>1213</v>
      </c>
      <c r="E812" s="278" t="s">
        <v>1764</v>
      </c>
      <c r="F812" s="218">
        <v>317600</v>
      </c>
      <c r="G812" s="218">
        <v>317600</v>
      </c>
      <c r="H812" s="147" t="str">
        <f t="shared" si="14"/>
        <v>07070110073970600</v>
      </c>
    </row>
    <row r="813" spans="1:8">
      <c r="A813" s="212" t="s">
        <v>1504</v>
      </c>
      <c r="B813" s="278" t="s">
        <v>248</v>
      </c>
      <c r="C813" s="278" t="s">
        <v>453</v>
      </c>
      <c r="D813" s="278" t="s">
        <v>1213</v>
      </c>
      <c r="E813" s="278" t="s">
        <v>1505</v>
      </c>
      <c r="F813" s="218">
        <v>317600</v>
      </c>
      <c r="G813" s="218">
        <v>317600</v>
      </c>
      <c r="H813" s="147" t="str">
        <f t="shared" si="14"/>
        <v>07070110073970610</v>
      </c>
    </row>
    <row r="814" spans="1:8" ht="76.5">
      <c r="A814" s="212" t="s">
        <v>435</v>
      </c>
      <c r="B814" s="278" t="s">
        <v>248</v>
      </c>
      <c r="C814" s="278" t="s">
        <v>453</v>
      </c>
      <c r="D814" s="278" t="s">
        <v>1213</v>
      </c>
      <c r="E814" s="278" t="s">
        <v>436</v>
      </c>
      <c r="F814" s="218">
        <v>317600</v>
      </c>
      <c r="G814" s="218">
        <v>317600</v>
      </c>
      <c r="H814" s="147" t="str">
        <f t="shared" si="14"/>
        <v>07070110073970611</v>
      </c>
    </row>
    <row r="815" spans="1:8" ht="89.25">
      <c r="A815" s="212" t="s">
        <v>1485</v>
      </c>
      <c r="B815" s="278" t="s">
        <v>248</v>
      </c>
      <c r="C815" s="278" t="s">
        <v>453</v>
      </c>
      <c r="D815" s="278" t="s">
        <v>1486</v>
      </c>
      <c r="E815" s="278" t="s">
        <v>1468</v>
      </c>
      <c r="F815" s="218">
        <v>8806200</v>
      </c>
      <c r="G815" s="218">
        <v>8806200</v>
      </c>
      <c r="H815" s="147" t="str">
        <f t="shared" si="14"/>
        <v>07070110076490</v>
      </c>
    </row>
    <row r="816" spans="1:8" ht="38.25">
      <c r="A816" s="212" t="s">
        <v>1755</v>
      </c>
      <c r="B816" s="278" t="s">
        <v>248</v>
      </c>
      <c r="C816" s="278" t="s">
        <v>453</v>
      </c>
      <c r="D816" s="278" t="s">
        <v>1486</v>
      </c>
      <c r="E816" s="278" t="s">
        <v>1756</v>
      </c>
      <c r="F816" s="218">
        <v>5301900</v>
      </c>
      <c r="G816" s="218">
        <v>5301900</v>
      </c>
      <c r="H816" s="147" t="str">
        <f t="shared" si="14"/>
        <v>07070110076490200</v>
      </c>
    </row>
    <row r="817" spans="1:8" ht="38.25">
      <c r="A817" s="212" t="s">
        <v>1502</v>
      </c>
      <c r="B817" s="278" t="s">
        <v>248</v>
      </c>
      <c r="C817" s="278" t="s">
        <v>453</v>
      </c>
      <c r="D817" s="278" t="s">
        <v>1486</v>
      </c>
      <c r="E817" s="278" t="s">
        <v>1503</v>
      </c>
      <c r="F817" s="218">
        <v>5301900</v>
      </c>
      <c r="G817" s="218">
        <v>5301900</v>
      </c>
      <c r="H817" s="147" t="str">
        <f t="shared" si="14"/>
        <v>07070110076490240</v>
      </c>
    </row>
    <row r="818" spans="1:8">
      <c r="A818" s="212" t="s">
        <v>1577</v>
      </c>
      <c r="B818" s="278" t="s">
        <v>248</v>
      </c>
      <c r="C818" s="278" t="s">
        <v>453</v>
      </c>
      <c r="D818" s="278" t="s">
        <v>1486</v>
      </c>
      <c r="E818" s="278" t="s">
        <v>416</v>
      </c>
      <c r="F818" s="218">
        <v>5301900</v>
      </c>
      <c r="G818" s="218">
        <v>5301900</v>
      </c>
      <c r="H818" s="147" t="str">
        <f t="shared" si="14"/>
        <v>07070110076490244</v>
      </c>
    </row>
    <row r="819" spans="1:8" ht="25.5">
      <c r="A819" s="212" t="s">
        <v>1759</v>
      </c>
      <c r="B819" s="278" t="s">
        <v>248</v>
      </c>
      <c r="C819" s="278" t="s">
        <v>453</v>
      </c>
      <c r="D819" s="278" t="s">
        <v>1486</v>
      </c>
      <c r="E819" s="278" t="s">
        <v>1760</v>
      </c>
      <c r="F819" s="218">
        <v>325500</v>
      </c>
      <c r="G819" s="218">
        <v>325500</v>
      </c>
      <c r="H819" s="147" t="str">
        <f t="shared" si="14"/>
        <v>07070110076490300</v>
      </c>
    </row>
    <row r="820" spans="1:8" ht="38.25">
      <c r="A820" s="212" t="s">
        <v>1506</v>
      </c>
      <c r="B820" s="278" t="s">
        <v>248</v>
      </c>
      <c r="C820" s="278" t="s">
        <v>453</v>
      </c>
      <c r="D820" s="278" t="s">
        <v>1486</v>
      </c>
      <c r="E820" s="278" t="s">
        <v>666</v>
      </c>
      <c r="F820" s="218">
        <v>325500</v>
      </c>
      <c r="G820" s="218">
        <v>325500</v>
      </c>
      <c r="H820" s="147" t="str">
        <f t="shared" si="14"/>
        <v>07070110076490320</v>
      </c>
    </row>
    <row r="821" spans="1:8" ht="38.25">
      <c r="A821" s="212" t="s">
        <v>467</v>
      </c>
      <c r="B821" s="278" t="s">
        <v>248</v>
      </c>
      <c r="C821" s="278" t="s">
        <v>453</v>
      </c>
      <c r="D821" s="278" t="s">
        <v>1486</v>
      </c>
      <c r="E821" s="278" t="s">
        <v>468</v>
      </c>
      <c r="F821" s="218">
        <v>325500</v>
      </c>
      <c r="G821" s="218">
        <v>325500</v>
      </c>
      <c r="H821" s="147" t="str">
        <f t="shared" si="14"/>
        <v>07070110076490321</v>
      </c>
    </row>
    <row r="822" spans="1:8" ht="38.25">
      <c r="A822" s="212" t="s">
        <v>1763</v>
      </c>
      <c r="B822" s="278" t="s">
        <v>248</v>
      </c>
      <c r="C822" s="278" t="s">
        <v>453</v>
      </c>
      <c r="D822" s="278" t="s">
        <v>1486</v>
      </c>
      <c r="E822" s="278" t="s">
        <v>1764</v>
      </c>
      <c r="F822" s="218">
        <v>3178800</v>
      </c>
      <c r="G822" s="218">
        <v>3178800</v>
      </c>
      <c r="H822" s="147" t="str">
        <f t="shared" si="14"/>
        <v>07070110076490600</v>
      </c>
    </row>
    <row r="823" spans="1:8">
      <c r="A823" s="212" t="s">
        <v>1504</v>
      </c>
      <c r="B823" s="278" t="s">
        <v>248</v>
      </c>
      <c r="C823" s="278" t="s">
        <v>453</v>
      </c>
      <c r="D823" s="278" t="s">
        <v>1486</v>
      </c>
      <c r="E823" s="278" t="s">
        <v>1505</v>
      </c>
      <c r="F823" s="218">
        <v>3178800</v>
      </c>
      <c r="G823" s="218">
        <v>3178800</v>
      </c>
      <c r="H823" s="147" t="str">
        <f t="shared" si="14"/>
        <v>07070110076490610</v>
      </c>
    </row>
    <row r="824" spans="1:8" ht="76.5">
      <c r="A824" s="212" t="s">
        <v>435</v>
      </c>
      <c r="B824" s="278" t="s">
        <v>248</v>
      </c>
      <c r="C824" s="278" t="s">
        <v>453</v>
      </c>
      <c r="D824" s="278" t="s">
        <v>1486</v>
      </c>
      <c r="E824" s="278" t="s">
        <v>436</v>
      </c>
      <c r="F824" s="218">
        <v>3178800</v>
      </c>
      <c r="G824" s="218">
        <v>3178800</v>
      </c>
      <c r="H824" s="147" t="str">
        <f t="shared" si="14"/>
        <v>07070110076490611</v>
      </c>
    </row>
    <row r="825" spans="1:8" ht="89.25">
      <c r="A825" s="212" t="s">
        <v>482</v>
      </c>
      <c r="B825" s="278" t="s">
        <v>248</v>
      </c>
      <c r="C825" s="278" t="s">
        <v>453</v>
      </c>
      <c r="D825" s="278" t="s">
        <v>904</v>
      </c>
      <c r="E825" s="278" t="s">
        <v>1468</v>
      </c>
      <c r="F825" s="218">
        <v>3565012</v>
      </c>
      <c r="G825" s="218">
        <v>3565012</v>
      </c>
      <c r="H825" s="147" t="str">
        <f t="shared" si="14"/>
        <v>07070110080030</v>
      </c>
    </row>
    <row r="826" spans="1:8" ht="38.25">
      <c r="A826" s="212" t="s">
        <v>1755</v>
      </c>
      <c r="B826" s="278" t="s">
        <v>248</v>
      </c>
      <c r="C826" s="278" t="s">
        <v>453</v>
      </c>
      <c r="D826" s="278" t="s">
        <v>904</v>
      </c>
      <c r="E826" s="278" t="s">
        <v>1756</v>
      </c>
      <c r="F826" s="218">
        <v>2272283</v>
      </c>
      <c r="G826" s="218">
        <v>2272283</v>
      </c>
      <c r="H826" s="147" t="str">
        <f t="shared" si="14"/>
        <v>07070110080030200</v>
      </c>
    </row>
    <row r="827" spans="1:8" ht="38.25">
      <c r="A827" s="212" t="s">
        <v>1502</v>
      </c>
      <c r="B827" s="278" t="s">
        <v>248</v>
      </c>
      <c r="C827" s="278" t="s">
        <v>453</v>
      </c>
      <c r="D827" s="278" t="s">
        <v>904</v>
      </c>
      <c r="E827" s="278" t="s">
        <v>1503</v>
      </c>
      <c r="F827" s="218">
        <v>2272283</v>
      </c>
      <c r="G827" s="218">
        <v>2272283</v>
      </c>
      <c r="H827" s="147" t="str">
        <f t="shared" si="14"/>
        <v>07070110080030240</v>
      </c>
    </row>
    <row r="828" spans="1:8">
      <c r="A828" s="212" t="s">
        <v>1577</v>
      </c>
      <c r="B828" s="278" t="s">
        <v>248</v>
      </c>
      <c r="C828" s="278" t="s">
        <v>453</v>
      </c>
      <c r="D828" s="278" t="s">
        <v>904</v>
      </c>
      <c r="E828" s="278" t="s">
        <v>416</v>
      </c>
      <c r="F828" s="218">
        <v>2272283</v>
      </c>
      <c r="G828" s="218">
        <v>2272283</v>
      </c>
      <c r="H828" s="147" t="str">
        <f t="shared" si="14"/>
        <v>07070110080030244</v>
      </c>
    </row>
    <row r="829" spans="1:8" ht="38.25">
      <c r="A829" s="212" t="s">
        <v>1763</v>
      </c>
      <c r="B829" s="278" t="s">
        <v>248</v>
      </c>
      <c r="C829" s="278" t="s">
        <v>453</v>
      </c>
      <c r="D829" s="278" t="s">
        <v>904</v>
      </c>
      <c r="E829" s="278" t="s">
        <v>1764</v>
      </c>
      <c r="F829" s="218">
        <v>1292729</v>
      </c>
      <c r="G829" s="218">
        <v>1292729</v>
      </c>
      <c r="H829" s="147" t="str">
        <f t="shared" si="14"/>
        <v>07070110080030600</v>
      </c>
    </row>
    <row r="830" spans="1:8">
      <c r="A830" s="212" t="s">
        <v>1504</v>
      </c>
      <c r="B830" s="278" t="s">
        <v>248</v>
      </c>
      <c r="C830" s="278" t="s">
        <v>453</v>
      </c>
      <c r="D830" s="278" t="s">
        <v>904</v>
      </c>
      <c r="E830" s="278" t="s">
        <v>1505</v>
      </c>
      <c r="F830" s="218">
        <v>1292729</v>
      </c>
      <c r="G830" s="218">
        <v>1292729</v>
      </c>
      <c r="H830" s="147" t="str">
        <f t="shared" si="14"/>
        <v>07070110080030610</v>
      </c>
    </row>
    <row r="831" spans="1:8" ht="76.5">
      <c r="A831" s="212" t="s">
        <v>435</v>
      </c>
      <c r="B831" s="278" t="s">
        <v>248</v>
      </c>
      <c r="C831" s="278" t="s">
        <v>453</v>
      </c>
      <c r="D831" s="278" t="s">
        <v>904</v>
      </c>
      <c r="E831" s="278" t="s">
        <v>436</v>
      </c>
      <c r="F831" s="218">
        <v>1292729</v>
      </c>
      <c r="G831" s="218">
        <v>1292729</v>
      </c>
      <c r="H831" s="147" t="str">
        <f t="shared" si="14"/>
        <v>07070110080030611</v>
      </c>
    </row>
    <row r="832" spans="1:8" ht="102">
      <c r="A832" s="212" t="s">
        <v>901</v>
      </c>
      <c r="B832" s="278" t="s">
        <v>248</v>
      </c>
      <c r="C832" s="278" t="s">
        <v>453</v>
      </c>
      <c r="D832" s="278" t="s">
        <v>902</v>
      </c>
      <c r="E832" s="278" t="s">
        <v>1468</v>
      </c>
      <c r="F832" s="218">
        <v>318</v>
      </c>
      <c r="G832" s="218">
        <v>318</v>
      </c>
      <c r="H832" s="147" t="str">
        <f t="shared" si="14"/>
        <v>070701100S3970</v>
      </c>
    </row>
    <row r="833" spans="1:8" ht="38.25">
      <c r="A833" s="212" t="s">
        <v>1763</v>
      </c>
      <c r="B833" s="278" t="s">
        <v>248</v>
      </c>
      <c r="C833" s="278" t="s">
        <v>453</v>
      </c>
      <c r="D833" s="278" t="s">
        <v>902</v>
      </c>
      <c r="E833" s="278" t="s">
        <v>1764</v>
      </c>
      <c r="F833" s="218">
        <v>318</v>
      </c>
      <c r="G833" s="218">
        <v>318</v>
      </c>
      <c r="H833" s="147" t="str">
        <f t="shared" si="14"/>
        <v>070701100S3970600</v>
      </c>
    </row>
    <row r="834" spans="1:8">
      <c r="A834" s="212" t="s">
        <v>1504</v>
      </c>
      <c r="B834" s="278" t="s">
        <v>248</v>
      </c>
      <c r="C834" s="278" t="s">
        <v>453</v>
      </c>
      <c r="D834" s="278" t="s">
        <v>902</v>
      </c>
      <c r="E834" s="278" t="s">
        <v>1505</v>
      </c>
      <c r="F834" s="218">
        <v>318</v>
      </c>
      <c r="G834" s="218">
        <v>318</v>
      </c>
      <c r="H834" s="147" t="str">
        <f t="shared" si="14"/>
        <v>070701100S3970610</v>
      </c>
    </row>
    <row r="835" spans="1:8" ht="76.5">
      <c r="A835" s="212" t="s">
        <v>435</v>
      </c>
      <c r="B835" s="278" t="s">
        <v>248</v>
      </c>
      <c r="C835" s="278" t="s">
        <v>453</v>
      </c>
      <c r="D835" s="278" t="s">
        <v>902</v>
      </c>
      <c r="E835" s="278" t="s">
        <v>436</v>
      </c>
      <c r="F835" s="218">
        <v>318</v>
      </c>
      <c r="G835" s="218">
        <v>318</v>
      </c>
      <c r="H835" s="147" t="str">
        <f t="shared" si="14"/>
        <v>070701100S3970611</v>
      </c>
    </row>
    <row r="836" spans="1:8" ht="38.25">
      <c r="A836" s="212" t="s">
        <v>725</v>
      </c>
      <c r="B836" s="278" t="s">
        <v>248</v>
      </c>
      <c r="C836" s="278" t="s">
        <v>453</v>
      </c>
      <c r="D836" s="278" t="s">
        <v>1107</v>
      </c>
      <c r="E836" s="278" t="s">
        <v>1468</v>
      </c>
      <c r="F836" s="218">
        <v>262450</v>
      </c>
      <c r="G836" s="218">
        <v>262450</v>
      </c>
      <c r="H836" s="147" t="str">
        <f t="shared" si="14"/>
        <v>07070130000000</v>
      </c>
    </row>
    <row r="837" spans="1:8" ht="89.25">
      <c r="A837" s="212" t="s">
        <v>717</v>
      </c>
      <c r="B837" s="278" t="s">
        <v>248</v>
      </c>
      <c r="C837" s="278" t="s">
        <v>453</v>
      </c>
      <c r="D837" s="278" t="s">
        <v>1347</v>
      </c>
      <c r="E837" s="278" t="s">
        <v>1468</v>
      </c>
      <c r="F837" s="218">
        <v>62450</v>
      </c>
      <c r="G837" s="218">
        <v>62450</v>
      </c>
      <c r="H837" s="147" t="str">
        <f t="shared" si="14"/>
        <v>07070130080000</v>
      </c>
    </row>
    <row r="838" spans="1:8" ht="76.5">
      <c r="A838" s="212" t="s">
        <v>1754</v>
      </c>
      <c r="B838" s="278" t="s">
        <v>248</v>
      </c>
      <c r="C838" s="278" t="s">
        <v>453</v>
      </c>
      <c r="D838" s="278" t="s">
        <v>1347</v>
      </c>
      <c r="E838" s="278" t="s">
        <v>322</v>
      </c>
      <c r="F838" s="218">
        <v>59000</v>
      </c>
      <c r="G838" s="218">
        <v>59000</v>
      </c>
      <c r="H838" s="147" t="str">
        <f t="shared" si="14"/>
        <v>07070130080000100</v>
      </c>
    </row>
    <row r="839" spans="1:8" ht="25.5">
      <c r="A839" s="212" t="s">
        <v>1487</v>
      </c>
      <c r="B839" s="278" t="s">
        <v>248</v>
      </c>
      <c r="C839" s="278" t="s">
        <v>453</v>
      </c>
      <c r="D839" s="278" t="s">
        <v>1347</v>
      </c>
      <c r="E839" s="278" t="s">
        <v>165</v>
      </c>
      <c r="F839" s="218">
        <v>59000</v>
      </c>
      <c r="G839" s="218">
        <v>59000</v>
      </c>
      <c r="H839" s="147" t="str">
        <f t="shared" si="14"/>
        <v>07070130080000110</v>
      </c>
    </row>
    <row r="840" spans="1:8">
      <c r="A840" s="212" t="s">
        <v>1360</v>
      </c>
      <c r="B840" s="278" t="s">
        <v>248</v>
      </c>
      <c r="C840" s="278" t="s">
        <v>453</v>
      </c>
      <c r="D840" s="278" t="s">
        <v>1347</v>
      </c>
      <c r="E840" s="278" t="s">
        <v>430</v>
      </c>
      <c r="F840" s="218">
        <v>45315</v>
      </c>
      <c r="G840" s="218">
        <v>45315</v>
      </c>
      <c r="H840" s="147" t="str">
        <f t="shared" si="14"/>
        <v>07070130080000111</v>
      </c>
    </row>
    <row r="841" spans="1:8" ht="51">
      <c r="A841" s="212" t="s">
        <v>1361</v>
      </c>
      <c r="B841" s="278" t="s">
        <v>248</v>
      </c>
      <c r="C841" s="278" t="s">
        <v>453</v>
      </c>
      <c r="D841" s="278" t="s">
        <v>1347</v>
      </c>
      <c r="E841" s="278" t="s">
        <v>1197</v>
      </c>
      <c r="F841" s="218">
        <v>13685</v>
      </c>
      <c r="G841" s="218">
        <v>13685</v>
      </c>
      <c r="H841" s="147" t="str">
        <f t="shared" si="14"/>
        <v>07070130080000119</v>
      </c>
    </row>
    <row r="842" spans="1:8" ht="38.25">
      <c r="A842" s="212" t="s">
        <v>1755</v>
      </c>
      <c r="B842" s="278" t="s">
        <v>248</v>
      </c>
      <c r="C842" s="278" t="s">
        <v>453</v>
      </c>
      <c r="D842" s="278" t="s">
        <v>1347</v>
      </c>
      <c r="E842" s="278" t="s">
        <v>1756</v>
      </c>
      <c r="F842" s="218">
        <v>3450</v>
      </c>
      <c r="G842" s="218">
        <v>3450</v>
      </c>
      <c r="H842" s="147" t="str">
        <f t="shared" si="14"/>
        <v>07070130080000200</v>
      </c>
    </row>
    <row r="843" spans="1:8" ht="38.25">
      <c r="A843" s="212" t="s">
        <v>1502</v>
      </c>
      <c r="B843" s="278" t="s">
        <v>248</v>
      </c>
      <c r="C843" s="278" t="s">
        <v>453</v>
      </c>
      <c r="D843" s="278" t="s">
        <v>1347</v>
      </c>
      <c r="E843" s="278" t="s">
        <v>1503</v>
      </c>
      <c r="F843" s="218">
        <v>3450</v>
      </c>
      <c r="G843" s="218">
        <v>3450</v>
      </c>
      <c r="H843" s="147" t="str">
        <f t="shared" si="14"/>
        <v>07070130080000240</v>
      </c>
    </row>
    <row r="844" spans="1:8">
      <c r="A844" s="212" t="s">
        <v>1577</v>
      </c>
      <c r="B844" s="278" t="s">
        <v>248</v>
      </c>
      <c r="C844" s="278" t="s">
        <v>453</v>
      </c>
      <c r="D844" s="278" t="s">
        <v>1347</v>
      </c>
      <c r="E844" s="278" t="s">
        <v>416</v>
      </c>
      <c r="F844" s="218">
        <v>3450</v>
      </c>
      <c r="G844" s="218">
        <v>3450</v>
      </c>
      <c r="H844" s="147" t="str">
        <f t="shared" si="14"/>
        <v>07070130080000244</v>
      </c>
    </row>
    <row r="845" spans="1:8" ht="114.75">
      <c r="A845" s="212" t="s">
        <v>718</v>
      </c>
      <c r="B845" s="278" t="s">
        <v>248</v>
      </c>
      <c r="C845" s="278" t="s">
        <v>453</v>
      </c>
      <c r="D845" s="278" t="s">
        <v>1348</v>
      </c>
      <c r="E845" s="278" t="s">
        <v>1468</v>
      </c>
      <c r="F845" s="218">
        <v>200000</v>
      </c>
      <c r="G845" s="218">
        <v>200000</v>
      </c>
      <c r="H845" s="147" t="str">
        <f t="shared" si="14"/>
        <v>0707013008П000</v>
      </c>
    </row>
    <row r="846" spans="1:8" ht="38.25">
      <c r="A846" s="212" t="s">
        <v>1755</v>
      </c>
      <c r="B846" s="278" t="s">
        <v>248</v>
      </c>
      <c r="C846" s="278" t="s">
        <v>453</v>
      </c>
      <c r="D846" s="278" t="s">
        <v>1348</v>
      </c>
      <c r="E846" s="278" t="s">
        <v>1756</v>
      </c>
      <c r="F846" s="218">
        <v>200000</v>
      </c>
      <c r="G846" s="218">
        <v>200000</v>
      </c>
      <c r="H846" s="147" t="str">
        <f t="shared" si="14"/>
        <v>0707013008П000200</v>
      </c>
    </row>
    <row r="847" spans="1:8" ht="38.25">
      <c r="A847" s="212" t="s">
        <v>1502</v>
      </c>
      <c r="B847" s="278" t="s">
        <v>248</v>
      </c>
      <c r="C847" s="278" t="s">
        <v>453</v>
      </c>
      <c r="D847" s="278" t="s">
        <v>1348</v>
      </c>
      <c r="E847" s="278" t="s">
        <v>1503</v>
      </c>
      <c r="F847" s="218">
        <v>200000</v>
      </c>
      <c r="G847" s="218">
        <v>200000</v>
      </c>
      <c r="H847" s="147" t="str">
        <f t="shared" si="14"/>
        <v>0707013008П000240</v>
      </c>
    </row>
    <row r="848" spans="1:8">
      <c r="A848" s="212" t="s">
        <v>1577</v>
      </c>
      <c r="B848" s="278" t="s">
        <v>248</v>
      </c>
      <c r="C848" s="278" t="s">
        <v>453</v>
      </c>
      <c r="D848" s="278" t="s">
        <v>1348</v>
      </c>
      <c r="E848" s="278" t="s">
        <v>416</v>
      </c>
      <c r="F848" s="218">
        <v>200000</v>
      </c>
      <c r="G848" s="218">
        <v>200000</v>
      </c>
      <c r="H848" s="147" t="str">
        <f t="shared" si="14"/>
        <v>0707013008П000244</v>
      </c>
    </row>
    <row r="849" spans="1:8">
      <c r="A849" s="212" t="s">
        <v>4</v>
      </c>
      <c r="B849" s="278" t="s">
        <v>248</v>
      </c>
      <c r="C849" s="278" t="s">
        <v>509</v>
      </c>
      <c r="D849" s="278" t="s">
        <v>1468</v>
      </c>
      <c r="E849" s="278" t="s">
        <v>1468</v>
      </c>
      <c r="F849" s="218">
        <v>71346011</v>
      </c>
      <c r="G849" s="218">
        <v>71346011</v>
      </c>
      <c r="H849" s="147" t="str">
        <f t="shared" si="14"/>
        <v>0709</v>
      </c>
    </row>
    <row r="850" spans="1:8" ht="25.5">
      <c r="A850" s="212" t="s">
        <v>535</v>
      </c>
      <c r="B850" s="278" t="s">
        <v>248</v>
      </c>
      <c r="C850" s="278" t="s">
        <v>509</v>
      </c>
      <c r="D850" s="278" t="s">
        <v>1105</v>
      </c>
      <c r="E850" s="278" t="s">
        <v>1468</v>
      </c>
      <c r="F850" s="218">
        <v>71346011</v>
      </c>
      <c r="G850" s="218">
        <v>71346011</v>
      </c>
      <c r="H850" s="147" t="str">
        <f t="shared" si="14"/>
        <v>07090100000000</v>
      </c>
    </row>
    <row r="851" spans="1:8" ht="38.25">
      <c r="A851" s="212" t="s">
        <v>536</v>
      </c>
      <c r="B851" s="278" t="s">
        <v>248</v>
      </c>
      <c r="C851" s="278" t="s">
        <v>509</v>
      </c>
      <c r="D851" s="278" t="s">
        <v>1106</v>
      </c>
      <c r="E851" s="278" t="s">
        <v>1468</v>
      </c>
      <c r="F851" s="218">
        <v>220000</v>
      </c>
      <c r="G851" s="218">
        <v>220000</v>
      </c>
      <c r="H851" s="147" t="str">
        <f t="shared" si="14"/>
        <v>07090110000000</v>
      </c>
    </row>
    <row r="852" spans="1:8" ht="89.25">
      <c r="A852" s="212" t="s">
        <v>500</v>
      </c>
      <c r="B852" s="278" t="s">
        <v>248</v>
      </c>
      <c r="C852" s="278" t="s">
        <v>509</v>
      </c>
      <c r="D852" s="278" t="s">
        <v>889</v>
      </c>
      <c r="E852" s="278" t="s">
        <v>1468</v>
      </c>
      <c r="F852" s="218">
        <v>220000</v>
      </c>
      <c r="G852" s="218">
        <v>220000</v>
      </c>
      <c r="H852" s="147" t="str">
        <f t="shared" si="14"/>
        <v>07090110080020</v>
      </c>
    </row>
    <row r="853" spans="1:8" ht="38.25">
      <c r="A853" s="212" t="s">
        <v>1755</v>
      </c>
      <c r="B853" s="278" t="s">
        <v>248</v>
      </c>
      <c r="C853" s="278" t="s">
        <v>509</v>
      </c>
      <c r="D853" s="278" t="s">
        <v>889</v>
      </c>
      <c r="E853" s="278" t="s">
        <v>1756</v>
      </c>
      <c r="F853" s="218">
        <v>220000</v>
      </c>
      <c r="G853" s="218">
        <v>220000</v>
      </c>
      <c r="H853" s="147" t="str">
        <f t="shared" si="14"/>
        <v>07090110080020200</v>
      </c>
    </row>
    <row r="854" spans="1:8" ht="38.25">
      <c r="A854" s="212" t="s">
        <v>1502</v>
      </c>
      <c r="B854" s="278" t="s">
        <v>248</v>
      </c>
      <c r="C854" s="278" t="s">
        <v>509</v>
      </c>
      <c r="D854" s="278" t="s">
        <v>889</v>
      </c>
      <c r="E854" s="278" t="s">
        <v>1503</v>
      </c>
      <c r="F854" s="218">
        <v>220000</v>
      </c>
      <c r="G854" s="218">
        <v>220000</v>
      </c>
      <c r="H854" s="147" t="str">
        <f t="shared" si="14"/>
        <v>07090110080020240</v>
      </c>
    </row>
    <row r="855" spans="1:8">
      <c r="A855" s="212" t="s">
        <v>1577</v>
      </c>
      <c r="B855" s="278" t="s">
        <v>248</v>
      </c>
      <c r="C855" s="278" t="s">
        <v>509</v>
      </c>
      <c r="D855" s="278" t="s">
        <v>889</v>
      </c>
      <c r="E855" s="278" t="s">
        <v>416</v>
      </c>
      <c r="F855" s="218">
        <v>220000</v>
      </c>
      <c r="G855" s="218">
        <v>220000</v>
      </c>
      <c r="H855" s="147" t="str">
        <f t="shared" si="14"/>
        <v>07090110080020244</v>
      </c>
    </row>
    <row r="856" spans="1:8" ht="51">
      <c r="A856" s="212" t="s">
        <v>538</v>
      </c>
      <c r="B856" s="278" t="s">
        <v>248</v>
      </c>
      <c r="C856" s="278" t="s">
        <v>509</v>
      </c>
      <c r="D856" s="278" t="s">
        <v>1356</v>
      </c>
      <c r="E856" s="278" t="s">
        <v>1468</v>
      </c>
      <c r="F856" s="218">
        <v>4901600</v>
      </c>
      <c r="G856" s="218">
        <v>4901600</v>
      </c>
      <c r="H856" s="147" t="str">
        <f t="shared" si="14"/>
        <v>07090120000000</v>
      </c>
    </row>
    <row r="857" spans="1:8" ht="127.5">
      <c r="A857" s="212" t="s">
        <v>510</v>
      </c>
      <c r="B857" s="278" t="s">
        <v>248</v>
      </c>
      <c r="C857" s="278" t="s">
        <v>509</v>
      </c>
      <c r="D857" s="278" t="s">
        <v>1346</v>
      </c>
      <c r="E857" s="278" t="s">
        <v>1468</v>
      </c>
      <c r="F857" s="218">
        <v>4901600</v>
      </c>
      <c r="G857" s="218">
        <v>4901600</v>
      </c>
      <c r="H857" s="147" t="str">
        <f t="shared" si="14"/>
        <v>07090120075520</v>
      </c>
    </row>
    <row r="858" spans="1:8" ht="76.5">
      <c r="A858" s="212" t="s">
        <v>1754</v>
      </c>
      <c r="B858" s="278" t="s">
        <v>248</v>
      </c>
      <c r="C858" s="278" t="s">
        <v>509</v>
      </c>
      <c r="D858" s="278" t="s">
        <v>1346</v>
      </c>
      <c r="E858" s="278" t="s">
        <v>322</v>
      </c>
      <c r="F858" s="218">
        <v>3916873</v>
      </c>
      <c r="G858" s="218">
        <v>3916873</v>
      </c>
      <c r="H858" s="147" t="str">
        <f t="shared" si="14"/>
        <v>07090120075520100</v>
      </c>
    </row>
    <row r="859" spans="1:8" ht="38.25">
      <c r="A859" s="212" t="s">
        <v>1509</v>
      </c>
      <c r="B859" s="278" t="s">
        <v>248</v>
      </c>
      <c r="C859" s="278" t="s">
        <v>509</v>
      </c>
      <c r="D859" s="278" t="s">
        <v>1346</v>
      </c>
      <c r="E859" s="278" t="s">
        <v>37</v>
      </c>
      <c r="F859" s="218">
        <v>3916873</v>
      </c>
      <c r="G859" s="218">
        <v>3916873</v>
      </c>
      <c r="H859" s="147" t="str">
        <f t="shared" si="14"/>
        <v>07090120075520120</v>
      </c>
    </row>
    <row r="860" spans="1:8" ht="25.5">
      <c r="A860" s="212" t="s">
        <v>1081</v>
      </c>
      <c r="B860" s="278" t="s">
        <v>248</v>
      </c>
      <c r="C860" s="278" t="s">
        <v>509</v>
      </c>
      <c r="D860" s="278" t="s">
        <v>1346</v>
      </c>
      <c r="E860" s="278" t="s">
        <v>411</v>
      </c>
      <c r="F860" s="218">
        <v>2777936</v>
      </c>
      <c r="G860" s="218">
        <v>2777936</v>
      </c>
      <c r="H860" s="147" t="str">
        <f t="shared" si="14"/>
        <v>07090120075520121</v>
      </c>
    </row>
    <row r="861" spans="1:8" ht="51">
      <c r="A861" s="212" t="s">
        <v>412</v>
      </c>
      <c r="B861" s="278" t="s">
        <v>248</v>
      </c>
      <c r="C861" s="278" t="s">
        <v>509</v>
      </c>
      <c r="D861" s="278" t="s">
        <v>1346</v>
      </c>
      <c r="E861" s="278" t="s">
        <v>413</v>
      </c>
      <c r="F861" s="218">
        <v>300000</v>
      </c>
      <c r="G861" s="218">
        <v>300000</v>
      </c>
      <c r="H861" s="147" t="str">
        <f t="shared" si="14"/>
        <v>07090120075520122</v>
      </c>
    </row>
    <row r="862" spans="1:8" ht="63.75">
      <c r="A862" s="212" t="s">
        <v>1195</v>
      </c>
      <c r="B862" s="278" t="s">
        <v>248</v>
      </c>
      <c r="C862" s="278" t="s">
        <v>509</v>
      </c>
      <c r="D862" s="278" t="s">
        <v>1346</v>
      </c>
      <c r="E862" s="278" t="s">
        <v>1196</v>
      </c>
      <c r="F862" s="218">
        <v>838937</v>
      </c>
      <c r="G862" s="218">
        <v>838937</v>
      </c>
      <c r="H862" s="147" t="str">
        <f t="shared" si="14"/>
        <v>07090120075520129</v>
      </c>
    </row>
    <row r="863" spans="1:8" ht="38.25">
      <c r="A863" s="212" t="s">
        <v>1755</v>
      </c>
      <c r="B863" s="278" t="s">
        <v>248</v>
      </c>
      <c r="C863" s="278" t="s">
        <v>509</v>
      </c>
      <c r="D863" s="278" t="s">
        <v>1346</v>
      </c>
      <c r="E863" s="278" t="s">
        <v>1756</v>
      </c>
      <c r="F863" s="218">
        <v>984727</v>
      </c>
      <c r="G863" s="218">
        <v>984727</v>
      </c>
      <c r="H863" s="147" t="str">
        <f t="shared" si="14"/>
        <v>07090120075520200</v>
      </c>
    </row>
    <row r="864" spans="1:8" ht="38.25">
      <c r="A864" s="212" t="s">
        <v>1502</v>
      </c>
      <c r="B864" s="278" t="s">
        <v>248</v>
      </c>
      <c r="C864" s="278" t="s">
        <v>509</v>
      </c>
      <c r="D864" s="278" t="s">
        <v>1346</v>
      </c>
      <c r="E864" s="278" t="s">
        <v>1503</v>
      </c>
      <c r="F864" s="218">
        <v>984727</v>
      </c>
      <c r="G864" s="218">
        <v>984727</v>
      </c>
      <c r="H864" s="147" t="str">
        <f t="shared" si="14"/>
        <v>07090120075520240</v>
      </c>
    </row>
    <row r="865" spans="1:8">
      <c r="A865" s="212" t="s">
        <v>1577</v>
      </c>
      <c r="B865" s="278" t="s">
        <v>248</v>
      </c>
      <c r="C865" s="278" t="s">
        <v>509</v>
      </c>
      <c r="D865" s="278" t="s">
        <v>1346</v>
      </c>
      <c r="E865" s="278" t="s">
        <v>416</v>
      </c>
      <c r="F865" s="218">
        <v>984727</v>
      </c>
      <c r="G865" s="218">
        <v>984727</v>
      </c>
      <c r="H865" s="147" t="str">
        <f t="shared" si="14"/>
        <v>07090120075520244</v>
      </c>
    </row>
    <row r="866" spans="1:8" ht="38.25">
      <c r="A866" s="212" t="s">
        <v>725</v>
      </c>
      <c r="B866" s="278" t="s">
        <v>248</v>
      </c>
      <c r="C866" s="278" t="s">
        <v>509</v>
      </c>
      <c r="D866" s="278" t="s">
        <v>1107</v>
      </c>
      <c r="E866" s="278" t="s">
        <v>1468</v>
      </c>
      <c r="F866" s="218">
        <v>66224411</v>
      </c>
      <c r="G866" s="218">
        <v>66224411</v>
      </c>
      <c r="H866" s="147" t="str">
        <f t="shared" si="14"/>
        <v>07090130000000</v>
      </c>
    </row>
    <row r="867" spans="1:8" ht="102">
      <c r="A867" s="212" t="s">
        <v>719</v>
      </c>
      <c r="B867" s="278" t="s">
        <v>248</v>
      </c>
      <c r="C867" s="278" t="s">
        <v>509</v>
      </c>
      <c r="D867" s="278" t="s">
        <v>1349</v>
      </c>
      <c r="E867" s="278" t="s">
        <v>1468</v>
      </c>
      <c r="F867" s="218">
        <v>45546296</v>
      </c>
      <c r="G867" s="218">
        <v>45546296</v>
      </c>
      <c r="H867" s="147" t="str">
        <f t="shared" si="14"/>
        <v>07090130040000</v>
      </c>
    </row>
    <row r="868" spans="1:8" ht="76.5">
      <c r="A868" s="212" t="s">
        <v>1754</v>
      </c>
      <c r="B868" s="278" t="s">
        <v>248</v>
      </c>
      <c r="C868" s="278" t="s">
        <v>509</v>
      </c>
      <c r="D868" s="278" t="s">
        <v>1349</v>
      </c>
      <c r="E868" s="278" t="s">
        <v>322</v>
      </c>
      <c r="F868" s="218">
        <v>40601296</v>
      </c>
      <c r="G868" s="218">
        <v>40601296</v>
      </c>
      <c r="H868" s="147" t="str">
        <f t="shared" si="14"/>
        <v>07090130040000100</v>
      </c>
    </row>
    <row r="869" spans="1:8" ht="25.5">
      <c r="A869" s="212" t="s">
        <v>1487</v>
      </c>
      <c r="B869" s="278" t="s">
        <v>248</v>
      </c>
      <c r="C869" s="278" t="s">
        <v>509</v>
      </c>
      <c r="D869" s="278" t="s">
        <v>1349</v>
      </c>
      <c r="E869" s="278" t="s">
        <v>165</v>
      </c>
      <c r="F869" s="218">
        <v>40601296</v>
      </c>
      <c r="G869" s="218">
        <v>40601296</v>
      </c>
      <c r="H869" s="147" t="str">
        <f t="shared" si="14"/>
        <v>07090130040000110</v>
      </c>
    </row>
    <row r="870" spans="1:8">
      <c r="A870" s="212" t="s">
        <v>1360</v>
      </c>
      <c r="B870" s="278" t="s">
        <v>248</v>
      </c>
      <c r="C870" s="278" t="s">
        <v>509</v>
      </c>
      <c r="D870" s="278" t="s">
        <v>1349</v>
      </c>
      <c r="E870" s="278" t="s">
        <v>430</v>
      </c>
      <c r="F870" s="218">
        <v>31116587</v>
      </c>
      <c r="G870" s="218">
        <v>31116587</v>
      </c>
      <c r="H870" s="147" t="str">
        <f t="shared" ref="H870:H933" si="15">CONCATENATE(C870,,D870,E870)</f>
        <v>07090130040000111</v>
      </c>
    </row>
    <row r="871" spans="1:8" ht="25.5">
      <c r="A871" s="212" t="s">
        <v>1369</v>
      </c>
      <c r="B871" s="278" t="s">
        <v>248</v>
      </c>
      <c r="C871" s="278" t="s">
        <v>509</v>
      </c>
      <c r="D871" s="278" t="s">
        <v>1349</v>
      </c>
      <c r="E871" s="278" t="s">
        <v>479</v>
      </c>
      <c r="F871" s="218">
        <v>87500</v>
      </c>
      <c r="G871" s="218">
        <v>87500</v>
      </c>
      <c r="H871" s="147" t="str">
        <f t="shared" si="15"/>
        <v>07090130040000112</v>
      </c>
    </row>
    <row r="872" spans="1:8" ht="51">
      <c r="A872" s="212" t="s">
        <v>1361</v>
      </c>
      <c r="B872" s="278" t="s">
        <v>248</v>
      </c>
      <c r="C872" s="278" t="s">
        <v>509</v>
      </c>
      <c r="D872" s="278" t="s">
        <v>1349</v>
      </c>
      <c r="E872" s="278" t="s">
        <v>1197</v>
      </c>
      <c r="F872" s="218">
        <v>9397209</v>
      </c>
      <c r="G872" s="218">
        <v>9397209</v>
      </c>
      <c r="H872" s="147" t="str">
        <f t="shared" si="15"/>
        <v>07090130040000119</v>
      </c>
    </row>
    <row r="873" spans="1:8" ht="38.25">
      <c r="A873" s="212" t="s">
        <v>1755</v>
      </c>
      <c r="B873" s="278" t="s">
        <v>248</v>
      </c>
      <c r="C873" s="278" t="s">
        <v>509</v>
      </c>
      <c r="D873" s="278" t="s">
        <v>1349</v>
      </c>
      <c r="E873" s="278" t="s">
        <v>1756</v>
      </c>
      <c r="F873" s="218">
        <v>4945000</v>
      </c>
      <c r="G873" s="218">
        <v>4945000</v>
      </c>
      <c r="H873" s="147" t="str">
        <f t="shared" si="15"/>
        <v>07090130040000200</v>
      </c>
    </row>
    <row r="874" spans="1:8" ht="38.25">
      <c r="A874" s="212" t="s">
        <v>1502</v>
      </c>
      <c r="B874" s="278" t="s">
        <v>248</v>
      </c>
      <c r="C874" s="278" t="s">
        <v>509</v>
      </c>
      <c r="D874" s="278" t="s">
        <v>1349</v>
      </c>
      <c r="E874" s="278" t="s">
        <v>1503</v>
      </c>
      <c r="F874" s="218">
        <v>4945000</v>
      </c>
      <c r="G874" s="218">
        <v>4945000</v>
      </c>
      <c r="H874" s="147" t="str">
        <f t="shared" si="15"/>
        <v>07090130040000240</v>
      </c>
    </row>
    <row r="875" spans="1:8">
      <c r="A875" s="212" t="s">
        <v>1577</v>
      </c>
      <c r="B875" s="278" t="s">
        <v>248</v>
      </c>
      <c r="C875" s="278" t="s">
        <v>509</v>
      </c>
      <c r="D875" s="278" t="s">
        <v>1349</v>
      </c>
      <c r="E875" s="278" t="s">
        <v>416</v>
      </c>
      <c r="F875" s="218">
        <v>4945000</v>
      </c>
      <c r="G875" s="218">
        <v>4945000</v>
      </c>
      <c r="H875" s="147" t="str">
        <f t="shared" si="15"/>
        <v>07090130040000244</v>
      </c>
    </row>
    <row r="876" spans="1:8" ht="102">
      <c r="A876" s="212" t="s">
        <v>720</v>
      </c>
      <c r="B876" s="278" t="s">
        <v>248</v>
      </c>
      <c r="C876" s="278" t="s">
        <v>509</v>
      </c>
      <c r="D876" s="278" t="s">
        <v>1355</v>
      </c>
      <c r="E876" s="278" t="s">
        <v>1468</v>
      </c>
      <c r="F876" s="218">
        <v>974891</v>
      </c>
      <c r="G876" s="218">
        <v>974891</v>
      </c>
      <c r="H876" s="147" t="str">
        <f t="shared" si="15"/>
        <v>07090130040050</v>
      </c>
    </row>
    <row r="877" spans="1:8" ht="76.5">
      <c r="A877" s="212" t="s">
        <v>1754</v>
      </c>
      <c r="B877" s="278" t="s">
        <v>248</v>
      </c>
      <c r="C877" s="278" t="s">
        <v>509</v>
      </c>
      <c r="D877" s="278" t="s">
        <v>1355</v>
      </c>
      <c r="E877" s="278" t="s">
        <v>322</v>
      </c>
      <c r="F877" s="218">
        <v>974891</v>
      </c>
      <c r="G877" s="218">
        <v>974891</v>
      </c>
      <c r="H877" s="147" t="str">
        <f t="shared" si="15"/>
        <v>07090130040050100</v>
      </c>
    </row>
    <row r="878" spans="1:8" ht="25.5">
      <c r="A878" s="212" t="s">
        <v>1487</v>
      </c>
      <c r="B878" s="278" t="s">
        <v>248</v>
      </c>
      <c r="C878" s="278" t="s">
        <v>509</v>
      </c>
      <c r="D878" s="278" t="s">
        <v>1355</v>
      </c>
      <c r="E878" s="278" t="s">
        <v>165</v>
      </c>
      <c r="F878" s="218">
        <v>974891</v>
      </c>
      <c r="G878" s="218">
        <v>974891</v>
      </c>
      <c r="H878" s="147" t="str">
        <f t="shared" si="15"/>
        <v>07090130040050110</v>
      </c>
    </row>
    <row r="879" spans="1:8">
      <c r="A879" s="212" t="s">
        <v>1360</v>
      </c>
      <c r="B879" s="278" t="s">
        <v>248</v>
      </c>
      <c r="C879" s="278" t="s">
        <v>509</v>
      </c>
      <c r="D879" s="278" t="s">
        <v>1355</v>
      </c>
      <c r="E879" s="278" t="s">
        <v>430</v>
      </c>
      <c r="F879" s="218">
        <v>748764</v>
      </c>
      <c r="G879" s="218">
        <v>748764</v>
      </c>
      <c r="H879" s="147" t="str">
        <f t="shared" si="15"/>
        <v>07090130040050111</v>
      </c>
    </row>
    <row r="880" spans="1:8" ht="51">
      <c r="A880" s="212" t="s">
        <v>1361</v>
      </c>
      <c r="B880" s="278" t="s">
        <v>248</v>
      </c>
      <c r="C880" s="278" t="s">
        <v>509</v>
      </c>
      <c r="D880" s="278" t="s">
        <v>1355</v>
      </c>
      <c r="E880" s="278" t="s">
        <v>1197</v>
      </c>
      <c r="F880" s="218">
        <v>226127</v>
      </c>
      <c r="G880" s="218">
        <v>226127</v>
      </c>
      <c r="H880" s="147" t="str">
        <f t="shared" si="15"/>
        <v>07090130040050119</v>
      </c>
    </row>
    <row r="881" spans="1:8" ht="140.25">
      <c r="A881" s="212" t="s">
        <v>732</v>
      </c>
      <c r="B881" s="278" t="s">
        <v>248</v>
      </c>
      <c r="C881" s="278" t="s">
        <v>509</v>
      </c>
      <c r="D881" s="278" t="s">
        <v>1350</v>
      </c>
      <c r="E881" s="278" t="s">
        <v>1468</v>
      </c>
      <c r="F881" s="218">
        <v>11718000</v>
      </c>
      <c r="G881" s="218">
        <v>11718000</v>
      </c>
      <c r="H881" s="147" t="str">
        <f t="shared" si="15"/>
        <v>07090130041000</v>
      </c>
    </row>
    <row r="882" spans="1:8" ht="76.5">
      <c r="A882" s="212" t="s">
        <v>1754</v>
      </c>
      <c r="B882" s="278" t="s">
        <v>248</v>
      </c>
      <c r="C882" s="278" t="s">
        <v>509</v>
      </c>
      <c r="D882" s="278" t="s">
        <v>1350</v>
      </c>
      <c r="E882" s="278" t="s">
        <v>322</v>
      </c>
      <c r="F882" s="218">
        <v>11718000</v>
      </c>
      <c r="G882" s="218">
        <v>11718000</v>
      </c>
      <c r="H882" s="147" t="str">
        <f t="shared" si="15"/>
        <v>07090130041000100</v>
      </c>
    </row>
    <row r="883" spans="1:8" ht="25.5">
      <c r="A883" s="212" t="s">
        <v>1487</v>
      </c>
      <c r="B883" s="278" t="s">
        <v>248</v>
      </c>
      <c r="C883" s="278" t="s">
        <v>509</v>
      </c>
      <c r="D883" s="278" t="s">
        <v>1350</v>
      </c>
      <c r="E883" s="278" t="s">
        <v>165</v>
      </c>
      <c r="F883" s="218">
        <v>11718000</v>
      </c>
      <c r="G883" s="218">
        <v>11718000</v>
      </c>
      <c r="H883" s="147" t="str">
        <f t="shared" si="15"/>
        <v>07090130041000110</v>
      </c>
    </row>
    <row r="884" spans="1:8">
      <c r="A884" s="212" t="s">
        <v>1360</v>
      </c>
      <c r="B884" s="278" t="s">
        <v>248</v>
      </c>
      <c r="C884" s="278" t="s">
        <v>509</v>
      </c>
      <c r="D884" s="278" t="s">
        <v>1350</v>
      </c>
      <c r="E884" s="278" t="s">
        <v>430</v>
      </c>
      <c r="F884" s="218">
        <v>9000000</v>
      </c>
      <c r="G884" s="218">
        <v>9000000</v>
      </c>
      <c r="H884" s="147" t="str">
        <f t="shared" si="15"/>
        <v>07090130041000111</v>
      </c>
    </row>
    <row r="885" spans="1:8" ht="51">
      <c r="A885" s="212" t="s">
        <v>1361</v>
      </c>
      <c r="B885" s="278" t="s">
        <v>248</v>
      </c>
      <c r="C885" s="278" t="s">
        <v>509</v>
      </c>
      <c r="D885" s="278" t="s">
        <v>1350</v>
      </c>
      <c r="E885" s="278" t="s">
        <v>1197</v>
      </c>
      <c r="F885" s="218">
        <v>2718000</v>
      </c>
      <c r="G885" s="218">
        <v>2718000</v>
      </c>
      <c r="H885" s="147" t="str">
        <f t="shared" si="15"/>
        <v>07090130041000119</v>
      </c>
    </row>
    <row r="886" spans="1:8" ht="114.75">
      <c r="A886" s="212" t="s">
        <v>721</v>
      </c>
      <c r="B886" s="278" t="s">
        <v>248</v>
      </c>
      <c r="C886" s="278" t="s">
        <v>509</v>
      </c>
      <c r="D886" s="278" t="s">
        <v>1351</v>
      </c>
      <c r="E886" s="278" t="s">
        <v>1468</v>
      </c>
      <c r="F886" s="218">
        <v>445000</v>
      </c>
      <c r="G886" s="218">
        <v>445000</v>
      </c>
      <c r="H886" s="147" t="str">
        <f t="shared" si="15"/>
        <v>07090130047000</v>
      </c>
    </row>
    <row r="887" spans="1:8" ht="76.5">
      <c r="A887" s="212" t="s">
        <v>1754</v>
      </c>
      <c r="B887" s="278" t="s">
        <v>248</v>
      </c>
      <c r="C887" s="278" t="s">
        <v>509</v>
      </c>
      <c r="D887" s="278" t="s">
        <v>1351</v>
      </c>
      <c r="E887" s="278" t="s">
        <v>322</v>
      </c>
      <c r="F887" s="218">
        <v>445000</v>
      </c>
      <c r="G887" s="218">
        <v>445000</v>
      </c>
      <c r="H887" s="147" t="str">
        <f t="shared" si="15"/>
        <v>07090130047000100</v>
      </c>
    </row>
    <row r="888" spans="1:8" ht="25.5">
      <c r="A888" s="212" t="s">
        <v>1487</v>
      </c>
      <c r="B888" s="278" t="s">
        <v>248</v>
      </c>
      <c r="C888" s="278" t="s">
        <v>509</v>
      </c>
      <c r="D888" s="278" t="s">
        <v>1351</v>
      </c>
      <c r="E888" s="278" t="s">
        <v>165</v>
      </c>
      <c r="F888" s="218">
        <v>445000</v>
      </c>
      <c r="G888" s="218">
        <v>445000</v>
      </c>
      <c r="H888" s="147" t="str">
        <f t="shared" si="15"/>
        <v>07090130047000110</v>
      </c>
    </row>
    <row r="889" spans="1:8" ht="25.5">
      <c r="A889" s="212" t="s">
        <v>1369</v>
      </c>
      <c r="B889" s="278" t="s">
        <v>248</v>
      </c>
      <c r="C889" s="278" t="s">
        <v>509</v>
      </c>
      <c r="D889" s="278" t="s">
        <v>1351</v>
      </c>
      <c r="E889" s="278" t="s">
        <v>479</v>
      </c>
      <c r="F889" s="218">
        <v>445000</v>
      </c>
      <c r="G889" s="218">
        <v>445000</v>
      </c>
      <c r="H889" s="147" t="str">
        <f t="shared" si="15"/>
        <v>07090130047000112</v>
      </c>
    </row>
    <row r="890" spans="1:8" ht="89.25">
      <c r="A890" s="212" t="s">
        <v>722</v>
      </c>
      <c r="B890" s="278" t="s">
        <v>248</v>
      </c>
      <c r="C890" s="278" t="s">
        <v>509</v>
      </c>
      <c r="D890" s="278" t="s">
        <v>1352</v>
      </c>
      <c r="E890" s="278" t="s">
        <v>1468</v>
      </c>
      <c r="F890" s="218">
        <v>160000</v>
      </c>
      <c r="G890" s="218">
        <v>160000</v>
      </c>
      <c r="H890" s="147" t="str">
        <f t="shared" si="15"/>
        <v>0709013004Г000</v>
      </c>
    </row>
    <row r="891" spans="1:8" ht="38.25">
      <c r="A891" s="212" t="s">
        <v>1755</v>
      </c>
      <c r="B891" s="278" t="s">
        <v>248</v>
      </c>
      <c r="C891" s="278" t="s">
        <v>509</v>
      </c>
      <c r="D891" s="278" t="s">
        <v>1352</v>
      </c>
      <c r="E891" s="278" t="s">
        <v>1756</v>
      </c>
      <c r="F891" s="218">
        <v>160000</v>
      </c>
      <c r="G891" s="218">
        <v>160000</v>
      </c>
      <c r="H891" s="147" t="str">
        <f t="shared" si="15"/>
        <v>0709013004Г000200</v>
      </c>
    </row>
    <row r="892" spans="1:8" ht="38.25">
      <c r="A892" s="212" t="s">
        <v>1502</v>
      </c>
      <c r="B892" s="278" t="s">
        <v>248</v>
      </c>
      <c r="C892" s="278" t="s">
        <v>509</v>
      </c>
      <c r="D892" s="278" t="s">
        <v>1352</v>
      </c>
      <c r="E892" s="278" t="s">
        <v>1503</v>
      </c>
      <c r="F892" s="218">
        <v>160000</v>
      </c>
      <c r="G892" s="218">
        <v>160000</v>
      </c>
      <c r="H892" s="147" t="str">
        <f t="shared" si="15"/>
        <v>0709013004Г000240</v>
      </c>
    </row>
    <row r="893" spans="1:8">
      <c r="A893" s="212" t="s">
        <v>1577</v>
      </c>
      <c r="B893" s="278" t="s">
        <v>248</v>
      </c>
      <c r="C893" s="278" t="s">
        <v>509</v>
      </c>
      <c r="D893" s="278" t="s">
        <v>1352</v>
      </c>
      <c r="E893" s="278" t="s">
        <v>416</v>
      </c>
      <c r="F893" s="218">
        <v>160000</v>
      </c>
      <c r="G893" s="218">
        <v>160000</v>
      </c>
      <c r="H893" s="147" t="str">
        <f t="shared" si="15"/>
        <v>0709013004Г000244</v>
      </c>
    </row>
    <row r="894" spans="1:8" ht="76.5">
      <c r="A894" s="212" t="s">
        <v>1102</v>
      </c>
      <c r="B894" s="278" t="s">
        <v>248</v>
      </c>
      <c r="C894" s="278" t="s">
        <v>509</v>
      </c>
      <c r="D894" s="278" t="s">
        <v>1376</v>
      </c>
      <c r="E894" s="278" t="s">
        <v>1468</v>
      </c>
      <c r="F894" s="218">
        <v>1663324</v>
      </c>
      <c r="G894" s="218">
        <v>1663324</v>
      </c>
      <c r="H894" s="147" t="str">
        <f t="shared" si="15"/>
        <v>0709013004Э000</v>
      </c>
    </row>
    <row r="895" spans="1:8" ht="38.25">
      <c r="A895" s="212" t="s">
        <v>1755</v>
      </c>
      <c r="B895" s="278" t="s">
        <v>248</v>
      </c>
      <c r="C895" s="278" t="s">
        <v>509</v>
      </c>
      <c r="D895" s="278" t="s">
        <v>1376</v>
      </c>
      <c r="E895" s="278" t="s">
        <v>1756</v>
      </c>
      <c r="F895" s="218">
        <v>1663324</v>
      </c>
      <c r="G895" s="218">
        <v>1663324</v>
      </c>
      <c r="H895" s="147" t="str">
        <f t="shared" si="15"/>
        <v>0709013004Э000200</v>
      </c>
    </row>
    <row r="896" spans="1:8" ht="38.25">
      <c r="A896" s="212" t="s">
        <v>1502</v>
      </c>
      <c r="B896" s="278" t="s">
        <v>248</v>
      </c>
      <c r="C896" s="278" t="s">
        <v>509</v>
      </c>
      <c r="D896" s="278" t="s">
        <v>1376</v>
      </c>
      <c r="E896" s="278" t="s">
        <v>1503</v>
      </c>
      <c r="F896" s="218">
        <v>1663324</v>
      </c>
      <c r="G896" s="218">
        <v>1663324</v>
      </c>
      <c r="H896" s="147" t="str">
        <f t="shared" si="15"/>
        <v>0709013004Э000240</v>
      </c>
    </row>
    <row r="897" spans="1:8">
      <c r="A897" s="212" t="s">
        <v>1577</v>
      </c>
      <c r="B897" s="278" t="s">
        <v>248</v>
      </c>
      <c r="C897" s="278" t="s">
        <v>509</v>
      </c>
      <c r="D897" s="278" t="s">
        <v>1376</v>
      </c>
      <c r="E897" s="278" t="s">
        <v>416</v>
      </c>
      <c r="F897" s="218">
        <v>1663324</v>
      </c>
      <c r="G897" s="218">
        <v>1663324</v>
      </c>
      <c r="H897" s="147" t="str">
        <f t="shared" si="15"/>
        <v>0709013004Э000244</v>
      </c>
    </row>
    <row r="898" spans="1:8" ht="102">
      <c r="A898" s="212" t="s">
        <v>723</v>
      </c>
      <c r="B898" s="278" t="s">
        <v>248</v>
      </c>
      <c r="C898" s="278" t="s">
        <v>509</v>
      </c>
      <c r="D898" s="278" t="s">
        <v>1353</v>
      </c>
      <c r="E898" s="278" t="s">
        <v>1468</v>
      </c>
      <c r="F898" s="218">
        <v>5466900</v>
      </c>
      <c r="G898" s="218">
        <v>5466900</v>
      </c>
      <c r="H898" s="147" t="str">
        <f t="shared" si="15"/>
        <v>07090130060000</v>
      </c>
    </row>
    <row r="899" spans="1:8" ht="76.5">
      <c r="A899" s="212" t="s">
        <v>1754</v>
      </c>
      <c r="B899" s="278" t="s">
        <v>248</v>
      </c>
      <c r="C899" s="278" t="s">
        <v>509</v>
      </c>
      <c r="D899" s="278" t="s">
        <v>1353</v>
      </c>
      <c r="E899" s="278" t="s">
        <v>322</v>
      </c>
      <c r="F899" s="218">
        <v>5406900</v>
      </c>
      <c r="G899" s="218">
        <v>5406900</v>
      </c>
      <c r="H899" s="147" t="str">
        <f t="shared" si="15"/>
        <v>07090130060000100</v>
      </c>
    </row>
    <row r="900" spans="1:8" ht="38.25">
      <c r="A900" s="212" t="s">
        <v>1509</v>
      </c>
      <c r="B900" s="278" t="s">
        <v>248</v>
      </c>
      <c r="C900" s="278" t="s">
        <v>509</v>
      </c>
      <c r="D900" s="278" t="s">
        <v>1353</v>
      </c>
      <c r="E900" s="278" t="s">
        <v>37</v>
      </c>
      <c r="F900" s="218">
        <v>5406900</v>
      </c>
      <c r="G900" s="218">
        <v>5406900</v>
      </c>
      <c r="H900" s="147" t="str">
        <f t="shared" si="15"/>
        <v>07090130060000120</v>
      </c>
    </row>
    <row r="901" spans="1:8" ht="25.5">
      <c r="A901" s="212" t="s">
        <v>1081</v>
      </c>
      <c r="B901" s="278" t="s">
        <v>248</v>
      </c>
      <c r="C901" s="278" t="s">
        <v>509</v>
      </c>
      <c r="D901" s="278" t="s">
        <v>1353</v>
      </c>
      <c r="E901" s="278" t="s">
        <v>411</v>
      </c>
      <c r="F901" s="218">
        <v>3991475</v>
      </c>
      <c r="G901" s="218">
        <v>3991475</v>
      </c>
      <c r="H901" s="147" t="str">
        <f t="shared" si="15"/>
        <v>07090130060000121</v>
      </c>
    </row>
    <row r="902" spans="1:8" ht="51">
      <c r="A902" s="212" t="s">
        <v>412</v>
      </c>
      <c r="B902" s="278" t="s">
        <v>248</v>
      </c>
      <c r="C902" s="278" t="s">
        <v>509</v>
      </c>
      <c r="D902" s="278" t="s">
        <v>1353</v>
      </c>
      <c r="E902" s="278" t="s">
        <v>413</v>
      </c>
      <c r="F902" s="218">
        <v>210000</v>
      </c>
      <c r="G902" s="218">
        <v>210000</v>
      </c>
      <c r="H902" s="147" t="str">
        <f t="shared" si="15"/>
        <v>07090130060000122</v>
      </c>
    </row>
    <row r="903" spans="1:8" ht="63.75">
      <c r="A903" s="212" t="s">
        <v>1195</v>
      </c>
      <c r="B903" s="278" t="s">
        <v>248</v>
      </c>
      <c r="C903" s="278" t="s">
        <v>509</v>
      </c>
      <c r="D903" s="278" t="s">
        <v>1353</v>
      </c>
      <c r="E903" s="278" t="s">
        <v>1196</v>
      </c>
      <c r="F903" s="218">
        <v>1205425</v>
      </c>
      <c r="G903" s="218">
        <v>1205425</v>
      </c>
      <c r="H903" s="147" t="str">
        <f t="shared" si="15"/>
        <v>07090130060000129</v>
      </c>
    </row>
    <row r="904" spans="1:8" ht="38.25">
      <c r="A904" s="212" t="s">
        <v>1755</v>
      </c>
      <c r="B904" s="278" t="s">
        <v>248</v>
      </c>
      <c r="C904" s="278" t="s">
        <v>509</v>
      </c>
      <c r="D904" s="278" t="s">
        <v>1353</v>
      </c>
      <c r="E904" s="278" t="s">
        <v>1756</v>
      </c>
      <c r="F904" s="218">
        <v>60000</v>
      </c>
      <c r="G904" s="218">
        <v>60000</v>
      </c>
      <c r="H904" s="147" t="str">
        <f t="shared" si="15"/>
        <v>07090130060000200</v>
      </c>
    </row>
    <row r="905" spans="1:8" ht="38.25">
      <c r="A905" s="212" t="s">
        <v>1502</v>
      </c>
      <c r="B905" s="278" t="s">
        <v>248</v>
      </c>
      <c r="C905" s="278" t="s">
        <v>509</v>
      </c>
      <c r="D905" s="278" t="s">
        <v>1353</v>
      </c>
      <c r="E905" s="278" t="s">
        <v>1503</v>
      </c>
      <c r="F905" s="218">
        <v>60000</v>
      </c>
      <c r="G905" s="218">
        <v>60000</v>
      </c>
      <c r="H905" s="147" t="str">
        <f t="shared" si="15"/>
        <v>07090130060000240</v>
      </c>
    </row>
    <row r="906" spans="1:8">
      <c r="A906" s="212" t="s">
        <v>1577</v>
      </c>
      <c r="B906" s="278" t="s">
        <v>248</v>
      </c>
      <c r="C906" s="278" t="s">
        <v>509</v>
      </c>
      <c r="D906" s="278" t="s">
        <v>1353</v>
      </c>
      <c r="E906" s="278" t="s">
        <v>416</v>
      </c>
      <c r="F906" s="218">
        <v>60000</v>
      </c>
      <c r="G906" s="218">
        <v>60000</v>
      </c>
      <c r="H906" s="147" t="str">
        <f t="shared" si="15"/>
        <v>07090130060000244</v>
      </c>
    </row>
    <row r="907" spans="1:8" ht="127.5">
      <c r="A907" s="212" t="s">
        <v>724</v>
      </c>
      <c r="B907" s="278" t="s">
        <v>248</v>
      </c>
      <c r="C907" s="278" t="s">
        <v>509</v>
      </c>
      <c r="D907" s="278" t="s">
        <v>1354</v>
      </c>
      <c r="E907" s="278" t="s">
        <v>1468</v>
      </c>
      <c r="F907" s="218">
        <v>250000</v>
      </c>
      <c r="G907" s="218">
        <v>250000</v>
      </c>
      <c r="H907" s="147" t="str">
        <f t="shared" si="15"/>
        <v>07090130067000</v>
      </c>
    </row>
    <row r="908" spans="1:8" ht="76.5">
      <c r="A908" s="212" t="s">
        <v>1754</v>
      </c>
      <c r="B908" s="278" t="s">
        <v>248</v>
      </c>
      <c r="C908" s="278" t="s">
        <v>509</v>
      </c>
      <c r="D908" s="278" t="s">
        <v>1354</v>
      </c>
      <c r="E908" s="278" t="s">
        <v>322</v>
      </c>
      <c r="F908" s="218">
        <v>250000</v>
      </c>
      <c r="G908" s="218">
        <v>250000</v>
      </c>
      <c r="H908" s="147" t="str">
        <f t="shared" si="15"/>
        <v>07090130067000100</v>
      </c>
    </row>
    <row r="909" spans="1:8" ht="38.25">
      <c r="A909" s="212" t="s">
        <v>1509</v>
      </c>
      <c r="B909" s="278" t="s">
        <v>248</v>
      </c>
      <c r="C909" s="278" t="s">
        <v>509</v>
      </c>
      <c r="D909" s="278" t="s">
        <v>1354</v>
      </c>
      <c r="E909" s="278" t="s">
        <v>37</v>
      </c>
      <c r="F909" s="218">
        <v>250000</v>
      </c>
      <c r="G909" s="218">
        <v>250000</v>
      </c>
      <c r="H909" s="147" t="str">
        <f t="shared" si="15"/>
        <v>07090130067000120</v>
      </c>
    </row>
    <row r="910" spans="1:8" ht="51">
      <c r="A910" s="212" t="s">
        <v>412</v>
      </c>
      <c r="B910" s="278" t="s">
        <v>248</v>
      </c>
      <c r="C910" s="278" t="s">
        <v>509</v>
      </c>
      <c r="D910" s="278" t="s">
        <v>1354</v>
      </c>
      <c r="E910" s="278" t="s">
        <v>413</v>
      </c>
      <c r="F910" s="218">
        <v>250000</v>
      </c>
      <c r="G910" s="218">
        <v>250000</v>
      </c>
      <c r="H910" s="147" t="str">
        <f t="shared" si="15"/>
        <v>07090130067000122</v>
      </c>
    </row>
    <row r="911" spans="1:8">
      <c r="A911" s="212" t="s">
        <v>174</v>
      </c>
      <c r="B911" s="278" t="s">
        <v>248</v>
      </c>
      <c r="C911" s="278" t="s">
        <v>1365</v>
      </c>
      <c r="D911" s="278" t="s">
        <v>1468</v>
      </c>
      <c r="E911" s="278" t="s">
        <v>1468</v>
      </c>
      <c r="F911" s="218">
        <v>40275000</v>
      </c>
      <c r="G911" s="218">
        <v>40275000</v>
      </c>
      <c r="H911" s="147" t="str">
        <f t="shared" si="15"/>
        <v>1000</v>
      </c>
    </row>
    <row r="912" spans="1:8">
      <c r="A912" s="212" t="s">
        <v>127</v>
      </c>
      <c r="B912" s="278" t="s">
        <v>248</v>
      </c>
      <c r="C912" s="278" t="s">
        <v>466</v>
      </c>
      <c r="D912" s="278" t="s">
        <v>1468</v>
      </c>
      <c r="E912" s="278" t="s">
        <v>1468</v>
      </c>
      <c r="F912" s="218">
        <v>34643200</v>
      </c>
      <c r="G912" s="218">
        <v>34643200</v>
      </c>
      <c r="H912" s="147" t="str">
        <f t="shared" si="15"/>
        <v>1003</v>
      </c>
    </row>
    <row r="913" spans="1:8" ht="25.5">
      <c r="A913" s="212" t="s">
        <v>535</v>
      </c>
      <c r="B913" s="278" t="s">
        <v>248</v>
      </c>
      <c r="C913" s="278" t="s">
        <v>466</v>
      </c>
      <c r="D913" s="278" t="s">
        <v>1105</v>
      </c>
      <c r="E913" s="278" t="s">
        <v>1468</v>
      </c>
      <c r="F913" s="218">
        <v>34643200</v>
      </c>
      <c r="G913" s="218">
        <v>34643200</v>
      </c>
      <c r="H913" s="147" t="str">
        <f t="shared" si="15"/>
        <v>10030100000000</v>
      </c>
    </row>
    <row r="914" spans="1:8" ht="38.25">
      <c r="A914" s="212" t="s">
        <v>536</v>
      </c>
      <c r="B914" s="278" t="s">
        <v>248</v>
      </c>
      <c r="C914" s="278" t="s">
        <v>466</v>
      </c>
      <c r="D914" s="278" t="s">
        <v>1106</v>
      </c>
      <c r="E914" s="278" t="s">
        <v>1468</v>
      </c>
      <c r="F914" s="218">
        <v>34643200</v>
      </c>
      <c r="G914" s="218">
        <v>34643200</v>
      </c>
      <c r="H914" s="147" t="str">
        <f t="shared" si="15"/>
        <v>10030110000000</v>
      </c>
    </row>
    <row r="915" spans="1:8" ht="204">
      <c r="A915" s="212" t="s">
        <v>628</v>
      </c>
      <c r="B915" s="278" t="s">
        <v>248</v>
      </c>
      <c r="C915" s="278" t="s">
        <v>466</v>
      </c>
      <c r="D915" s="278" t="s">
        <v>913</v>
      </c>
      <c r="E915" s="278" t="s">
        <v>1468</v>
      </c>
      <c r="F915" s="218">
        <v>734200</v>
      </c>
      <c r="G915" s="218">
        <v>734200</v>
      </c>
      <c r="H915" s="147" t="str">
        <f t="shared" si="15"/>
        <v>10030110075540</v>
      </c>
    </row>
    <row r="916" spans="1:8" ht="38.25">
      <c r="A916" s="212" t="s">
        <v>1755</v>
      </c>
      <c r="B916" s="278" t="s">
        <v>248</v>
      </c>
      <c r="C916" s="278" t="s">
        <v>466</v>
      </c>
      <c r="D916" s="278" t="s">
        <v>913</v>
      </c>
      <c r="E916" s="278" t="s">
        <v>1756</v>
      </c>
      <c r="F916" s="218">
        <v>734200</v>
      </c>
      <c r="G916" s="218">
        <v>734200</v>
      </c>
      <c r="H916" s="147" t="str">
        <f t="shared" si="15"/>
        <v>10030110075540200</v>
      </c>
    </row>
    <row r="917" spans="1:8" ht="38.25">
      <c r="A917" s="212" t="s">
        <v>1502</v>
      </c>
      <c r="B917" s="278" t="s">
        <v>248</v>
      </c>
      <c r="C917" s="278" t="s">
        <v>466</v>
      </c>
      <c r="D917" s="278" t="s">
        <v>913</v>
      </c>
      <c r="E917" s="278" t="s">
        <v>1503</v>
      </c>
      <c r="F917" s="218">
        <v>734200</v>
      </c>
      <c r="G917" s="218">
        <v>734200</v>
      </c>
      <c r="H917" s="147" t="str">
        <f t="shared" si="15"/>
        <v>10030110075540240</v>
      </c>
    </row>
    <row r="918" spans="1:8">
      <c r="A918" s="212" t="s">
        <v>1577</v>
      </c>
      <c r="B918" s="278" t="s">
        <v>248</v>
      </c>
      <c r="C918" s="278" t="s">
        <v>466</v>
      </c>
      <c r="D918" s="278" t="s">
        <v>913</v>
      </c>
      <c r="E918" s="278" t="s">
        <v>416</v>
      </c>
      <c r="F918" s="218">
        <v>734200</v>
      </c>
      <c r="G918" s="218">
        <v>734200</v>
      </c>
      <c r="H918" s="147" t="str">
        <f t="shared" si="15"/>
        <v>10030110075540244</v>
      </c>
    </row>
    <row r="919" spans="1:8" ht="140.25">
      <c r="A919" s="212" t="s">
        <v>511</v>
      </c>
      <c r="B919" s="278" t="s">
        <v>248</v>
      </c>
      <c r="C919" s="278" t="s">
        <v>466</v>
      </c>
      <c r="D919" s="278" t="s">
        <v>914</v>
      </c>
      <c r="E919" s="278" t="s">
        <v>1468</v>
      </c>
      <c r="F919" s="218">
        <v>33909000</v>
      </c>
      <c r="G919" s="218">
        <v>33909000</v>
      </c>
      <c r="H919" s="147" t="str">
        <f t="shared" si="15"/>
        <v>10030110075660</v>
      </c>
    </row>
    <row r="920" spans="1:8" ht="38.25">
      <c r="A920" s="212" t="s">
        <v>1755</v>
      </c>
      <c r="B920" s="278" t="s">
        <v>248</v>
      </c>
      <c r="C920" s="278" t="s">
        <v>466</v>
      </c>
      <c r="D920" s="278" t="s">
        <v>914</v>
      </c>
      <c r="E920" s="278" t="s">
        <v>1756</v>
      </c>
      <c r="F920" s="218">
        <v>33116000</v>
      </c>
      <c r="G920" s="218">
        <v>33116000</v>
      </c>
      <c r="H920" s="147" t="str">
        <f t="shared" si="15"/>
        <v>10030110075660200</v>
      </c>
    </row>
    <row r="921" spans="1:8" ht="38.25">
      <c r="A921" s="212" t="s">
        <v>1502</v>
      </c>
      <c r="B921" s="278" t="s">
        <v>248</v>
      </c>
      <c r="C921" s="278" t="s">
        <v>466</v>
      </c>
      <c r="D921" s="278" t="s">
        <v>914</v>
      </c>
      <c r="E921" s="278" t="s">
        <v>1503</v>
      </c>
      <c r="F921" s="218">
        <v>33116000</v>
      </c>
      <c r="G921" s="218">
        <v>33116000</v>
      </c>
      <c r="H921" s="147" t="str">
        <f t="shared" si="15"/>
        <v>10030110075660240</v>
      </c>
    </row>
    <row r="922" spans="1:8">
      <c r="A922" s="212" t="s">
        <v>1577</v>
      </c>
      <c r="B922" s="278" t="s">
        <v>248</v>
      </c>
      <c r="C922" s="278" t="s">
        <v>466</v>
      </c>
      <c r="D922" s="278" t="s">
        <v>914</v>
      </c>
      <c r="E922" s="278" t="s">
        <v>416</v>
      </c>
      <c r="F922" s="218">
        <v>33116000</v>
      </c>
      <c r="G922" s="218">
        <v>33116000</v>
      </c>
      <c r="H922" s="147" t="str">
        <f t="shared" si="15"/>
        <v>10030110075660244</v>
      </c>
    </row>
    <row r="923" spans="1:8" ht="25.5">
      <c r="A923" s="212" t="s">
        <v>1759</v>
      </c>
      <c r="B923" s="278" t="s">
        <v>248</v>
      </c>
      <c r="C923" s="278" t="s">
        <v>466</v>
      </c>
      <c r="D923" s="278" t="s">
        <v>914</v>
      </c>
      <c r="E923" s="278" t="s">
        <v>1760</v>
      </c>
      <c r="F923" s="218">
        <v>793000</v>
      </c>
      <c r="G923" s="218">
        <v>793000</v>
      </c>
      <c r="H923" s="147" t="str">
        <f t="shared" si="15"/>
        <v>10030110075660300</v>
      </c>
    </row>
    <row r="924" spans="1:8" ht="38.25">
      <c r="A924" s="212" t="s">
        <v>1506</v>
      </c>
      <c r="B924" s="278" t="s">
        <v>248</v>
      </c>
      <c r="C924" s="278" t="s">
        <v>466</v>
      </c>
      <c r="D924" s="278" t="s">
        <v>914</v>
      </c>
      <c r="E924" s="278" t="s">
        <v>666</v>
      </c>
      <c r="F924" s="218">
        <v>793000</v>
      </c>
      <c r="G924" s="218">
        <v>793000</v>
      </c>
      <c r="H924" s="147" t="str">
        <f t="shared" si="15"/>
        <v>10030110075660320</v>
      </c>
    </row>
    <row r="925" spans="1:8" ht="38.25">
      <c r="A925" s="212" t="s">
        <v>467</v>
      </c>
      <c r="B925" s="278" t="s">
        <v>248</v>
      </c>
      <c r="C925" s="278" t="s">
        <v>466</v>
      </c>
      <c r="D925" s="278" t="s">
        <v>914</v>
      </c>
      <c r="E925" s="278" t="s">
        <v>468</v>
      </c>
      <c r="F925" s="218">
        <v>793000</v>
      </c>
      <c r="G925" s="218">
        <v>793000</v>
      </c>
      <c r="H925" s="147" t="str">
        <f t="shared" si="15"/>
        <v>10030110075660321</v>
      </c>
    </row>
    <row r="926" spans="1:8">
      <c r="A926" s="212" t="s">
        <v>26</v>
      </c>
      <c r="B926" s="278" t="s">
        <v>248</v>
      </c>
      <c r="C926" s="278" t="s">
        <v>512</v>
      </c>
      <c r="D926" s="278" t="s">
        <v>1468</v>
      </c>
      <c r="E926" s="278" t="s">
        <v>1468</v>
      </c>
      <c r="F926" s="218">
        <v>5631800</v>
      </c>
      <c r="G926" s="218">
        <v>5631800</v>
      </c>
      <c r="H926" s="147" t="str">
        <f t="shared" si="15"/>
        <v>1004</v>
      </c>
    </row>
    <row r="927" spans="1:8" ht="25.5">
      <c r="A927" s="212" t="s">
        <v>535</v>
      </c>
      <c r="B927" s="278" t="s">
        <v>248</v>
      </c>
      <c r="C927" s="278" t="s">
        <v>512</v>
      </c>
      <c r="D927" s="278" t="s">
        <v>1105</v>
      </c>
      <c r="E927" s="278" t="s">
        <v>1468</v>
      </c>
      <c r="F927" s="218">
        <v>5631800</v>
      </c>
      <c r="G927" s="218">
        <v>5631800</v>
      </c>
      <c r="H927" s="147" t="str">
        <f t="shared" si="15"/>
        <v>10040100000000</v>
      </c>
    </row>
    <row r="928" spans="1:8" ht="38.25">
      <c r="A928" s="212" t="s">
        <v>536</v>
      </c>
      <c r="B928" s="278" t="s">
        <v>248</v>
      </c>
      <c r="C928" s="278" t="s">
        <v>512</v>
      </c>
      <c r="D928" s="278" t="s">
        <v>1106</v>
      </c>
      <c r="E928" s="278" t="s">
        <v>1468</v>
      </c>
      <c r="F928" s="218">
        <v>5631800</v>
      </c>
      <c r="G928" s="218">
        <v>5631800</v>
      </c>
      <c r="H928" s="147" t="str">
        <f t="shared" si="15"/>
        <v>10040110000000</v>
      </c>
    </row>
    <row r="929" spans="1:8" ht="140.25">
      <c r="A929" s="212" t="s">
        <v>513</v>
      </c>
      <c r="B929" s="278" t="s">
        <v>248</v>
      </c>
      <c r="C929" s="278" t="s">
        <v>512</v>
      </c>
      <c r="D929" s="278" t="s">
        <v>915</v>
      </c>
      <c r="E929" s="278" t="s">
        <v>1468</v>
      </c>
      <c r="F929" s="218">
        <v>5631800</v>
      </c>
      <c r="G929" s="218">
        <v>5631800</v>
      </c>
      <c r="H929" s="147" t="str">
        <f t="shared" si="15"/>
        <v>10040110075560</v>
      </c>
    </row>
    <row r="930" spans="1:8" ht="38.25">
      <c r="A930" s="212" t="s">
        <v>1755</v>
      </c>
      <c r="B930" s="278" t="s">
        <v>248</v>
      </c>
      <c r="C930" s="278" t="s">
        <v>512</v>
      </c>
      <c r="D930" s="278" t="s">
        <v>915</v>
      </c>
      <c r="E930" s="278" t="s">
        <v>1756</v>
      </c>
      <c r="F930" s="218">
        <v>110400</v>
      </c>
      <c r="G930" s="218">
        <v>110400</v>
      </c>
      <c r="H930" s="147" t="str">
        <f t="shared" si="15"/>
        <v>10040110075560200</v>
      </c>
    </row>
    <row r="931" spans="1:8" ht="38.25">
      <c r="A931" s="212" t="s">
        <v>1502</v>
      </c>
      <c r="B931" s="278" t="s">
        <v>248</v>
      </c>
      <c r="C931" s="278" t="s">
        <v>512</v>
      </c>
      <c r="D931" s="278" t="s">
        <v>915</v>
      </c>
      <c r="E931" s="278" t="s">
        <v>1503</v>
      </c>
      <c r="F931" s="218">
        <v>110400</v>
      </c>
      <c r="G931" s="218">
        <v>110400</v>
      </c>
      <c r="H931" s="147" t="str">
        <f t="shared" si="15"/>
        <v>10040110075560240</v>
      </c>
    </row>
    <row r="932" spans="1:8">
      <c r="A932" s="212" t="s">
        <v>1577</v>
      </c>
      <c r="B932" s="278" t="s">
        <v>248</v>
      </c>
      <c r="C932" s="278" t="s">
        <v>512</v>
      </c>
      <c r="D932" s="278" t="s">
        <v>915</v>
      </c>
      <c r="E932" s="278" t="s">
        <v>416</v>
      </c>
      <c r="F932" s="218">
        <v>110400</v>
      </c>
      <c r="G932" s="218">
        <v>110400</v>
      </c>
      <c r="H932" s="147" t="str">
        <f t="shared" si="15"/>
        <v>10040110075560244</v>
      </c>
    </row>
    <row r="933" spans="1:8" ht="25.5">
      <c r="A933" s="212" t="s">
        <v>1759</v>
      </c>
      <c r="B933" s="278" t="s">
        <v>248</v>
      </c>
      <c r="C933" s="278" t="s">
        <v>512</v>
      </c>
      <c r="D933" s="278" t="s">
        <v>915</v>
      </c>
      <c r="E933" s="278" t="s">
        <v>1760</v>
      </c>
      <c r="F933" s="218">
        <v>5521400</v>
      </c>
      <c r="G933" s="218">
        <v>5521400</v>
      </c>
      <c r="H933" s="147" t="str">
        <f t="shared" si="15"/>
        <v>10040110075560300</v>
      </c>
    </row>
    <row r="934" spans="1:8" ht="38.25">
      <c r="A934" s="212" t="s">
        <v>1506</v>
      </c>
      <c r="B934" s="278" t="s">
        <v>248</v>
      </c>
      <c r="C934" s="278" t="s">
        <v>512</v>
      </c>
      <c r="D934" s="278" t="s">
        <v>915</v>
      </c>
      <c r="E934" s="278" t="s">
        <v>666</v>
      </c>
      <c r="F934" s="218">
        <v>5521400</v>
      </c>
      <c r="G934" s="218">
        <v>5521400</v>
      </c>
      <c r="H934" s="147" t="str">
        <f t="shared" ref="H934:H997" si="16">CONCATENATE(C934,,D934,E934)</f>
        <v>10040110075560320</v>
      </c>
    </row>
    <row r="935" spans="1:8" ht="38.25">
      <c r="A935" s="212" t="s">
        <v>467</v>
      </c>
      <c r="B935" s="278" t="s">
        <v>248</v>
      </c>
      <c r="C935" s="278" t="s">
        <v>512</v>
      </c>
      <c r="D935" s="278" t="s">
        <v>915</v>
      </c>
      <c r="E935" s="278" t="s">
        <v>468</v>
      </c>
      <c r="F935" s="218">
        <v>5521400</v>
      </c>
      <c r="G935" s="218">
        <v>5521400</v>
      </c>
      <c r="H935" s="147" t="str">
        <f t="shared" si="16"/>
        <v>10040110075560321</v>
      </c>
    </row>
    <row r="936" spans="1:8" ht="25.5">
      <c r="A936" s="212" t="s">
        <v>1441</v>
      </c>
      <c r="B936" s="278" t="s">
        <v>1080</v>
      </c>
      <c r="C936" s="278" t="s">
        <v>1468</v>
      </c>
      <c r="D936" s="278" t="s">
        <v>1468</v>
      </c>
      <c r="E936" s="278" t="s">
        <v>1468</v>
      </c>
      <c r="F936" s="218">
        <v>26065665</v>
      </c>
      <c r="G936" s="218">
        <v>26065665</v>
      </c>
      <c r="H936" s="147" t="str">
        <f t="shared" si="16"/>
        <v/>
      </c>
    </row>
    <row r="937" spans="1:8" ht="38.25">
      <c r="A937" s="212" t="s">
        <v>282</v>
      </c>
      <c r="B937" s="278" t="s">
        <v>1080</v>
      </c>
      <c r="C937" s="278" t="s">
        <v>1359</v>
      </c>
      <c r="D937" s="278" t="s">
        <v>1468</v>
      </c>
      <c r="E937" s="278" t="s">
        <v>1468</v>
      </c>
      <c r="F937" s="218">
        <v>19939965</v>
      </c>
      <c r="G937" s="218">
        <v>19939965</v>
      </c>
      <c r="H937" s="147" t="str">
        <f t="shared" si="16"/>
        <v>0300</v>
      </c>
    </row>
    <row r="938" spans="1:8">
      <c r="A938" s="212" t="s">
        <v>133</v>
      </c>
      <c r="B938" s="278" t="s">
        <v>1080</v>
      </c>
      <c r="C938" s="278" t="s">
        <v>433</v>
      </c>
      <c r="D938" s="278" t="s">
        <v>1468</v>
      </c>
      <c r="E938" s="278" t="s">
        <v>1468</v>
      </c>
      <c r="F938" s="218">
        <v>19939965</v>
      </c>
      <c r="G938" s="218">
        <v>19939965</v>
      </c>
      <c r="H938" s="147" t="str">
        <f t="shared" si="16"/>
        <v>0310</v>
      </c>
    </row>
    <row r="939" spans="1:8" ht="51">
      <c r="A939" s="212" t="s">
        <v>549</v>
      </c>
      <c r="B939" s="278" t="s">
        <v>1080</v>
      </c>
      <c r="C939" s="278" t="s">
        <v>433</v>
      </c>
      <c r="D939" s="278" t="s">
        <v>1117</v>
      </c>
      <c r="E939" s="278" t="s">
        <v>1468</v>
      </c>
      <c r="F939" s="218">
        <v>19939965</v>
      </c>
      <c r="G939" s="218">
        <v>19939965</v>
      </c>
      <c r="H939" s="147" t="str">
        <f t="shared" si="16"/>
        <v>03100400000000</v>
      </c>
    </row>
    <row r="940" spans="1:8" ht="25.5">
      <c r="A940" s="212" t="s">
        <v>552</v>
      </c>
      <c r="B940" s="278" t="s">
        <v>1080</v>
      </c>
      <c r="C940" s="278" t="s">
        <v>433</v>
      </c>
      <c r="D940" s="278" t="s">
        <v>1119</v>
      </c>
      <c r="E940" s="278" t="s">
        <v>1468</v>
      </c>
      <c r="F940" s="218">
        <v>19939965</v>
      </c>
      <c r="G940" s="218">
        <v>19939965</v>
      </c>
      <c r="H940" s="147" t="str">
        <f t="shared" si="16"/>
        <v>03100420000000</v>
      </c>
    </row>
    <row r="941" spans="1:8" ht="153">
      <c r="A941" s="212" t="s">
        <v>434</v>
      </c>
      <c r="B941" s="278" t="s">
        <v>1080</v>
      </c>
      <c r="C941" s="278" t="s">
        <v>433</v>
      </c>
      <c r="D941" s="278" t="s">
        <v>786</v>
      </c>
      <c r="E941" s="278" t="s">
        <v>1468</v>
      </c>
      <c r="F941" s="218">
        <v>17352360</v>
      </c>
      <c r="G941" s="218">
        <v>17352360</v>
      </c>
      <c r="H941" s="147" t="str">
        <f t="shared" si="16"/>
        <v>03100420040010</v>
      </c>
    </row>
    <row r="942" spans="1:8" ht="76.5">
      <c r="A942" s="212" t="s">
        <v>1754</v>
      </c>
      <c r="B942" s="278" t="s">
        <v>1080</v>
      </c>
      <c r="C942" s="278" t="s">
        <v>433</v>
      </c>
      <c r="D942" s="278" t="s">
        <v>786</v>
      </c>
      <c r="E942" s="278" t="s">
        <v>322</v>
      </c>
      <c r="F942" s="218">
        <v>15259010</v>
      </c>
      <c r="G942" s="218">
        <v>15259010</v>
      </c>
      <c r="H942" s="147" t="str">
        <f t="shared" si="16"/>
        <v>03100420040010100</v>
      </c>
    </row>
    <row r="943" spans="1:8" ht="25.5">
      <c r="A943" s="212" t="s">
        <v>1487</v>
      </c>
      <c r="B943" s="278" t="s">
        <v>1080</v>
      </c>
      <c r="C943" s="278" t="s">
        <v>433</v>
      </c>
      <c r="D943" s="278" t="s">
        <v>786</v>
      </c>
      <c r="E943" s="278" t="s">
        <v>165</v>
      </c>
      <c r="F943" s="218">
        <v>15259010</v>
      </c>
      <c r="G943" s="218">
        <v>15259010</v>
      </c>
      <c r="H943" s="147" t="str">
        <f t="shared" si="16"/>
        <v>03100420040010110</v>
      </c>
    </row>
    <row r="944" spans="1:8">
      <c r="A944" s="212" t="s">
        <v>1360</v>
      </c>
      <c r="B944" s="278" t="s">
        <v>1080</v>
      </c>
      <c r="C944" s="278" t="s">
        <v>433</v>
      </c>
      <c r="D944" s="278" t="s">
        <v>786</v>
      </c>
      <c r="E944" s="278" t="s">
        <v>430</v>
      </c>
      <c r="F944" s="218">
        <v>11659210</v>
      </c>
      <c r="G944" s="218">
        <v>11659210</v>
      </c>
      <c r="H944" s="147" t="str">
        <f t="shared" si="16"/>
        <v>03100420040010111</v>
      </c>
    </row>
    <row r="945" spans="1:8" ht="25.5">
      <c r="A945" s="212" t="s">
        <v>1369</v>
      </c>
      <c r="B945" s="278" t="s">
        <v>1080</v>
      </c>
      <c r="C945" s="278" t="s">
        <v>433</v>
      </c>
      <c r="D945" s="278" t="s">
        <v>786</v>
      </c>
      <c r="E945" s="278" t="s">
        <v>479</v>
      </c>
      <c r="F945" s="218">
        <v>78710</v>
      </c>
      <c r="G945" s="218">
        <v>78710</v>
      </c>
      <c r="H945" s="147" t="str">
        <f t="shared" si="16"/>
        <v>03100420040010112</v>
      </c>
    </row>
    <row r="946" spans="1:8" ht="51">
      <c r="A946" s="212" t="s">
        <v>1361</v>
      </c>
      <c r="B946" s="278" t="s">
        <v>1080</v>
      </c>
      <c r="C946" s="278" t="s">
        <v>433</v>
      </c>
      <c r="D946" s="278" t="s">
        <v>786</v>
      </c>
      <c r="E946" s="278" t="s">
        <v>1197</v>
      </c>
      <c r="F946" s="218">
        <v>3521090</v>
      </c>
      <c r="G946" s="218">
        <v>3521090</v>
      </c>
      <c r="H946" s="147" t="str">
        <f t="shared" si="16"/>
        <v>03100420040010119</v>
      </c>
    </row>
    <row r="947" spans="1:8" ht="38.25">
      <c r="A947" s="212" t="s">
        <v>1755</v>
      </c>
      <c r="B947" s="278" t="s">
        <v>1080</v>
      </c>
      <c r="C947" s="278" t="s">
        <v>433</v>
      </c>
      <c r="D947" s="278" t="s">
        <v>786</v>
      </c>
      <c r="E947" s="278" t="s">
        <v>1756</v>
      </c>
      <c r="F947" s="218">
        <v>2093350</v>
      </c>
      <c r="G947" s="218">
        <v>2093350</v>
      </c>
      <c r="H947" s="147" t="str">
        <f t="shared" si="16"/>
        <v>03100420040010200</v>
      </c>
    </row>
    <row r="948" spans="1:8" ht="38.25">
      <c r="A948" s="212" t="s">
        <v>1502</v>
      </c>
      <c r="B948" s="278" t="s">
        <v>1080</v>
      </c>
      <c r="C948" s="278" t="s">
        <v>433</v>
      </c>
      <c r="D948" s="278" t="s">
        <v>786</v>
      </c>
      <c r="E948" s="278" t="s">
        <v>1503</v>
      </c>
      <c r="F948" s="218">
        <v>2093350</v>
      </c>
      <c r="G948" s="218">
        <v>2093350</v>
      </c>
      <c r="H948" s="147" t="str">
        <f t="shared" si="16"/>
        <v>03100420040010240</v>
      </c>
    </row>
    <row r="949" spans="1:8">
      <c r="A949" s="212" t="s">
        <v>1577</v>
      </c>
      <c r="B949" s="278" t="s">
        <v>1080</v>
      </c>
      <c r="C949" s="278" t="s">
        <v>433</v>
      </c>
      <c r="D949" s="278" t="s">
        <v>786</v>
      </c>
      <c r="E949" s="278" t="s">
        <v>416</v>
      </c>
      <c r="F949" s="218">
        <v>2093350</v>
      </c>
      <c r="G949" s="218">
        <v>2093350</v>
      </c>
      <c r="H949" s="147" t="str">
        <f t="shared" si="16"/>
        <v>03100420040010244</v>
      </c>
    </row>
    <row r="950" spans="1:8" ht="153">
      <c r="A950" s="212" t="s">
        <v>1779</v>
      </c>
      <c r="B950" s="278" t="s">
        <v>1080</v>
      </c>
      <c r="C950" s="278" t="s">
        <v>433</v>
      </c>
      <c r="D950" s="278" t="s">
        <v>1780</v>
      </c>
      <c r="E950" s="278" t="s">
        <v>1468</v>
      </c>
      <c r="F950" s="218">
        <v>180000</v>
      </c>
      <c r="G950" s="218">
        <v>180000</v>
      </c>
      <c r="H950" s="147" t="str">
        <f t="shared" si="16"/>
        <v>03100420047010</v>
      </c>
    </row>
    <row r="951" spans="1:8" ht="76.5">
      <c r="A951" s="212" t="s">
        <v>1754</v>
      </c>
      <c r="B951" s="278" t="s">
        <v>1080</v>
      </c>
      <c r="C951" s="278" t="s">
        <v>433</v>
      </c>
      <c r="D951" s="278" t="s">
        <v>1780</v>
      </c>
      <c r="E951" s="278" t="s">
        <v>322</v>
      </c>
      <c r="F951" s="218">
        <v>180000</v>
      </c>
      <c r="G951" s="218">
        <v>180000</v>
      </c>
      <c r="H951" s="147" t="str">
        <f t="shared" si="16"/>
        <v>03100420047010100</v>
      </c>
    </row>
    <row r="952" spans="1:8" ht="25.5">
      <c r="A952" s="212" t="s">
        <v>1487</v>
      </c>
      <c r="B952" s="278" t="s">
        <v>1080</v>
      </c>
      <c r="C952" s="278" t="s">
        <v>433</v>
      </c>
      <c r="D952" s="278" t="s">
        <v>1780</v>
      </c>
      <c r="E952" s="278" t="s">
        <v>165</v>
      </c>
      <c r="F952" s="218">
        <v>180000</v>
      </c>
      <c r="G952" s="218">
        <v>180000</v>
      </c>
      <c r="H952" s="147" t="str">
        <f t="shared" si="16"/>
        <v>03100420047010110</v>
      </c>
    </row>
    <row r="953" spans="1:8" ht="25.5">
      <c r="A953" s="212" t="s">
        <v>1369</v>
      </c>
      <c r="B953" s="278" t="s">
        <v>1080</v>
      </c>
      <c r="C953" s="278" t="s">
        <v>433</v>
      </c>
      <c r="D953" s="278" t="s">
        <v>1780</v>
      </c>
      <c r="E953" s="278" t="s">
        <v>479</v>
      </c>
      <c r="F953" s="218">
        <v>180000</v>
      </c>
      <c r="G953" s="218">
        <v>180000</v>
      </c>
      <c r="H953" s="147" t="str">
        <f t="shared" si="16"/>
        <v>03100420047010112</v>
      </c>
    </row>
    <row r="954" spans="1:8" ht="165.75">
      <c r="A954" s="212" t="s">
        <v>1781</v>
      </c>
      <c r="B954" s="278" t="s">
        <v>1080</v>
      </c>
      <c r="C954" s="278" t="s">
        <v>433</v>
      </c>
      <c r="D954" s="278" t="s">
        <v>788</v>
      </c>
      <c r="E954" s="278" t="s">
        <v>1468</v>
      </c>
      <c r="F954" s="218">
        <v>1629975</v>
      </c>
      <c r="G954" s="218">
        <v>1629975</v>
      </c>
      <c r="H954" s="147" t="str">
        <f t="shared" si="16"/>
        <v>0310042004Г010</v>
      </c>
    </row>
    <row r="955" spans="1:8" ht="38.25">
      <c r="A955" s="212" t="s">
        <v>1755</v>
      </c>
      <c r="B955" s="278" t="s">
        <v>1080</v>
      </c>
      <c r="C955" s="278" t="s">
        <v>433</v>
      </c>
      <c r="D955" s="278" t="s">
        <v>788</v>
      </c>
      <c r="E955" s="278" t="s">
        <v>1756</v>
      </c>
      <c r="F955" s="218">
        <v>1629975</v>
      </c>
      <c r="G955" s="218">
        <v>1629975</v>
      </c>
      <c r="H955" s="147" t="str">
        <f t="shared" si="16"/>
        <v>0310042004Г010200</v>
      </c>
    </row>
    <row r="956" spans="1:8" ht="38.25">
      <c r="A956" s="212" t="s">
        <v>1502</v>
      </c>
      <c r="B956" s="278" t="s">
        <v>1080</v>
      </c>
      <c r="C956" s="278" t="s">
        <v>433</v>
      </c>
      <c r="D956" s="278" t="s">
        <v>788</v>
      </c>
      <c r="E956" s="278" t="s">
        <v>1503</v>
      </c>
      <c r="F956" s="218">
        <v>1629975</v>
      </c>
      <c r="G956" s="218">
        <v>1629975</v>
      </c>
      <c r="H956" s="147" t="str">
        <f t="shared" si="16"/>
        <v>0310042004Г010240</v>
      </c>
    </row>
    <row r="957" spans="1:8">
      <c r="A957" s="212" t="s">
        <v>1577</v>
      </c>
      <c r="B957" s="278" t="s">
        <v>1080</v>
      </c>
      <c r="C957" s="278" t="s">
        <v>433</v>
      </c>
      <c r="D957" s="278" t="s">
        <v>788</v>
      </c>
      <c r="E957" s="278" t="s">
        <v>416</v>
      </c>
      <c r="F957" s="218">
        <v>1629975</v>
      </c>
      <c r="G957" s="218">
        <v>1629975</v>
      </c>
      <c r="H957" s="147" t="str">
        <f t="shared" si="16"/>
        <v>0310042004Г010244</v>
      </c>
    </row>
    <row r="958" spans="1:8" ht="114.75">
      <c r="A958" s="212" t="s">
        <v>1782</v>
      </c>
      <c r="B958" s="278" t="s">
        <v>1080</v>
      </c>
      <c r="C958" s="278" t="s">
        <v>433</v>
      </c>
      <c r="D958" s="278" t="s">
        <v>1783</v>
      </c>
      <c r="E958" s="278" t="s">
        <v>1468</v>
      </c>
      <c r="F958" s="218">
        <v>200000</v>
      </c>
      <c r="G958" s="218">
        <v>200000</v>
      </c>
      <c r="H958" s="147" t="str">
        <f t="shared" si="16"/>
        <v>0310042004Ф010</v>
      </c>
    </row>
    <row r="959" spans="1:8" ht="38.25">
      <c r="A959" s="212" t="s">
        <v>1755</v>
      </c>
      <c r="B959" s="278" t="s">
        <v>1080</v>
      </c>
      <c r="C959" s="278" t="s">
        <v>433</v>
      </c>
      <c r="D959" s="278" t="s">
        <v>1783</v>
      </c>
      <c r="E959" s="278" t="s">
        <v>1756</v>
      </c>
      <c r="F959" s="218">
        <v>200000</v>
      </c>
      <c r="G959" s="218">
        <v>200000</v>
      </c>
      <c r="H959" s="147" t="str">
        <f t="shared" si="16"/>
        <v>0310042004Ф010200</v>
      </c>
    </row>
    <row r="960" spans="1:8" ht="38.25">
      <c r="A960" s="212" t="s">
        <v>1502</v>
      </c>
      <c r="B960" s="278" t="s">
        <v>1080</v>
      </c>
      <c r="C960" s="278" t="s">
        <v>433</v>
      </c>
      <c r="D960" s="278" t="s">
        <v>1783</v>
      </c>
      <c r="E960" s="278" t="s">
        <v>1503</v>
      </c>
      <c r="F960" s="218">
        <v>200000</v>
      </c>
      <c r="G960" s="218">
        <v>200000</v>
      </c>
      <c r="H960" s="147" t="str">
        <f t="shared" si="16"/>
        <v>0310042004Ф010240</v>
      </c>
    </row>
    <row r="961" spans="1:8">
      <c r="A961" s="212" t="s">
        <v>1577</v>
      </c>
      <c r="B961" s="278" t="s">
        <v>1080</v>
      </c>
      <c r="C961" s="278" t="s">
        <v>433</v>
      </c>
      <c r="D961" s="278" t="s">
        <v>1783</v>
      </c>
      <c r="E961" s="278" t="s">
        <v>416</v>
      </c>
      <c r="F961" s="218">
        <v>200000</v>
      </c>
      <c r="G961" s="218">
        <v>200000</v>
      </c>
      <c r="H961" s="147" t="str">
        <f t="shared" si="16"/>
        <v>0310042004Ф010244</v>
      </c>
    </row>
    <row r="962" spans="1:8" ht="153">
      <c r="A962" s="212" t="s">
        <v>1784</v>
      </c>
      <c r="B962" s="278" t="s">
        <v>1080</v>
      </c>
      <c r="C962" s="278" t="s">
        <v>433</v>
      </c>
      <c r="D962" s="278" t="s">
        <v>1785</v>
      </c>
      <c r="E962" s="278" t="s">
        <v>1468</v>
      </c>
      <c r="F962" s="218">
        <v>577630</v>
      </c>
      <c r="G962" s="218">
        <v>577630</v>
      </c>
      <c r="H962" s="147" t="str">
        <f t="shared" si="16"/>
        <v>0310042004Э010</v>
      </c>
    </row>
    <row r="963" spans="1:8" ht="38.25">
      <c r="A963" s="212" t="s">
        <v>1755</v>
      </c>
      <c r="B963" s="278" t="s">
        <v>1080</v>
      </c>
      <c r="C963" s="278" t="s">
        <v>433</v>
      </c>
      <c r="D963" s="278" t="s">
        <v>1785</v>
      </c>
      <c r="E963" s="278" t="s">
        <v>1756</v>
      </c>
      <c r="F963" s="218">
        <v>577630</v>
      </c>
      <c r="G963" s="218">
        <v>577630</v>
      </c>
      <c r="H963" s="147" t="str">
        <f t="shared" si="16"/>
        <v>0310042004Э010200</v>
      </c>
    </row>
    <row r="964" spans="1:8" ht="38.25">
      <c r="A964" s="212" t="s">
        <v>1502</v>
      </c>
      <c r="B964" s="278" t="s">
        <v>1080</v>
      </c>
      <c r="C964" s="278" t="s">
        <v>433</v>
      </c>
      <c r="D964" s="278" t="s">
        <v>1785</v>
      </c>
      <c r="E964" s="278" t="s">
        <v>1503</v>
      </c>
      <c r="F964" s="218">
        <v>577630</v>
      </c>
      <c r="G964" s="218">
        <v>577630</v>
      </c>
      <c r="H964" s="147" t="str">
        <f t="shared" si="16"/>
        <v>0310042004Э010240</v>
      </c>
    </row>
    <row r="965" spans="1:8">
      <c r="A965" s="212" t="s">
        <v>1577</v>
      </c>
      <c r="B965" s="278" t="s">
        <v>1080</v>
      </c>
      <c r="C965" s="278" t="s">
        <v>433</v>
      </c>
      <c r="D965" s="278" t="s">
        <v>1785</v>
      </c>
      <c r="E965" s="278" t="s">
        <v>416</v>
      </c>
      <c r="F965" s="218">
        <v>577630</v>
      </c>
      <c r="G965" s="218">
        <v>577630</v>
      </c>
      <c r="H965" s="147" t="str">
        <f t="shared" si="16"/>
        <v>0310042004Э010244</v>
      </c>
    </row>
    <row r="966" spans="1:8" ht="25.5">
      <c r="A966" s="212" t="s">
        <v>283</v>
      </c>
      <c r="B966" s="278" t="s">
        <v>1080</v>
      </c>
      <c r="C966" s="278" t="s">
        <v>1363</v>
      </c>
      <c r="D966" s="278" t="s">
        <v>1468</v>
      </c>
      <c r="E966" s="278" t="s">
        <v>1468</v>
      </c>
      <c r="F966" s="218">
        <v>6125700</v>
      </c>
      <c r="G966" s="218">
        <v>6125700</v>
      </c>
      <c r="H966" s="147" t="str">
        <f t="shared" si="16"/>
        <v>0500</v>
      </c>
    </row>
    <row r="967" spans="1:8">
      <c r="A967" s="212" t="s">
        <v>180</v>
      </c>
      <c r="B967" s="278" t="s">
        <v>1080</v>
      </c>
      <c r="C967" s="278" t="s">
        <v>452</v>
      </c>
      <c r="D967" s="278" t="s">
        <v>1468</v>
      </c>
      <c r="E967" s="278" t="s">
        <v>1468</v>
      </c>
      <c r="F967" s="218">
        <v>6125700</v>
      </c>
      <c r="G967" s="218">
        <v>6125700</v>
      </c>
      <c r="H967" s="147" t="str">
        <f t="shared" si="16"/>
        <v>0502</v>
      </c>
    </row>
    <row r="968" spans="1:8" ht="63.75">
      <c r="A968" s="212" t="s">
        <v>545</v>
      </c>
      <c r="B968" s="278" t="s">
        <v>1080</v>
      </c>
      <c r="C968" s="278" t="s">
        <v>452</v>
      </c>
      <c r="D968" s="278" t="s">
        <v>1113</v>
      </c>
      <c r="E968" s="278" t="s">
        <v>1468</v>
      </c>
      <c r="F968" s="218">
        <v>6125700</v>
      </c>
      <c r="G968" s="218">
        <v>6125700</v>
      </c>
      <c r="H968" s="147" t="str">
        <f t="shared" si="16"/>
        <v>05020300000000</v>
      </c>
    </row>
    <row r="969" spans="1:8" ht="51">
      <c r="A969" s="212" t="s">
        <v>700</v>
      </c>
      <c r="B969" s="278" t="s">
        <v>1080</v>
      </c>
      <c r="C969" s="278" t="s">
        <v>452</v>
      </c>
      <c r="D969" s="278" t="s">
        <v>1114</v>
      </c>
      <c r="E969" s="278" t="s">
        <v>1468</v>
      </c>
      <c r="F969" s="218">
        <v>6125700</v>
      </c>
      <c r="G969" s="218">
        <v>6125700</v>
      </c>
      <c r="H969" s="147" t="str">
        <f t="shared" si="16"/>
        <v>05020320000000</v>
      </c>
    </row>
    <row r="970" spans="1:8" ht="140.25">
      <c r="A970" s="212" t="s">
        <v>1423</v>
      </c>
      <c r="B970" s="278" t="s">
        <v>1080</v>
      </c>
      <c r="C970" s="278" t="s">
        <v>452</v>
      </c>
      <c r="D970" s="278" t="s">
        <v>807</v>
      </c>
      <c r="E970" s="278" t="s">
        <v>1468</v>
      </c>
      <c r="F970" s="218">
        <v>1580000</v>
      </c>
      <c r="G970" s="218">
        <v>1580000</v>
      </c>
      <c r="H970" s="147" t="str">
        <f t="shared" si="16"/>
        <v>05020320075700</v>
      </c>
    </row>
    <row r="971" spans="1:8" ht="76.5">
      <c r="A971" s="212" t="s">
        <v>1754</v>
      </c>
      <c r="B971" s="278" t="s">
        <v>1080</v>
      </c>
      <c r="C971" s="278" t="s">
        <v>452</v>
      </c>
      <c r="D971" s="278" t="s">
        <v>807</v>
      </c>
      <c r="E971" s="278" t="s">
        <v>322</v>
      </c>
      <c r="F971" s="218">
        <v>1432200</v>
      </c>
      <c r="G971" s="218">
        <v>1432200</v>
      </c>
      <c r="H971" s="147" t="str">
        <f t="shared" si="16"/>
        <v>05020320075700100</v>
      </c>
    </row>
    <row r="972" spans="1:8" ht="25.5">
      <c r="A972" s="212" t="s">
        <v>1487</v>
      </c>
      <c r="B972" s="278" t="s">
        <v>1080</v>
      </c>
      <c r="C972" s="278" t="s">
        <v>452</v>
      </c>
      <c r="D972" s="278" t="s">
        <v>807</v>
      </c>
      <c r="E972" s="278" t="s">
        <v>165</v>
      </c>
      <c r="F972" s="218">
        <v>1432200</v>
      </c>
      <c r="G972" s="218">
        <v>1432200</v>
      </c>
      <c r="H972" s="147" t="str">
        <f t="shared" si="16"/>
        <v>05020320075700110</v>
      </c>
    </row>
    <row r="973" spans="1:8">
      <c r="A973" s="212" t="s">
        <v>1360</v>
      </c>
      <c r="B973" s="278" t="s">
        <v>1080</v>
      </c>
      <c r="C973" s="278" t="s">
        <v>452</v>
      </c>
      <c r="D973" s="278" t="s">
        <v>807</v>
      </c>
      <c r="E973" s="278" t="s">
        <v>430</v>
      </c>
      <c r="F973" s="218">
        <v>1100000</v>
      </c>
      <c r="G973" s="218">
        <v>1100000</v>
      </c>
      <c r="H973" s="147" t="str">
        <f t="shared" si="16"/>
        <v>05020320075700111</v>
      </c>
    </row>
    <row r="974" spans="1:8" ht="51">
      <c r="A974" s="212" t="s">
        <v>1361</v>
      </c>
      <c r="B974" s="278" t="s">
        <v>1080</v>
      </c>
      <c r="C974" s="278" t="s">
        <v>452</v>
      </c>
      <c r="D974" s="278" t="s">
        <v>807</v>
      </c>
      <c r="E974" s="278" t="s">
        <v>1197</v>
      </c>
      <c r="F974" s="218">
        <v>332200</v>
      </c>
      <c r="G974" s="218">
        <v>332200</v>
      </c>
      <c r="H974" s="147" t="str">
        <f t="shared" si="16"/>
        <v>05020320075700119</v>
      </c>
    </row>
    <row r="975" spans="1:8" ht="38.25">
      <c r="A975" s="212" t="s">
        <v>1755</v>
      </c>
      <c r="B975" s="278" t="s">
        <v>1080</v>
      </c>
      <c r="C975" s="278" t="s">
        <v>452</v>
      </c>
      <c r="D975" s="278" t="s">
        <v>807</v>
      </c>
      <c r="E975" s="278" t="s">
        <v>1756</v>
      </c>
      <c r="F975" s="218">
        <v>118670</v>
      </c>
      <c r="G975" s="218">
        <v>118670</v>
      </c>
      <c r="H975" s="147" t="str">
        <f t="shared" si="16"/>
        <v>05020320075700200</v>
      </c>
    </row>
    <row r="976" spans="1:8" ht="38.25">
      <c r="A976" s="212" t="s">
        <v>1502</v>
      </c>
      <c r="B976" s="278" t="s">
        <v>1080</v>
      </c>
      <c r="C976" s="278" t="s">
        <v>452</v>
      </c>
      <c r="D976" s="278" t="s">
        <v>807</v>
      </c>
      <c r="E976" s="278" t="s">
        <v>1503</v>
      </c>
      <c r="F976" s="218">
        <v>118670</v>
      </c>
      <c r="G976" s="218">
        <v>118670</v>
      </c>
      <c r="H976" s="147" t="str">
        <f t="shared" si="16"/>
        <v>05020320075700240</v>
      </c>
    </row>
    <row r="977" spans="1:8">
      <c r="A977" s="212" t="s">
        <v>1577</v>
      </c>
      <c r="B977" s="278" t="s">
        <v>1080</v>
      </c>
      <c r="C977" s="278" t="s">
        <v>452</v>
      </c>
      <c r="D977" s="278" t="s">
        <v>807</v>
      </c>
      <c r="E977" s="278" t="s">
        <v>416</v>
      </c>
      <c r="F977" s="218">
        <v>118670</v>
      </c>
      <c r="G977" s="218">
        <v>118670</v>
      </c>
      <c r="H977" s="147" t="str">
        <f t="shared" si="16"/>
        <v>05020320075700244</v>
      </c>
    </row>
    <row r="978" spans="1:8">
      <c r="A978" s="212" t="s">
        <v>1757</v>
      </c>
      <c r="B978" s="278" t="s">
        <v>1080</v>
      </c>
      <c r="C978" s="278" t="s">
        <v>452</v>
      </c>
      <c r="D978" s="278" t="s">
        <v>807</v>
      </c>
      <c r="E978" s="278" t="s">
        <v>1758</v>
      </c>
      <c r="F978" s="218">
        <v>29130</v>
      </c>
      <c r="G978" s="218">
        <v>29130</v>
      </c>
      <c r="H978" s="147" t="str">
        <f t="shared" si="16"/>
        <v>05020320075700800</v>
      </c>
    </row>
    <row r="979" spans="1:8">
      <c r="A979" s="212" t="s">
        <v>1507</v>
      </c>
      <c r="B979" s="278" t="s">
        <v>1080</v>
      </c>
      <c r="C979" s="278" t="s">
        <v>452</v>
      </c>
      <c r="D979" s="278" t="s">
        <v>807</v>
      </c>
      <c r="E979" s="278" t="s">
        <v>1508</v>
      </c>
      <c r="F979" s="218">
        <v>29130</v>
      </c>
      <c r="G979" s="218">
        <v>29130</v>
      </c>
      <c r="H979" s="147" t="str">
        <f t="shared" si="16"/>
        <v>05020320075700850</v>
      </c>
    </row>
    <row r="980" spans="1:8">
      <c r="A980" s="212" t="s">
        <v>1082</v>
      </c>
      <c r="B980" s="278" t="s">
        <v>1080</v>
      </c>
      <c r="C980" s="278" t="s">
        <v>452</v>
      </c>
      <c r="D980" s="278" t="s">
        <v>807</v>
      </c>
      <c r="E980" s="278" t="s">
        <v>591</v>
      </c>
      <c r="F980" s="218">
        <v>28130</v>
      </c>
      <c r="G980" s="218">
        <v>28130</v>
      </c>
      <c r="H980" s="147" t="str">
        <f t="shared" si="16"/>
        <v>05020320075700852</v>
      </c>
    </row>
    <row r="981" spans="1:8">
      <c r="A981" s="212" t="s">
        <v>1198</v>
      </c>
      <c r="B981" s="278" t="s">
        <v>1080</v>
      </c>
      <c r="C981" s="278" t="s">
        <v>452</v>
      </c>
      <c r="D981" s="278" t="s">
        <v>807</v>
      </c>
      <c r="E981" s="278" t="s">
        <v>1199</v>
      </c>
      <c r="F981" s="218">
        <v>1000</v>
      </c>
      <c r="G981" s="218">
        <v>1000</v>
      </c>
      <c r="H981" s="147" t="str">
        <f t="shared" si="16"/>
        <v>05020320075700853</v>
      </c>
    </row>
    <row r="982" spans="1:8" ht="153">
      <c r="A982" s="212" t="s">
        <v>1747</v>
      </c>
      <c r="B982" s="278" t="s">
        <v>1080</v>
      </c>
      <c r="C982" s="278" t="s">
        <v>452</v>
      </c>
      <c r="D982" s="278" t="s">
        <v>1748</v>
      </c>
      <c r="E982" s="278" t="s">
        <v>1468</v>
      </c>
      <c r="F982" s="218">
        <v>3858100</v>
      </c>
      <c r="G982" s="218">
        <v>3858100</v>
      </c>
      <c r="H982" s="147" t="str">
        <f t="shared" si="16"/>
        <v>05020320080090</v>
      </c>
    </row>
    <row r="983" spans="1:8" ht="76.5">
      <c r="A983" s="212" t="s">
        <v>1754</v>
      </c>
      <c r="B983" s="278" t="s">
        <v>1080</v>
      </c>
      <c r="C983" s="278" t="s">
        <v>452</v>
      </c>
      <c r="D983" s="278" t="s">
        <v>1748</v>
      </c>
      <c r="E983" s="278" t="s">
        <v>322</v>
      </c>
      <c r="F983" s="218">
        <v>2121870</v>
      </c>
      <c r="G983" s="218">
        <v>2121870</v>
      </c>
      <c r="H983" s="147" t="str">
        <f t="shared" si="16"/>
        <v>05020320080090100</v>
      </c>
    </row>
    <row r="984" spans="1:8" ht="25.5">
      <c r="A984" s="212" t="s">
        <v>1487</v>
      </c>
      <c r="B984" s="278" t="s">
        <v>1080</v>
      </c>
      <c r="C984" s="278" t="s">
        <v>452</v>
      </c>
      <c r="D984" s="278" t="s">
        <v>1748</v>
      </c>
      <c r="E984" s="278" t="s">
        <v>165</v>
      </c>
      <c r="F984" s="218">
        <v>2121870</v>
      </c>
      <c r="G984" s="218">
        <v>2121870</v>
      </c>
      <c r="H984" s="147" t="str">
        <f t="shared" si="16"/>
        <v>05020320080090110</v>
      </c>
    </row>
    <row r="985" spans="1:8">
      <c r="A985" s="212" t="s">
        <v>1360</v>
      </c>
      <c r="B985" s="278" t="s">
        <v>1080</v>
      </c>
      <c r="C985" s="278" t="s">
        <v>452</v>
      </c>
      <c r="D985" s="278" t="s">
        <v>1748</v>
      </c>
      <c r="E985" s="278" t="s">
        <v>430</v>
      </c>
      <c r="F985" s="218">
        <v>1629700</v>
      </c>
      <c r="G985" s="218">
        <v>1629700</v>
      </c>
      <c r="H985" s="147" t="str">
        <f t="shared" si="16"/>
        <v>05020320080090111</v>
      </c>
    </row>
    <row r="986" spans="1:8" ht="51">
      <c r="A986" s="212" t="s">
        <v>1361</v>
      </c>
      <c r="B986" s="278" t="s">
        <v>1080</v>
      </c>
      <c r="C986" s="278" t="s">
        <v>452</v>
      </c>
      <c r="D986" s="278" t="s">
        <v>1748</v>
      </c>
      <c r="E986" s="278" t="s">
        <v>1197</v>
      </c>
      <c r="F986" s="218">
        <v>492170</v>
      </c>
      <c r="G986" s="218">
        <v>492170</v>
      </c>
      <c r="H986" s="147" t="str">
        <f t="shared" si="16"/>
        <v>05020320080090119</v>
      </c>
    </row>
    <row r="987" spans="1:8" ht="38.25">
      <c r="A987" s="212" t="s">
        <v>1755</v>
      </c>
      <c r="B987" s="278" t="s">
        <v>1080</v>
      </c>
      <c r="C987" s="278" t="s">
        <v>452</v>
      </c>
      <c r="D987" s="278" t="s">
        <v>1748</v>
      </c>
      <c r="E987" s="278" t="s">
        <v>1756</v>
      </c>
      <c r="F987" s="218">
        <v>1586230</v>
      </c>
      <c r="G987" s="218">
        <v>1586230</v>
      </c>
      <c r="H987" s="147" t="str">
        <f t="shared" si="16"/>
        <v>05020320080090200</v>
      </c>
    </row>
    <row r="988" spans="1:8" ht="38.25">
      <c r="A988" s="212" t="s">
        <v>1502</v>
      </c>
      <c r="B988" s="278" t="s">
        <v>1080</v>
      </c>
      <c r="C988" s="278" t="s">
        <v>452</v>
      </c>
      <c r="D988" s="278" t="s">
        <v>1748</v>
      </c>
      <c r="E988" s="278" t="s">
        <v>1503</v>
      </c>
      <c r="F988" s="218">
        <v>1586230</v>
      </c>
      <c r="G988" s="218">
        <v>1586230</v>
      </c>
      <c r="H988" s="147" t="str">
        <f t="shared" si="16"/>
        <v>05020320080090240</v>
      </c>
    </row>
    <row r="989" spans="1:8">
      <c r="A989" s="212" t="s">
        <v>1577</v>
      </c>
      <c r="B989" s="278" t="s">
        <v>1080</v>
      </c>
      <c r="C989" s="278" t="s">
        <v>452</v>
      </c>
      <c r="D989" s="278" t="s">
        <v>1748</v>
      </c>
      <c r="E989" s="278" t="s">
        <v>416</v>
      </c>
      <c r="F989" s="218">
        <v>1586230</v>
      </c>
      <c r="G989" s="218">
        <v>1586230</v>
      </c>
      <c r="H989" s="147" t="str">
        <f t="shared" si="16"/>
        <v>05020320080090244</v>
      </c>
    </row>
    <row r="990" spans="1:8">
      <c r="A990" s="212" t="s">
        <v>1757</v>
      </c>
      <c r="B990" s="278" t="s">
        <v>1080</v>
      </c>
      <c r="C990" s="278" t="s">
        <v>452</v>
      </c>
      <c r="D990" s="278" t="s">
        <v>1748</v>
      </c>
      <c r="E990" s="278" t="s">
        <v>1758</v>
      </c>
      <c r="F990" s="218">
        <v>150000</v>
      </c>
      <c r="G990" s="218">
        <v>150000</v>
      </c>
      <c r="H990" s="147" t="str">
        <f t="shared" si="16"/>
        <v>05020320080090800</v>
      </c>
    </row>
    <row r="991" spans="1:8">
      <c r="A991" s="212" t="s">
        <v>1507</v>
      </c>
      <c r="B991" s="278" t="s">
        <v>1080</v>
      </c>
      <c r="C991" s="278" t="s">
        <v>452</v>
      </c>
      <c r="D991" s="278" t="s">
        <v>1748</v>
      </c>
      <c r="E991" s="278" t="s">
        <v>1508</v>
      </c>
      <c r="F991" s="218">
        <v>150000</v>
      </c>
      <c r="G991" s="218">
        <v>150000</v>
      </c>
      <c r="H991" s="147" t="str">
        <f t="shared" si="16"/>
        <v>05020320080090850</v>
      </c>
    </row>
    <row r="992" spans="1:8">
      <c r="A992" s="212" t="s">
        <v>1082</v>
      </c>
      <c r="B992" s="278" t="s">
        <v>1080</v>
      </c>
      <c r="C992" s="278" t="s">
        <v>452</v>
      </c>
      <c r="D992" s="278" t="s">
        <v>1748</v>
      </c>
      <c r="E992" s="278" t="s">
        <v>591</v>
      </c>
      <c r="F992" s="218">
        <v>140000</v>
      </c>
      <c r="G992" s="218">
        <v>140000</v>
      </c>
      <c r="H992" s="147" t="str">
        <f t="shared" si="16"/>
        <v>05020320080090852</v>
      </c>
    </row>
    <row r="993" spans="1:8">
      <c r="A993" s="212" t="s">
        <v>1198</v>
      </c>
      <c r="B993" s="278" t="s">
        <v>1080</v>
      </c>
      <c r="C993" s="278" t="s">
        <v>452</v>
      </c>
      <c r="D993" s="278" t="s">
        <v>1748</v>
      </c>
      <c r="E993" s="278" t="s">
        <v>1199</v>
      </c>
      <c r="F993" s="218">
        <v>10000</v>
      </c>
      <c r="G993" s="218">
        <v>10000</v>
      </c>
      <c r="H993" s="147" t="str">
        <f t="shared" si="16"/>
        <v>05020320080090853</v>
      </c>
    </row>
    <row r="994" spans="1:8" ht="178.5">
      <c r="A994" s="212" t="s">
        <v>1749</v>
      </c>
      <c r="B994" s="278" t="s">
        <v>1080</v>
      </c>
      <c r="C994" s="278" t="s">
        <v>452</v>
      </c>
      <c r="D994" s="278" t="s">
        <v>1750</v>
      </c>
      <c r="E994" s="278" t="s">
        <v>1468</v>
      </c>
      <c r="F994" s="218">
        <v>50000</v>
      </c>
      <c r="G994" s="218">
        <v>50000</v>
      </c>
      <c r="H994" s="147" t="str">
        <f t="shared" si="16"/>
        <v>05020320087090</v>
      </c>
    </row>
    <row r="995" spans="1:8" ht="76.5">
      <c r="A995" s="212" t="s">
        <v>1754</v>
      </c>
      <c r="B995" s="278" t="s">
        <v>1080</v>
      </c>
      <c r="C995" s="278" t="s">
        <v>452</v>
      </c>
      <c r="D995" s="278" t="s">
        <v>1750</v>
      </c>
      <c r="E995" s="278" t="s">
        <v>322</v>
      </c>
      <c r="F995" s="218">
        <v>50000</v>
      </c>
      <c r="G995" s="218">
        <v>50000</v>
      </c>
      <c r="H995" s="147" t="str">
        <f t="shared" si="16"/>
        <v>05020320087090100</v>
      </c>
    </row>
    <row r="996" spans="1:8" ht="25.5">
      <c r="A996" s="212" t="s">
        <v>1487</v>
      </c>
      <c r="B996" s="278" t="s">
        <v>1080</v>
      </c>
      <c r="C996" s="278" t="s">
        <v>452</v>
      </c>
      <c r="D996" s="278" t="s">
        <v>1750</v>
      </c>
      <c r="E996" s="278" t="s">
        <v>165</v>
      </c>
      <c r="F996" s="218">
        <v>50000</v>
      </c>
      <c r="G996" s="218">
        <v>50000</v>
      </c>
      <c r="H996" s="147" t="str">
        <f t="shared" si="16"/>
        <v>05020320087090110</v>
      </c>
    </row>
    <row r="997" spans="1:8" ht="25.5">
      <c r="A997" s="212" t="s">
        <v>1369</v>
      </c>
      <c r="B997" s="278" t="s">
        <v>1080</v>
      </c>
      <c r="C997" s="278" t="s">
        <v>452</v>
      </c>
      <c r="D997" s="278" t="s">
        <v>1750</v>
      </c>
      <c r="E997" s="278" t="s">
        <v>479</v>
      </c>
      <c r="F997" s="218">
        <v>50000</v>
      </c>
      <c r="G997" s="218">
        <v>50000</v>
      </c>
      <c r="H997" s="147" t="str">
        <f t="shared" si="16"/>
        <v>05020320087090112</v>
      </c>
    </row>
    <row r="998" spans="1:8" ht="165.75">
      <c r="A998" s="212" t="s">
        <v>1751</v>
      </c>
      <c r="B998" s="278" t="s">
        <v>1080</v>
      </c>
      <c r="C998" s="278" t="s">
        <v>452</v>
      </c>
      <c r="D998" s="278" t="s">
        <v>1752</v>
      </c>
      <c r="E998" s="278" t="s">
        <v>1468</v>
      </c>
      <c r="F998" s="218">
        <v>637600</v>
      </c>
      <c r="G998" s="218">
        <v>637600</v>
      </c>
      <c r="H998" s="147" t="str">
        <f t="shared" ref="H998:H1061" si="17">CONCATENATE(C998,,D998,E998)</f>
        <v>0502032008Г090</v>
      </c>
    </row>
    <row r="999" spans="1:8" ht="38.25">
      <c r="A999" s="212" t="s">
        <v>1755</v>
      </c>
      <c r="B999" s="278" t="s">
        <v>1080</v>
      </c>
      <c r="C999" s="278" t="s">
        <v>452</v>
      </c>
      <c r="D999" s="278" t="s">
        <v>1752</v>
      </c>
      <c r="E999" s="278" t="s">
        <v>1756</v>
      </c>
      <c r="F999" s="218">
        <v>637600</v>
      </c>
      <c r="G999" s="218">
        <v>637600</v>
      </c>
      <c r="H999" s="147" t="str">
        <f t="shared" si="17"/>
        <v>0502032008Г090200</v>
      </c>
    </row>
    <row r="1000" spans="1:8" ht="38.25">
      <c r="A1000" s="212" t="s">
        <v>1502</v>
      </c>
      <c r="B1000" s="278" t="s">
        <v>1080</v>
      </c>
      <c r="C1000" s="278" t="s">
        <v>452</v>
      </c>
      <c r="D1000" s="278" t="s">
        <v>1752</v>
      </c>
      <c r="E1000" s="278" t="s">
        <v>1503</v>
      </c>
      <c r="F1000" s="218">
        <v>637600</v>
      </c>
      <c r="G1000" s="218">
        <v>637600</v>
      </c>
      <c r="H1000" s="147" t="str">
        <f t="shared" si="17"/>
        <v>0502032008Г090240</v>
      </c>
    </row>
    <row r="1001" spans="1:8">
      <c r="A1001" s="212" t="s">
        <v>1577</v>
      </c>
      <c r="B1001" s="278" t="s">
        <v>1080</v>
      </c>
      <c r="C1001" s="278" t="s">
        <v>452</v>
      </c>
      <c r="D1001" s="278" t="s">
        <v>1752</v>
      </c>
      <c r="E1001" s="278" t="s">
        <v>416</v>
      </c>
      <c r="F1001" s="218">
        <v>637600</v>
      </c>
      <c r="G1001" s="218">
        <v>637600</v>
      </c>
      <c r="H1001" s="147" t="str">
        <f t="shared" si="17"/>
        <v>0502032008Г090244</v>
      </c>
    </row>
    <row r="1002" spans="1:8" ht="25.5">
      <c r="A1002" s="212" t="s">
        <v>44</v>
      </c>
      <c r="B1002" s="278" t="s">
        <v>249</v>
      </c>
      <c r="C1002" s="278" t="s">
        <v>1468</v>
      </c>
      <c r="D1002" s="278" t="s">
        <v>1468</v>
      </c>
      <c r="E1002" s="278" t="s">
        <v>1468</v>
      </c>
      <c r="F1002" s="218">
        <v>104739700</v>
      </c>
      <c r="G1002" s="218">
        <v>100197500</v>
      </c>
      <c r="H1002" s="147" t="str">
        <f t="shared" si="17"/>
        <v/>
      </c>
    </row>
    <row r="1003" spans="1:8">
      <c r="A1003" s="212" t="s">
        <v>278</v>
      </c>
      <c r="B1003" s="278" t="s">
        <v>249</v>
      </c>
      <c r="C1003" s="278" t="s">
        <v>1357</v>
      </c>
      <c r="D1003" s="278" t="s">
        <v>1468</v>
      </c>
      <c r="E1003" s="278" t="s">
        <v>1468</v>
      </c>
      <c r="F1003" s="218">
        <v>14121360</v>
      </c>
      <c r="G1003" s="218">
        <v>14121360</v>
      </c>
      <c r="H1003" s="147" t="str">
        <f t="shared" si="17"/>
        <v>0100</v>
      </c>
    </row>
    <row r="1004" spans="1:8" ht="51">
      <c r="A1004" s="212" t="s">
        <v>260</v>
      </c>
      <c r="B1004" s="278" t="s">
        <v>249</v>
      </c>
      <c r="C1004" s="278" t="s">
        <v>418</v>
      </c>
      <c r="D1004" s="278" t="s">
        <v>1468</v>
      </c>
      <c r="E1004" s="278" t="s">
        <v>1468</v>
      </c>
      <c r="F1004" s="218">
        <v>11807560</v>
      </c>
      <c r="G1004" s="218">
        <v>11807560</v>
      </c>
      <c r="H1004" s="147" t="str">
        <f t="shared" si="17"/>
        <v>0106</v>
      </c>
    </row>
    <row r="1005" spans="1:8" ht="25.5">
      <c r="A1005" s="212" t="s">
        <v>584</v>
      </c>
      <c r="B1005" s="278" t="s">
        <v>249</v>
      </c>
      <c r="C1005" s="278" t="s">
        <v>418</v>
      </c>
      <c r="D1005" s="278" t="s">
        <v>1139</v>
      </c>
      <c r="E1005" s="278" t="s">
        <v>1468</v>
      </c>
      <c r="F1005" s="218">
        <v>11807560</v>
      </c>
      <c r="G1005" s="218">
        <v>11807560</v>
      </c>
      <c r="H1005" s="147" t="str">
        <f t="shared" si="17"/>
        <v>01061100000000</v>
      </c>
    </row>
    <row r="1006" spans="1:8" ht="25.5">
      <c r="A1006" s="212" t="s">
        <v>585</v>
      </c>
      <c r="B1006" s="278" t="s">
        <v>249</v>
      </c>
      <c r="C1006" s="278" t="s">
        <v>418</v>
      </c>
      <c r="D1006" s="278" t="s">
        <v>1141</v>
      </c>
      <c r="E1006" s="278" t="s">
        <v>1468</v>
      </c>
      <c r="F1006" s="218">
        <v>11807560</v>
      </c>
      <c r="G1006" s="218">
        <v>11807560</v>
      </c>
      <c r="H1006" s="147" t="str">
        <f t="shared" si="17"/>
        <v>01061120000000</v>
      </c>
    </row>
    <row r="1007" spans="1:8" ht="89.25">
      <c r="A1007" s="212" t="s">
        <v>514</v>
      </c>
      <c r="B1007" s="278" t="s">
        <v>249</v>
      </c>
      <c r="C1007" s="278" t="s">
        <v>418</v>
      </c>
      <c r="D1007" s="278" t="s">
        <v>916</v>
      </c>
      <c r="E1007" s="278" t="s">
        <v>1468</v>
      </c>
      <c r="F1007" s="218">
        <v>9913921</v>
      </c>
      <c r="G1007" s="218">
        <v>9913921</v>
      </c>
      <c r="H1007" s="147" t="str">
        <f t="shared" si="17"/>
        <v>01061120060000</v>
      </c>
    </row>
    <row r="1008" spans="1:8" ht="76.5">
      <c r="A1008" s="212" t="s">
        <v>1754</v>
      </c>
      <c r="B1008" s="278" t="s">
        <v>249</v>
      </c>
      <c r="C1008" s="278" t="s">
        <v>418</v>
      </c>
      <c r="D1008" s="278" t="s">
        <v>916</v>
      </c>
      <c r="E1008" s="278" t="s">
        <v>322</v>
      </c>
      <c r="F1008" s="218">
        <v>9913921</v>
      </c>
      <c r="G1008" s="218">
        <v>9913921</v>
      </c>
      <c r="H1008" s="147" t="str">
        <f t="shared" si="17"/>
        <v>01061120060000100</v>
      </c>
    </row>
    <row r="1009" spans="1:8" ht="38.25">
      <c r="A1009" s="212" t="s">
        <v>1509</v>
      </c>
      <c r="B1009" s="278" t="s">
        <v>249</v>
      </c>
      <c r="C1009" s="278" t="s">
        <v>418</v>
      </c>
      <c r="D1009" s="278" t="s">
        <v>916</v>
      </c>
      <c r="E1009" s="278" t="s">
        <v>37</v>
      </c>
      <c r="F1009" s="218">
        <v>9913921</v>
      </c>
      <c r="G1009" s="218">
        <v>9913921</v>
      </c>
      <c r="H1009" s="147" t="str">
        <f t="shared" si="17"/>
        <v>01061120060000120</v>
      </c>
    </row>
    <row r="1010" spans="1:8" ht="25.5">
      <c r="A1010" s="212" t="s">
        <v>1081</v>
      </c>
      <c r="B1010" s="278" t="s">
        <v>249</v>
      </c>
      <c r="C1010" s="278" t="s">
        <v>418</v>
      </c>
      <c r="D1010" s="278" t="s">
        <v>916</v>
      </c>
      <c r="E1010" s="278" t="s">
        <v>411</v>
      </c>
      <c r="F1010" s="218">
        <v>7614379</v>
      </c>
      <c r="G1010" s="218">
        <v>7614379</v>
      </c>
      <c r="H1010" s="147" t="str">
        <f t="shared" si="17"/>
        <v>01061120060000121</v>
      </c>
    </row>
    <row r="1011" spans="1:8" ht="63.75">
      <c r="A1011" s="212" t="s">
        <v>1195</v>
      </c>
      <c r="B1011" s="278" t="s">
        <v>249</v>
      </c>
      <c r="C1011" s="278" t="s">
        <v>418</v>
      </c>
      <c r="D1011" s="278" t="s">
        <v>916</v>
      </c>
      <c r="E1011" s="278" t="s">
        <v>1196</v>
      </c>
      <c r="F1011" s="218">
        <v>2299542</v>
      </c>
      <c r="G1011" s="218">
        <v>2299542</v>
      </c>
      <c r="H1011" s="147" t="str">
        <f t="shared" si="17"/>
        <v>01061120060000129</v>
      </c>
    </row>
    <row r="1012" spans="1:8" ht="102">
      <c r="A1012" s="212" t="s">
        <v>1061</v>
      </c>
      <c r="B1012" s="278" t="s">
        <v>249</v>
      </c>
      <c r="C1012" s="278" t="s">
        <v>418</v>
      </c>
      <c r="D1012" s="278" t="s">
        <v>1060</v>
      </c>
      <c r="E1012" s="278" t="s">
        <v>1468</v>
      </c>
      <c r="F1012" s="218">
        <v>1398848</v>
      </c>
      <c r="G1012" s="218">
        <v>1398848</v>
      </c>
      <c r="H1012" s="147" t="str">
        <f t="shared" si="17"/>
        <v>0106112006Б000</v>
      </c>
    </row>
    <row r="1013" spans="1:8" ht="76.5">
      <c r="A1013" s="212" t="s">
        <v>1754</v>
      </c>
      <c r="B1013" s="278" t="s">
        <v>249</v>
      </c>
      <c r="C1013" s="278" t="s">
        <v>418</v>
      </c>
      <c r="D1013" s="278" t="s">
        <v>1060</v>
      </c>
      <c r="E1013" s="278" t="s">
        <v>322</v>
      </c>
      <c r="F1013" s="218">
        <v>1398848</v>
      </c>
      <c r="G1013" s="218">
        <v>1398848</v>
      </c>
      <c r="H1013" s="147" t="str">
        <f t="shared" si="17"/>
        <v>0106112006Б000100</v>
      </c>
    </row>
    <row r="1014" spans="1:8" ht="38.25">
      <c r="A1014" s="212" t="s">
        <v>1509</v>
      </c>
      <c r="B1014" s="278" t="s">
        <v>249</v>
      </c>
      <c r="C1014" s="278" t="s">
        <v>418</v>
      </c>
      <c r="D1014" s="278" t="s">
        <v>1060</v>
      </c>
      <c r="E1014" s="278" t="s">
        <v>37</v>
      </c>
      <c r="F1014" s="218">
        <v>1398848</v>
      </c>
      <c r="G1014" s="218">
        <v>1398848</v>
      </c>
      <c r="H1014" s="147" t="str">
        <f t="shared" si="17"/>
        <v>0106112006Б000120</v>
      </c>
    </row>
    <row r="1015" spans="1:8" ht="25.5">
      <c r="A1015" s="212" t="s">
        <v>1081</v>
      </c>
      <c r="B1015" s="278" t="s">
        <v>249</v>
      </c>
      <c r="C1015" s="278" t="s">
        <v>418</v>
      </c>
      <c r="D1015" s="278" t="s">
        <v>1060</v>
      </c>
      <c r="E1015" s="278" t="s">
        <v>411</v>
      </c>
      <c r="F1015" s="218">
        <v>1085905</v>
      </c>
      <c r="G1015" s="218">
        <v>1085905</v>
      </c>
      <c r="H1015" s="147" t="str">
        <f t="shared" si="17"/>
        <v>0106112006Б000121</v>
      </c>
    </row>
    <row r="1016" spans="1:8" ht="63.75">
      <c r="A1016" s="212" t="s">
        <v>1195</v>
      </c>
      <c r="B1016" s="278" t="s">
        <v>249</v>
      </c>
      <c r="C1016" s="278" t="s">
        <v>418</v>
      </c>
      <c r="D1016" s="278" t="s">
        <v>1060</v>
      </c>
      <c r="E1016" s="278" t="s">
        <v>1196</v>
      </c>
      <c r="F1016" s="218">
        <v>312943</v>
      </c>
      <c r="G1016" s="218">
        <v>312943</v>
      </c>
      <c r="H1016" s="147" t="str">
        <f t="shared" si="17"/>
        <v>0106112006Б000129</v>
      </c>
    </row>
    <row r="1017" spans="1:8" ht="89.25">
      <c r="A1017" s="212" t="s">
        <v>630</v>
      </c>
      <c r="B1017" s="278" t="s">
        <v>249</v>
      </c>
      <c r="C1017" s="278" t="s">
        <v>418</v>
      </c>
      <c r="D1017" s="278" t="s">
        <v>920</v>
      </c>
      <c r="E1017" s="278" t="s">
        <v>1468</v>
      </c>
      <c r="F1017" s="218">
        <v>479791</v>
      </c>
      <c r="G1017" s="218">
        <v>479791</v>
      </c>
      <c r="H1017" s="147" t="str">
        <f t="shared" si="17"/>
        <v>010611200Ч0060</v>
      </c>
    </row>
    <row r="1018" spans="1:8" ht="76.5">
      <c r="A1018" s="212" t="s">
        <v>1754</v>
      </c>
      <c r="B1018" s="278" t="s">
        <v>249</v>
      </c>
      <c r="C1018" s="278" t="s">
        <v>418</v>
      </c>
      <c r="D1018" s="278" t="s">
        <v>920</v>
      </c>
      <c r="E1018" s="278" t="s">
        <v>322</v>
      </c>
      <c r="F1018" s="218">
        <v>479791</v>
      </c>
      <c r="G1018" s="218">
        <v>479791</v>
      </c>
      <c r="H1018" s="147" t="str">
        <f t="shared" si="17"/>
        <v>010611200Ч0060100</v>
      </c>
    </row>
    <row r="1019" spans="1:8" ht="38.25">
      <c r="A1019" s="212" t="s">
        <v>1509</v>
      </c>
      <c r="B1019" s="278" t="s">
        <v>249</v>
      </c>
      <c r="C1019" s="278" t="s">
        <v>418</v>
      </c>
      <c r="D1019" s="278" t="s">
        <v>920</v>
      </c>
      <c r="E1019" s="278" t="s">
        <v>37</v>
      </c>
      <c r="F1019" s="218">
        <v>479791</v>
      </c>
      <c r="G1019" s="218">
        <v>479791</v>
      </c>
      <c r="H1019" s="147" t="str">
        <f t="shared" si="17"/>
        <v>010611200Ч0060120</v>
      </c>
    </row>
    <row r="1020" spans="1:8" ht="25.5">
      <c r="A1020" s="212" t="s">
        <v>1081</v>
      </c>
      <c r="B1020" s="278" t="s">
        <v>249</v>
      </c>
      <c r="C1020" s="278" t="s">
        <v>418</v>
      </c>
      <c r="D1020" s="278" t="s">
        <v>920</v>
      </c>
      <c r="E1020" s="278" t="s">
        <v>411</v>
      </c>
      <c r="F1020" s="218">
        <v>368503</v>
      </c>
      <c r="G1020" s="218">
        <v>368503</v>
      </c>
      <c r="H1020" s="147" t="str">
        <f t="shared" si="17"/>
        <v>010611200Ч0060121</v>
      </c>
    </row>
    <row r="1021" spans="1:8" ht="63.75">
      <c r="A1021" s="212" t="s">
        <v>1195</v>
      </c>
      <c r="B1021" s="278" t="s">
        <v>249</v>
      </c>
      <c r="C1021" s="278" t="s">
        <v>418</v>
      </c>
      <c r="D1021" s="278" t="s">
        <v>920</v>
      </c>
      <c r="E1021" s="278" t="s">
        <v>1196</v>
      </c>
      <c r="F1021" s="218">
        <v>111288</v>
      </c>
      <c r="G1021" s="218">
        <v>111288</v>
      </c>
      <c r="H1021" s="147" t="str">
        <f t="shared" si="17"/>
        <v>010611200Ч0060129</v>
      </c>
    </row>
    <row r="1022" spans="1:8" ht="127.5">
      <c r="A1022" s="212" t="s">
        <v>1831</v>
      </c>
      <c r="B1022" s="278" t="s">
        <v>249</v>
      </c>
      <c r="C1022" s="278" t="s">
        <v>418</v>
      </c>
      <c r="D1022" s="278" t="s">
        <v>1786</v>
      </c>
      <c r="E1022" s="278" t="s">
        <v>1468</v>
      </c>
      <c r="F1022" s="218">
        <v>15000</v>
      </c>
      <c r="G1022" s="218">
        <v>15000</v>
      </c>
      <c r="H1022" s="147" t="str">
        <f t="shared" si="17"/>
        <v>010611200Ч0070</v>
      </c>
    </row>
    <row r="1023" spans="1:8" ht="38.25">
      <c r="A1023" s="212" t="s">
        <v>1755</v>
      </c>
      <c r="B1023" s="278" t="s">
        <v>249</v>
      </c>
      <c r="C1023" s="278" t="s">
        <v>418</v>
      </c>
      <c r="D1023" s="278" t="s">
        <v>1786</v>
      </c>
      <c r="E1023" s="278" t="s">
        <v>1756</v>
      </c>
      <c r="F1023" s="218">
        <v>15000</v>
      </c>
      <c r="G1023" s="218">
        <v>15000</v>
      </c>
      <c r="H1023" s="147" t="str">
        <f t="shared" si="17"/>
        <v>010611200Ч0070200</v>
      </c>
    </row>
    <row r="1024" spans="1:8" ht="38.25">
      <c r="A1024" s="212" t="s">
        <v>1502</v>
      </c>
      <c r="B1024" s="278" t="s">
        <v>249</v>
      </c>
      <c r="C1024" s="278" t="s">
        <v>418</v>
      </c>
      <c r="D1024" s="278" t="s">
        <v>1786</v>
      </c>
      <c r="E1024" s="278" t="s">
        <v>1503</v>
      </c>
      <c r="F1024" s="218">
        <v>15000</v>
      </c>
      <c r="G1024" s="218">
        <v>15000</v>
      </c>
      <c r="H1024" s="147" t="str">
        <f t="shared" si="17"/>
        <v>010611200Ч0070240</v>
      </c>
    </row>
    <row r="1025" spans="1:8">
      <c r="A1025" s="212" t="s">
        <v>1577</v>
      </c>
      <c r="B1025" s="278" t="s">
        <v>249</v>
      </c>
      <c r="C1025" s="278" t="s">
        <v>418</v>
      </c>
      <c r="D1025" s="278" t="s">
        <v>1786</v>
      </c>
      <c r="E1025" s="278" t="s">
        <v>416</v>
      </c>
      <c r="F1025" s="218">
        <v>15000</v>
      </c>
      <c r="G1025" s="218">
        <v>15000</v>
      </c>
      <c r="H1025" s="147" t="str">
        <f t="shared" si="17"/>
        <v>010611200Ч0070244</v>
      </c>
    </row>
    <row r="1026" spans="1:8">
      <c r="A1026" s="212" t="s">
        <v>70</v>
      </c>
      <c r="B1026" s="278" t="s">
        <v>249</v>
      </c>
      <c r="C1026" s="278" t="s">
        <v>515</v>
      </c>
      <c r="D1026" s="278" t="s">
        <v>1468</v>
      </c>
      <c r="E1026" s="278" t="s">
        <v>1468</v>
      </c>
      <c r="F1026" s="218">
        <v>2000000</v>
      </c>
      <c r="G1026" s="218">
        <v>2000000</v>
      </c>
      <c r="H1026" s="147" t="str">
        <f t="shared" si="17"/>
        <v>0111</v>
      </c>
    </row>
    <row r="1027" spans="1:8" ht="25.5">
      <c r="A1027" s="212" t="s">
        <v>710</v>
      </c>
      <c r="B1027" s="278" t="s">
        <v>249</v>
      </c>
      <c r="C1027" s="278" t="s">
        <v>515</v>
      </c>
      <c r="D1027" s="278" t="s">
        <v>1151</v>
      </c>
      <c r="E1027" s="278" t="s">
        <v>1468</v>
      </c>
      <c r="F1027" s="218">
        <v>2000000</v>
      </c>
      <c r="G1027" s="218">
        <v>2000000</v>
      </c>
      <c r="H1027" s="147" t="str">
        <f t="shared" si="17"/>
        <v>01119000000000</v>
      </c>
    </row>
    <row r="1028" spans="1:8" ht="51">
      <c r="A1028" s="212" t="s">
        <v>516</v>
      </c>
      <c r="B1028" s="278" t="s">
        <v>249</v>
      </c>
      <c r="C1028" s="278" t="s">
        <v>515</v>
      </c>
      <c r="D1028" s="278" t="s">
        <v>1152</v>
      </c>
      <c r="E1028" s="278" t="s">
        <v>1468</v>
      </c>
      <c r="F1028" s="218">
        <v>2000000</v>
      </c>
      <c r="G1028" s="218">
        <v>2000000</v>
      </c>
      <c r="H1028" s="147" t="str">
        <f t="shared" si="17"/>
        <v>01119010000000</v>
      </c>
    </row>
    <row r="1029" spans="1:8" ht="51">
      <c r="A1029" s="212" t="s">
        <v>516</v>
      </c>
      <c r="B1029" s="278" t="s">
        <v>249</v>
      </c>
      <c r="C1029" s="278" t="s">
        <v>515</v>
      </c>
      <c r="D1029" s="278" t="s">
        <v>921</v>
      </c>
      <c r="E1029" s="278" t="s">
        <v>1468</v>
      </c>
      <c r="F1029" s="218">
        <v>2000000</v>
      </c>
      <c r="G1029" s="218">
        <v>2000000</v>
      </c>
      <c r="H1029" s="147" t="str">
        <f t="shared" si="17"/>
        <v>01119010080000</v>
      </c>
    </row>
    <row r="1030" spans="1:8">
      <c r="A1030" s="212" t="s">
        <v>1757</v>
      </c>
      <c r="B1030" s="278" t="s">
        <v>249</v>
      </c>
      <c r="C1030" s="278" t="s">
        <v>515</v>
      </c>
      <c r="D1030" s="278" t="s">
        <v>921</v>
      </c>
      <c r="E1030" s="278" t="s">
        <v>1758</v>
      </c>
      <c r="F1030" s="218">
        <v>2000000</v>
      </c>
      <c r="G1030" s="218">
        <v>2000000</v>
      </c>
      <c r="H1030" s="147" t="str">
        <f t="shared" si="17"/>
        <v>01119010080000800</v>
      </c>
    </row>
    <row r="1031" spans="1:8">
      <c r="A1031" s="212" t="s">
        <v>517</v>
      </c>
      <c r="B1031" s="278" t="s">
        <v>249</v>
      </c>
      <c r="C1031" s="278" t="s">
        <v>515</v>
      </c>
      <c r="D1031" s="278" t="s">
        <v>921</v>
      </c>
      <c r="E1031" s="278" t="s">
        <v>518</v>
      </c>
      <c r="F1031" s="218">
        <v>2000000</v>
      </c>
      <c r="G1031" s="218">
        <v>2000000</v>
      </c>
      <c r="H1031" s="147" t="str">
        <f t="shared" si="17"/>
        <v>01119010080000870</v>
      </c>
    </row>
    <row r="1032" spans="1:8">
      <c r="A1032" s="212" t="s">
        <v>261</v>
      </c>
      <c r="B1032" s="278" t="s">
        <v>249</v>
      </c>
      <c r="C1032" s="278" t="s">
        <v>424</v>
      </c>
      <c r="D1032" s="278" t="s">
        <v>1468</v>
      </c>
      <c r="E1032" s="278" t="s">
        <v>1468</v>
      </c>
      <c r="F1032" s="218">
        <v>313800</v>
      </c>
      <c r="G1032" s="218">
        <v>313800</v>
      </c>
      <c r="H1032" s="147" t="str">
        <f t="shared" si="17"/>
        <v>0113</v>
      </c>
    </row>
    <row r="1033" spans="1:8" ht="25.5">
      <c r="A1033" s="212" t="s">
        <v>584</v>
      </c>
      <c r="B1033" s="278" t="s">
        <v>249</v>
      </c>
      <c r="C1033" s="278" t="s">
        <v>424</v>
      </c>
      <c r="D1033" s="278" t="s">
        <v>1139</v>
      </c>
      <c r="E1033" s="278" t="s">
        <v>1468</v>
      </c>
      <c r="F1033" s="218">
        <v>213800</v>
      </c>
      <c r="G1033" s="218">
        <v>213800</v>
      </c>
      <c r="H1033" s="147" t="str">
        <f t="shared" si="17"/>
        <v>01131100000000</v>
      </c>
    </row>
    <row r="1034" spans="1:8" ht="63.75">
      <c r="A1034" s="212" t="s">
        <v>707</v>
      </c>
      <c r="B1034" s="278" t="s">
        <v>249</v>
      </c>
      <c r="C1034" s="278" t="s">
        <v>424</v>
      </c>
      <c r="D1034" s="278" t="s">
        <v>1140</v>
      </c>
      <c r="E1034" s="278" t="s">
        <v>1468</v>
      </c>
      <c r="F1034" s="218">
        <v>213800</v>
      </c>
      <c r="G1034" s="218">
        <v>213800</v>
      </c>
      <c r="H1034" s="147" t="str">
        <f t="shared" si="17"/>
        <v>01131110000000</v>
      </c>
    </row>
    <row r="1035" spans="1:8" ht="140.25">
      <c r="A1035" s="212" t="s">
        <v>631</v>
      </c>
      <c r="B1035" s="278" t="s">
        <v>249</v>
      </c>
      <c r="C1035" s="278" t="s">
        <v>424</v>
      </c>
      <c r="D1035" s="278" t="s">
        <v>922</v>
      </c>
      <c r="E1035" s="278" t="s">
        <v>1468</v>
      </c>
      <c r="F1035" s="218">
        <v>213800</v>
      </c>
      <c r="G1035" s="218">
        <v>213800</v>
      </c>
      <c r="H1035" s="147" t="str">
        <f t="shared" si="17"/>
        <v>01131110075140</v>
      </c>
    </row>
    <row r="1036" spans="1:8">
      <c r="A1036" s="212" t="s">
        <v>1765</v>
      </c>
      <c r="B1036" s="278" t="s">
        <v>249</v>
      </c>
      <c r="C1036" s="278" t="s">
        <v>424</v>
      </c>
      <c r="D1036" s="278" t="s">
        <v>922</v>
      </c>
      <c r="E1036" s="278" t="s">
        <v>1766</v>
      </c>
      <c r="F1036" s="218">
        <v>213800</v>
      </c>
      <c r="G1036" s="218">
        <v>213800</v>
      </c>
      <c r="H1036" s="147" t="str">
        <f t="shared" si="17"/>
        <v>01131110075140500</v>
      </c>
    </row>
    <row r="1037" spans="1:8">
      <c r="A1037" s="212" t="s">
        <v>523</v>
      </c>
      <c r="B1037" s="278" t="s">
        <v>249</v>
      </c>
      <c r="C1037" s="278" t="s">
        <v>424</v>
      </c>
      <c r="D1037" s="278" t="s">
        <v>922</v>
      </c>
      <c r="E1037" s="278" t="s">
        <v>524</v>
      </c>
      <c r="F1037" s="218">
        <v>213800</v>
      </c>
      <c r="G1037" s="218">
        <v>213800</v>
      </c>
      <c r="H1037" s="147" t="str">
        <f t="shared" si="17"/>
        <v>01131110075140530</v>
      </c>
    </row>
    <row r="1038" spans="1:8" ht="25.5">
      <c r="A1038" s="212" t="s">
        <v>710</v>
      </c>
      <c r="B1038" s="278" t="s">
        <v>249</v>
      </c>
      <c r="C1038" s="278" t="s">
        <v>424</v>
      </c>
      <c r="D1038" s="278" t="s">
        <v>1151</v>
      </c>
      <c r="E1038" s="278" t="s">
        <v>1468</v>
      </c>
      <c r="F1038" s="218">
        <v>100000</v>
      </c>
      <c r="G1038" s="218">
        <v>100000</v>
      </c>
      <c r="H1038" s="147" t="str">
        <f t="shared" si="17"/>
        <v>01139000000000</v>
      </c>
    </row>
    <row r="1039" spans="1:8" ht="38.25">
      <c r="A1039" s="212" t="s">
        <v>520</v>
      </c>
      <c r="B1039" s="278" t="s">
        <v>249</v>
      </c>
      <c r="C1039" s="278" t="s">
        <v>424</v>
      </c>
      <c r="D1039" s="278" t="s">
        <v>1155</v>
      </c>
      <c r="E1039" s="278" t="s">
        <v>1468</v>
      </c>
      <c r="F1039" s="218">
        <v>100000</v>
      </c>
      <c r="G1039" s="218">
        <v>100000</v>
      </c>
      <c r="H1039" s="147" t="str">
        <f t="shared" si="17"/>
        <v>01139090000000</v>
      </c>
    </row>
    <row r="1040" spans="1:8" ht="38.25">
      <c r="A1040" s="212" t="s">
        <v>520</v>
      </c>
      <c r="B1040" s="278" t="s">
        <v>249</v>
      </c>
      <c r="C1040" s="278" t="s">
        <v>424</v>
      </c>
      <c r="D1040" s="278" t="s">
        <v>923</v>
      </c>
      <c r="E1040" s="278" t="s">
        <v>1468</v>
      </c>
      <c r="F1040" s="218">
        <v>100000</v>
      </c>
      <c r="G1040" s="218">
        <v>100000</v>
      </c>
      <c r="H1040" s="147" t="str">
        <f t="shared" si="17"/>
        <v>01139090080000</v>
      </c>
    </row>
    <row r="1041" spans="1:8">
      <c r="A1041" s="212" t="s">
        <v>1757</v>
      </c>
      <c r="B1041" s="278" t="s">
        <v>249</v>
      </c>
      <c r="C1041" s="278" t="s">
        <v>424</v>
      </c>
      <c r="D1041" s="278" t="s">
        <v>923</v>
      </c>
      <c r="E1041" s="278" t="s">
        <v>1758</v>
      </c>
      <c r="F1041" s="218">
        <v>100000</v>
      </c>
      <c r="G1041" s="218">
        <v>100000</v>
      </c>
      <c r="H1041" s="147" t="str">
        <f t="shared" si="17"/>
        <v>01139090080000800</v>
      </c>
    </row>
    <row r="1042" spans="1:8">
      <c r="A1042" s="212" t="s">
        <v>1516</v>
      </c>
      <c r="B1042" s="278" t="s">
        <v>249</v>
      </c>
      <c r="C1042" s="278" t="s">
        <v>424</v>
      </c>
      <c r="D1042" s="278" t="s">
        <v>923</v>
      </c>
      <c r="E1042" s="278" t="s">
        <v>242</v>
      </c>
      <c r="F1042" s="218">
        <v>100000</v>
      </c>
      <c r="G1042" s="218">
        <v>100000</v>
      </c>
      <c r="H1042" s="147" t="str">
        <f t="shared" si="17"/>
        <v>01139090080000830</v>
      </c>
    </row>
    <row r="1043" spans="1:8" ht="38.25">
      <c r="A1043" s="212" t="s">
        <v>1425</v>
      </c>
      <c r="B1043" s="278" t="s">
        <v>249</v>
      </c>
      <c r="C1043" s="278" t="s">
        <v>424</v>
      </c>
      <c r="D1043" s="278" t="s">
        <v>923</v>
      </c>
      <c r="E1043" s="278" t="s">
        <v>521</v>
      </c>
      <c r="F1043" s="218">
        <v>100000</v>
      </c>
      <c r="G1043" s="218">
        <v>100000</v>
      </c>
      <c r="H1043" s="147" t="str">
        <f t="shared" si="17"/>
        <v>01139090080000831</v>
      </c>
    </row>
    <row r="1044" spans="1:8">
      <c r="A1044" s="212" t="s">
        <v>228</v>
      </c>
      <c r="B1044" s="278" t="s">
        <v>249</v>
      </c>
      <c r="C1044" s="278" t="s">
        <v>1377</v>
      </c>
      <c r="D1044" s="278" t="s">
        <v>1468</v>
      </c>
      <c r="E1044" s="278" t="s">
        <v>1468</v>
      </c>
      <c r="F1044" s="218">
        <v>4504200</v>
      </c>
      <c r="G1044" s="218">
        <v>0</v>
      </c>
      <c r="H1044" s="147" t="str">
        <f t="shared" si="17"/>
        <v>0200</v>
      </c>
    </row>
    <row r="1045" spans="1:8" ht="25.5">
      <c r="A1045" s="212" t="s">
        <v>229</v>
      </c>
      <c r="B1045" s="278" t="s">
        <v>249</v>
      </c>
      <c r="C1045" s="278" t="s">
        <v>522</v>
      </c>
      <c r="D1045" s="278" t="s">
        <v>1468</v>
      </c>
      <c r="E1045" s="278" t="s">
        <v>1468</v>
      </c>
      <c r="F1045" s="218">
        <v>4504200</v>
      </c>
      <c r="G1045" s="218">
        <v>0</v>
      </c>
      <c r="H1045" s="147" t="str">
        <f t="shared" si="17"/>
        <v>0203</v>
      </c>
    </row>
    <row r="1046" spans="1:8" ht="25.5">
      <c r="A1046" s="212" t="s">
        <v>584</v>
      </c>
      <c r="B1046" s="278" t="s">
        <v>249</v>
      </c>
      <c r="C1046" s="278" t="s">
        <v>522</v>
      </c>
      <c r="D1046" s="278" t="s">
        <v>1139</v>
      </c>
      <c r="E1046" s="278" t="s">
        <v>1468</v>
      </c>
      <c r="F1046" s="218">
        <v>4504200</v>
      </c>
      <c r="G1046" s="218">
        <v>0</v>
      </c>
      <c r="H1046" s="147" t="str">
        <f t="shared" si="17"/>
        <v>02031100000000</v>
      </c>
    </row>
    <row r="1047" spans="1:8" ht="63.75">
      <c r="A1047" s="212" t="s">
        <v>707</v>
      </c>
      <c r="B1047" s="278" t="s">
        <v>249</v>
      </c>
      <c r="C1047" s="278" t="s">
        <v>522</v>
      </c>
      <c r="D1047" s="278" t="s">
        <v>1140</v>
      </c>
      <c r="E1047" s="278" t="s">
        <v>1468</v>
      </c>
      <c r="F1047" s="218">
        <v>4504200</v>
      </c>
      <c r="G1047" s="218">
        <v>0</v>
      </c>
      <c r="H1047" s="147" t="str">
        <f t="shared" si="17"/>
        <v>02031110000000</v>
      </c>
    </row>
    <row r="1048" spans="1:8" ht="153">
      <c r="A1048" s="212" t="s">
        <v>632</v>
      </c>
      <c r="B1048" s="278" t="s">
        <v>249</v>
      </c>
      <c r="C1048" s="278" t="s">
        <v>522</v>
      </c>
      <c r="D1048" s="278" t="s">
        <v>924</v>
      </c>
      <c r="E1048" s="278" t="s">
        <v>1468</v>
      </c>
      <c r="F1048" s="218">
        <v>4504200</v>
      </c>
      <c r="G1048" s="218">
        <v>0</v>
      </c>
      <c r="H1048" s="147" t="str">
        <f t="shared" si="17"/>
        <v>02031110051180</v>
      </c>
    </row>
    <row r="1049" spans="1:8">
      <c r="A1049" s="212" t="s">
        <v>1765</v>
      </c>
      <c r="B1049" s="278" t="s">
        <v>249</v>
      </c>
      <c r="C1049" s="278" t="s">
        <v>522</v>
      </c>
      <c r="D1049" s="278" t="s">
        <v>924</v>
      </c>
      <c r="E1049" s="278" t="s">
        <v>1766</v>
      </c>
      <c r="F1049" s="218">
        <v>4504200</v>
      </c>
      <c r="G1049" s="218">
        <v>0</v>
      </c>
      <c r="H1049" s="147" t="str">
        <f t="shared" si="17"/>
        <v>02031110051180500</v>
      </c>
    </row>
    <row r="1050" spans="1:8">
      <c r="A1050" s="212" t="s">
        <v>523</v>
      </c>
      <c r="B1050" s="278" t="s">
        <v>249</v>
      </c>
      <c r="C1050" s="278" t="s">
        <v>522</v>
      </c>
      <c r="D1050" s="278" t="s">
        <v>924</v>
      </c>
      <c r="E1050" s="278" t="s">
        <v>524</v>
      </c>
      <c r="F1050" s="218">
        <v>4504200</v>
      </c>
      <c r="G1050" s="218">
        <v>0</v>
      </c>
      <c r="H1050" s="147" t="str">
        <f t="shared" si="17"/>
        <v>02031110051180530</v>
      </c>
    </row>
    <row r="1051" spans="1:8">
      <c r="A1051" s="212" t="s">
        <v>173</v>
      </c>
      <c r="B1051" s="278" t="s">
        <v>249</v>
      </c>
      <c r="C1051" s="278" t="s">
        <v>1364</v>
      </c>
      <c r="D1051" s="278" t="s">
        <v>1468</v>
      </c>
      <c r="E1051" s="278" t="s">
        <v>1468</v>
      </c>
      <c r="F1051" s="218">
        <v>2150000</v>
      </c>
      <c r="G1051" s="218">
        <v>2150000</v>
      </c>
      <c r="H1051" s="147" t="str">
        <f t="shared" si="17"/>
        <v>0700</v>
      </c>
    </row>
    <row r="1052" spans="1:8">
      <c r="A1052" s="212" t="s">
        <v>1238</v>
      </c>
      <c r="B1052" s="278" t="s">
        <v>249</v>
      </c>
      <c r="C1052" s="278" t="s">
        <v>453</v>
      </c>
      <c r="D1052" s="278" t="s">
        <v>1468</v>
      </c>
      <c r="E1052" s="278" t="s">
        <v>1468</v>
      </c>
      <c r="F1052" s="218">
        <v>2150000</v>
      </c>
      <c r="G1052" s="218">
        <v>2150000</v>
      </c>
      <c r="H1052" s="147" t="str">
        <f t="shared" si="17"/>
        <v>0707</v>
      </c>
    </row>
    <row r="1053" spans="1:8" ht="25.5">
      <c r="A1053" s="212" t="s">
        <v>559</v>
      </c>
      <c r="B1053" s="278" t="s">
        <v>249</v>
      </c>
      <c r="C1053" s="278" t="s">
        <v>453</v>
      </c>
      <c r="D1053" s="278" t="s">
        <v>1124</v>
      </c>
      <c r="E1053" s="278" t="s">
        <v>1468</v>
      </c>
      <c r="F1053" s="218">
        <v>2150000</v>
      </c>
      <c r="G1053" s="218">
        <v>2150000</v>
      </c>
      <c r="H1053" s="147" t="str">
        <f t="shared" si="17"/>
        <v>07070600000000</v>
      </c>
    </row>
    <row r="1054" spans="1:8" ht="38.25">
      <c r="A1054" s="212" t="s">
        <v>560</v>
      </c>
      <c r="B1054" s="278" t="s">
        <v>249</v>
      </c>
      <c r="C1054" s="278" t="s">
        <v>453</v>
      </c>
      <c r="D1054" s="278" t="s">
        <v>1125</v>
      </c>
      <c r="E1054" s="278" t="s">
        <v>1468</v>
      </c>
      <c r="F1054" s="218">
        <v>2150000</v>
      </c>
      <c r="G1054" s="218">
        <v>2150000</v>
      </c>
      <c r="H1054" s="147" t="str">
        <f t="shared" si="17"/>
        <v>07070610000000</v>
      </c>
    </row>
    <row r="1055" spans="1:8" ht="89.25">
      <c r="A1055" s="212" t="s">
        <v>525</v>
      </c>
      <c r="B1055" s="278" t="s">
        <v>249</v>
      </c>
      <c r="C1055" s="278" t="s">
        <v>453</v>
      </c>
      <c r="D1055" s="278" t="s">
        <v>927</v>
      </c>
      <c r="E1055" s="278" t="s">
        <v>1468</v>
      </c>
      <c r="F1055" s="218">
        <v>2150000</v>
      </c>
      <c r="G1055" s="218">
        <v>2150000</v>
      </c>
      <c r="H1055" s="147" t="str">
        <f t="shared" si="17"/>
        <v>070706100Ч0050</v>
      </c>
    </row>
    <row r="1056" spans="1:8">
      <c r="A1056" s="212" t="s">
        <v>1765</v>
      </c>
      <c r="B1056" s="278" t="s">
        <v>249</v>
      </c>
      <c r="C1056" s="278" t="s">
        <v>453</v>
      </c>
      <c r="D1056" s="278" t="s">
        <v>927</v>
      </c>
      <c r="E1056" s="278" t="s">
        <v>1766</v>
      </c>
      <c r="F1056" s="218">
        <v>2150000</v>
      </c>
      <c r="G1056" s="218">
        <v>2150000</v>
      </c>
      <c r="H1056" s="147" t="str">
        <f t="shared" si="17"/>
        <v>070706100Ч0050500</v>
      </c>
    </row>
    <row r="1057" spans="1:8">
      <c r="A1057" s="212" t="s">
        <v>94</v>
      </c>
      <c r="B1057" s="278" t="s">
        <v>249</v>
      </c>
      <c r="C1057" s="278" t="s">
        <v>453</v>
      </c>
      <c r="D1057" s="278" t="s">
        <v>927</v>
      </c>
      <c r="E1057" s="278" t="s">
        <v>519</v>
      </c>
      <c r="F1057" s="218">
        <v>2150000</v>
      </c>
      <c r="G1057" s="218">
        <v>2150000</v>
      </c>
      <c r="H1057" s="147" t="str">
        <f t="shared" si="17"/>
        <v>070706100Ч0050540</v>
      </c>
    </row>
    <row r="1058" spans="1:8">
      <c r="A1058" s="212" t="s">
        <v>291</v>
      </c>
      <c r="B1058" s="278" t="s">
        <v>249</v>
      </c>
      <c r="C1058" s="278" t="s">
        <v>1378</v>
      </c>
      <c r="D1058" s="278" t="s">
        <v>1468</v>
      </c>
      <c r="E1058" s="278" t="s">
        <v>1468</v>
      </c>
      <c r="F1058" s="218">
        <v>60600</v>
      </c>
      <c r="G1058" s="218">
        <v>60600</v>
      </c>
      <c r="H1058" s="147" t="str">
        <f t="shared" si="17"/>
        <v>0900</v>
      </c>
    </row>
    <row r="1059" spans="1:8" ht="25.5">
      <c r="A1059" s="212" t="s">
        <v>1379</v>
      </c>
      <c r="B1059" s="278" t="s">
        <v>249</v>
      </c>
      <c r="C1059" s="278" t="s">
        <v>461</v>
      </c>
      <c r="D1059" s="278" t="s">
        <v>1468</v>
      </c>
      <c r="E1059" s="278" t="s">
        <v>1468</v>
      </c>
      <c r="F1059" s="218">
        <v>60600</v>
      </c>
      <c r="G1059" s="218">
        <v>60600</v>
      </c>
      <c r="H1059" s="147" t="str">
        <f t="shared" si="17"/>
        <v>0909</v>
      </c>
    </row>
    <row r="1060" spans="1:8" ht="25.5">
      <c r="A1060" s="212" t="s">
        <v>710</v>
      </c>
      <c r="B1060" s="278" t="s">
        <v>249</v>
      </c>
      <c r="C1060" s="278" t="s">
        <v>461</v>
      </c>
      <c r="D1060" s="278" t="s">
        <v>1151</v>
      </c>
      <c r="E1060" s="278" t="s">
        <v>1468</v>
      </c>
      <c r="F1060" s="218">
        <v>60600</v>
      </c>
      <c r="G1060" s="218">
        <v>60600</v>
      </c>
      <c r="H1060" s="147" t="str">
        <f t="shared" si="17"/>
        <v>09099000000000</v>
      </c>
    </row>
    <row r="1061" spans="1:8" ht="38.25">
      <c r="A1061" s="212" t="s">
        <v>520</v>
      </c>
      <c r="B1061" s="278" t="s">
        <v>249</v>
      </c>
      <c r="C1061" s="278" t="s">
        <v>461</v>
      </c>
      <c r="D1061" s="278" t="s">
        <v>1155</v>
      </c>
      <c r="E1061" s="278" t="s">
        <v>1468</v>
      </c>
      <c r="F1061" s="218">
        <v>60600</v>
      </c>
      <c r="G1061" s="218">
        <v>60600</v>
      </c>
      <c r="H1061" s="147" t="str">
        <f t="shared" si="17"/>
        <v>09099090000000</v>
      </c>
    </row>
    <row r="1062" spans="1:8" ht="63.75">
      <c r="A1062" s="212" t="s">
        <v>462</v>
      </c>
      <c r="B1062" s="278" t="s">
        <v>249</v>
      </c>
      <c r="C1062" s="278" t="s">
        <v>461</v>
      </c>
      <c r="D1062" s="278" t="s">
        <v>928</v>
      </c>
      <c r="E1062" s="278" t="s">
        <v>1468</v>
      </c>
      <c r="F1062" s="218">
        <v>60600</v>
      </c>
      <c r="G1062" s="218">
        <v>60600</v>
      </c>
      <c r="H1062" s="147" t="str">
        <f t="shared" ref="H1062:H1089" si="18">CONCATENATE(C1062,,D1062,E1062)</f>
        <v>09099090075550</v>
      </c>
    </row>
    <row r="1063" spans="1:8">
      <c r="A1063" s="212" t="s">
        <v>1765</v>
      </c>
      <c r="B1063" s="278" t="s">
        <v>249</v>
      </c>
      <c r="C1063" s="278" t="s">
        <v>461</v>
      </c>
      <c r="D1063" s="278" t="s">
        <v>928</v>
      </c>
      <c r="E1063" s="278" t="s">
        <v>1766</v>
      </c>
      <c r="F1063" s="218">
        <v>60600</v>
      </c>
      <c r="G1063" s="218">
        <v>60600</v>
      </c>
      <c r="H1063" s="147" t="str">
        <f t="shared" si="18"/>
        <v>09099090075550500</v>
      </c>
    </row>
    <row r="1064" spans="1:8">
      <c r="A1064" s="212" t="s">
        <v>94</v>
      </c>
      <c r="B1064" s="278" t="s">
        <v>249</v>
      </c>
      <c r="C1064" s="278" t="s">
        <v>461</v>
      </c>
      <c r="D1064" s="278" t="s">
        <v>928</v>
      </c>
      <c r="E1064" s="278" t="s">
        <v>519</v>
      </c>
      <c r="F1064" s="218">
        <v>60600</v>
      </c>
      <c r="G1064" s="218">
        <v>60600</v>
      </c>
      <c r="H1064" s="147" t="str">
        <f t="shared" si="18"/>
        <v>09099090075550540</v>
      </c>
    </row>
    <row r="1065" spans="1:8" ht="25.5">
      <c r="A1065" s="212" t="s">
        <v>294</v>
      </c>
      <c r="B1065" s="278" t="s">
        <v>249</v>
      </c>
      <c r="C1065" s="278" t="s">
        <v>1380</v>
      </c>
      <c r="D1065" s="278" t="s">
        <v>1468</v>
      </c>
      <c r="E1065" s="278" t="s">
        <v>1468</v>
      </c>
      <c r="F1065" s="218">
        <v>40740</v>
      </c>
      <c r="G1065" s="218">
        <v>2740</v>
      </c>
      <c r="H1065" s="147" t="str">
        <f t="shared" si="18"/>
        <v>1300</v>
      </c>
    </row>
    <row r="1066" spans="1:8" ht="25.5">
      <c r="A1066" s="212" t="s">
        <v>295</v>
      </c>
      <c r="B1066" s="278" t="s">
        <v>249</v>
      </c>
      <c r="C1066" s="278" t="s">
        <v>526</v>
      </c>
      <c r="D1066" s="278" t="s">
        <v>1468</v>
      </c>
      <c r="E1066" s="278" t="s">
        <v>1468</v>
      </c>
      <c r="F1066" s="218">
        <v>40740</v>
      </c>
      <c r="G1066" s="218">
        <v>2740</v>
      </c>
      <c r="H1066" s="147" t="str">
        <f t="shared" si="18"/>
        <v>1301</v>
      </c>
    </row>
    <row r="1067" spans="1:8" ht="25.5">
      <c r="A1067" s="212" t="s">
        <v>710</v>
      </c>
      <c r="B1067" s="278" t="s">
        <v>249</v>
      </c>
      <c r="C1067" s="278" t="s">
        <v>526</v>
      </c>
      <c r="D1067" s="278" t="s">
        <v>1151</v>
      </c>
      <c r="E1067" s="278" t="s">
        <v>1468</v>
      </c>
      <c r="F1067" s="218">
        <v>40740</v>
      </c>
      <c r="G1067" s="218">
        <v>2740</v>
      </c>
      <c r="H1067" s="147" t="str">
        <f t="shared" si="18"/>
        <v>13019000000000</v>
      </c>
    </row>
    <row r="1068" spans="1:8" ht="38.25">
      <c r="A1068" s="212" t="s">
        <v>520</v>
      </c>
      <c r="B1068" s="278" t="s">
        <v>249</v>
      </c>
      <c r="C1068" s="278" t="s">
        <v>526</v>
      </c>
      <c r="D1068" s="278" t="s">
        <v>1155</v>
      </c>
      <c r="E1068" s="278" t="s">
        <v>1468</v>
      </c>
      <c r="F1068" s="218">
        <v>40740</v>
      </c>
      <c r="G1068" s="218">
        <v>2740</v>
      </c>
      <c r="H1068" s="147" t="str">
        <f t="shared" si="18"/>
        <v>13019090000000</v>
      </c>
    </row>
    <row r="1069" spans="1:8" ht="38.25">
      <c r="A1069" s="212" t="s">
        <v>520</v>
      </c>
      <c r="B1069" s="278" t="s">
        <v>249</v>
      </c>
      <c r="C1069" s="278" t="s">
        <v>526</v>
      </c>
      <c r="D1069" s="278" t="s">
        <v>923</v>
      </c>
      <c r="E1069" s="278" t="s">
        <v>1468</v>
      </c>
      <c r="F1069" s="218">
        <v>40740</v>
      </c>
      <c r="G1069" s="218">
        <v>2740</v>
      </c>
      <c r="H1069" s="147" t="str">
        <f t="shared" si="18"/>
        <v>13019090080000</v>
      </c>
    </row>
    <row r="1070" spans="1:8" ht="25.5">
      <c r="A1070" s="212" t="s">
        <v>1767</v>
      </c>
      <c r="B1070" s="278" t="s">
        <v>249</v>
      </c>
      <c r="C1070" s="278" t="s">
        <v>526</v>
      </c>
      <c r="D1070" s="278" t="s">
        <v>923</v>
      </c>
      <c r="E1070" s="278" t="s">
        <v>1768</v>
      </c>
      <c r="F1070" s="218">
        <v>40740</v>
      </c>
      <c r="G1070" s="218">
        <v>2740</v>
      </c>
      <c r="H1070" s="147" t="str">
        <f t="shared" si="18"/>
        <v>13019090080000700</v>
      </c>
    </row>
    <row r="1071" spans="1:8">
      <c r="A1071" s="212" t="s">
        <v>527</v>
      </c>
      <c r="B1071" s="278" t="s">
        <v>249</v>
      </c>
      <c r="C1071" s="278" t="s">
        <v>526</v>
      </c>
      <c r="D1071" s="278" t="s">
        <v>923</v>
      </c>
      <c r="E1071" s="278" t="s">
        <v>528</v>
      </c>
      <c r="F1071" s="218">
        <v>40740</v>
      </c>
      <c r="G1071" s="218">
        <v>2740</v>
      </c>
      <c r="H1071" s="147" t="str">
        <f t="shared" si="18"/>
        <v>13019090080000730</v>
      </c>
    </row>
    <row r="1072" spans="1:8" ht="51">
      <c r="A1072" s="212" t="s">
        <v>1381</v>
      </c>
      <c r="B1072" s="278" t="s">
        <v>249</v>
      </c>
      <c r="C1072" s="278" t="s">
        <v>1382</v>
      </c>
      <c r="D1072" s="278" t="s">
        <v>1468</v>
      </c>
      <c r="E1072" s="278" t="s">
        <v>1468</v>
      </c>
      <c r="F1072" s="218">
        <v>83862800</v>
      </c>
      <c r="G1072" s="218">
        <v>83862800</v>
      </c>
      <c r="H1072" s="147" t="str">
        <f t="shared" si="18"/>
        <v>1400</v>
      </c>
    </row>
    <row r="1073" spans="1:8" ht="38.25">
      <c r="A1073" s="212" t="s">
        <v>255</v>
      </c>
      <c r="B1073" s="278" t="s">
        <v>249</v>
      </c>
      <c r="C1073" s="278" t="s">
        <v>529</v>
      </c>
      <c r="D1073" s="278" t="s">
        <v>1468</v>
      </c>
      <c r="E1073" s="278" t="s">
        <v>1468</v>
      </c>
      <c r="F1073" s="218">
        <v>65169800</v>
      </c>
      <c r="G1073" s="218">
        <v>65169800</v>
      </c>
      <c r="H1073" s="147" t="str">
        <f t="shared" si="18"/>
        <v>1401</v>
      </c>
    </row>
    <row r="1074" spans="1:8" ht="25.5">
      <c r="A1074" s="212" t="s">
        <v>584</v>
      </c>
      <c r="B1074" s="278" t="s">
        <v>249</v>
      </c>
      <c r="C1074" s="278" t="s">
        <v>529</v>
      </c>
      <c r="D1074" s="278" t="s">
        <v>1139</v>
      </c>
      <c r="E1074" s="278" t="s">
        <v>1468</v>
      </c>
      <c r="F1074" s="218">
        <v>65169800</v>
      </c>
      <c r="G1074" s="218">
        <v>65169800</v>
      </c>
      <c r="H1074" s="147" t="str">
        <f t="shared" si="18"/>
        <v>14011100000000</v>
      </c>
    </row>
    <row r="1075" spans="1:8" ht="63.75">
      <c r="A1075" s="212" t="s">
        <v>707</v>
      </c>
      <c r="B1075" s="278" t="s">
        <v>249</v>
      </c>
      <c r="C1075" s="278" t="s">
        <v>529</v>
      </c>
      <c r="D1075" s="278" t="s">
        <v>1140</v>
      </c>
      <c r="E1075" s="278" t="s">
        <v>1468</v>
      </c>
      <c r="F1075" s="218">
        <v>65169800</v>
      </c>
      <c r="G1075" s="218">
        <v>65169800</v>
      </c>
      <c r="H1075" s="147" t="str">
        <f t="shared" si="18"/>
        <v>14011110000000</v>
      </c>
    </row>
    <row r="1076" spans="1:8" ht="178.5">
      <c r="A1076" s="212" t="s">
        <v>1214</v>
      </c>
      <c r="B1076" s="278" t="s">
        <v>249</v>
      </c>
      <c r="C1076" s="278" t="s">
        <v>529</v>
      </c>
      <c r="D1076" s="278" t="s">
        <v>929</v>
      </c>
      <c r="E1076" s="278" t="s">
        <v>1468</v>
      </c>
      <c r="F1076" s="218">
        <v>33120800</v>
      </c>
      <c r="G1076" s="218">
        <v>33120800</v>
      </c>
      <c r="H1076" s="147" t="str">
        <f t="shared" si="18"/>
        <v>14011110076010</v>
      </c>
    </row>
    <row r="1077" spans="1:8">
      <c r="A1077" s="212" t="s">
        <v>1765</v>
      </c>
      <c r="B1077" s="278" t="s">
        <v>249</v>
      </c>
      <c r="C1077" s="278" t="s">
        <v>529</v>
      </c>
      <c r="D1077" s="278" t="s">
        <v>929</v>
      </c>
      <c r="E1077" s="278" t="s">
        <v>1766</v>
      </c>
      <c r="F1077" s="218">
        <v>33120800</v>
      </c>
      <c r="G1077" s="218">
        <v>33120800</v>
      </c>
      <c r="H1077" s="147" t="str">
        <f t="shared" si="18"/>
        <v>14011110076010500</v>
      </c>
    </row>
    <row r="1078" spans="1:8">
      <c r="A1078" s="212" t="s">
        <v>1514</v>
      </c>
      <c r="B1078" s="278" t="s">
        <v>249</v>
      </c>
      <c r="C1078" s="278" t="s">
        <v>529</v>
      </c>
      <c r="D1078" s="278" t="s">
        <v>929</v>
      </c>
      <c r="E1078" s="278" t="s">
        <v>1515</v>
      </c>
      <c r="F1078" s="218">
        <v>33120800</v>
      </c>
      <c r="G1078" s="218">
        <v>33120800</v>
      </c>
      <c r="H1078" s="147" t="str">
        <f t="shared" si="18"/>
        <v>14011110076010510</v>
      </c>
    </row>
    <row r="1079" spans="1:8" ht="25.5">
      <c r="A1079" s="212" t="s">
        <v>645</v>
      </c>
      <c r="B1079" s="278" t="s">
        <v>249</v>
      </c>
      <c r="C1079" s="278" t="s">
        <v>529</v>
      </c>
      <c r="D1079" s="278" t="s">
        <v>929</v>
      </c>
      <c r="E1079" s="278" t="s">
        <v>530</v>
      </c>
      <c r="F1079" s="218">
        <v>33120800</v>
      </c>
      <c r="G1079" s="218">
        <v>33120800</v>
      </c>
      <c r="H1079" s="147" t="str">
        <f t="shared" si="18"/>
        <v>14011110076010511</v>
      </c>
    </row>
    <row r="1080" spans="1:8" ht="127.5">
      <c r="A1080" s="212" t="s">
        <v>634</v>
      </c>
      <c r="B1080" s="278" t="s">
        <v>249</v>
      </c>
      <c r="C1080" s="278" t="s">
        <v>529</v>
      </c>
      <c r="D1080" s="278" t="s">
        <v>930</v>
      </c>
      <c r="E1080" s="278" t="s">
        <v>1468</v>
      </c>
      <c r="F1080" s="218">
        <v>32049000</v>
      </c>
      <c r="G1080" s="218">
        <v>32049000</v>
      </c>
      <c r="H1080" s="147" t="str">
        <f t="shared" si="18"/>
        <v>14011110080130</v>
      </c>
    </row>
    <row r="1081" spans="1:8">
      <c r="A1081" s="212" t="s">
        <v>1765</v>
      </c>
      <c r="B1081" s="278" t="s">
        <v>249</v>
      </c>
      <c r="C1081" s="278" t="s">
        <v>529</v>
      </c>
      <c r="D1081" s="278" t="s">
        <v>930</v>
      </c>
      <c r="E1081" s="278" t="s">
        <v>1766</v>
      </c>
      <c r="F1081" s="218">
        <v>32049000</v>
      </c>
      <c r="G1081" s="218">
        <v>32049000</v>
      </c>
      <c r="H1081" s="147" t="str">
        <f t="shared" si="18"/>
        <v>14011110080130500</v>
      </c>
    </row>
    <row r="1082" spans="1:8">
      <c r="A1082" s="212" t="s">
        <v>1514</v>
      </c>
      <c r="B1082" s="278" t="s">
        <v>249</v>
      </c>
      <c r="C1082" s="278" t="s">
        <v>529</v>
      </c>
      <c r="D1082" s="278" t="s">
        <v>930</v>
      </c>
      <c r="E1082" s="278" t="s">
        <v>1515</v>
      </c>
      <c r="F1082" s="218">
        <v>32049000</v>
      </c>
      <c r="G1082" s="218">
        <v>32049000</v>
      </c>
      <c r="H1082" s="147" t="str">
        <f t="shared" si="18"/>
        <v>14011110080130510</v>
      </c>
    </row>
    <row r="1083" spans="1:8" ht="25.5">
      <c r="A1083" s="212" t="s">
        <v>645</v>
      </c>
      <c r="B1083" s="278" t="s">
        <v>249</v>
      </c>
      <c r="C1083" s="278" t="s">
        <v>529</v>
      </c>
      <c r="D1083" s="278" t="s">
        <v>930</v>
      </c>
      <c r="E1083" s="278" t="s">
        <v>530</v>
      </c>
      <c r="F1083" s="218">
        <v>32049000</v>
      </c>
      <c r="G1083" s="218">
        <v>32049000</v>
      </c>
      <c r="H1083" s="147" t="str">
        <f t="shared" si="18"/>
        <v>14011110080130511</v>
      </c>
    </row>
    <row r="1084" spans="1:8" ht="25.5">
      <c r="A1084" s="212" t="s">
        <v>296</v>
      </c>
      <c r="B1084" s="278" t="s">
        <v>249</v>
      </c>
      <c r="C1084" s="278" t="s">
        <v>531</v>
      </c>
      <c r="D1084" s="278" t="s">
        <v>1468</v>
      </c>
      <c r="E1084" s="278" t="s">
        <v>1468</v>
      </c>
      <c r="F1084" s="218">
        <v>18693000</v>
      </c>
      <c r="G1084" s="218">
        <v>18693000</v>
      </c>
      <c r="H1084" s="147" t="str">
        <f t="shared" si="18"/>
        <v>1403</v>
      </c>
    </row>
    <row r="1085" spans="1:8">
      <c r="A1085" s="278" t="s">
        <v>584</v>
      </c>
      <c r="B1085" s="278" t="s">
        <v>249</v>
      </c>
      <c r="C1085" s="278" t="s">
        <v>531</v>
      </c>
      <c r="D1085" s="278" t="s">
        <v>1139</v>
      </c>
      <c r="E1085" s="278" t="s">
        <v>1468</v>
      </c>
      <c r="F1085" s="218">
        <v>18693000</v>
      </c>
      <c r="G1085" s="218">
        <v>18693000</v>
      </c>
      <c r="H1085" s="147" t="str">
        <f t="shared" si="18"/>
        <v>14031100000000</v>
      </c>
    </row>
    <row r="1086" spans="1:8" ht="63.75">
      <c r="A1086" s="212" t="s">
        <v>707</v>
      </c>
      <c r="B1086" s="278" t="s">
        <v>249</v>
      </c>
      <c r="C1086" s="278" t="s">
        <v>531</v>
      </c>
      <c r="D1086" s="278" t="s">
        <v>1140</v>
      </c>
      <c r="E1086" s="278" t="s">
        <v>1468</v>
      </c>
      <c r="F1086" s="218">
        <v>18693000</v>
      </c>
      <c r="G1086" s="218">
        <v>18693000</v>
      </c>
      <c r="H1086" s="147" t="str">
        <f t="shared" si="18"/>
        <v>14031110000000</v>
      </c>
    </row>
    <row r="1087" spans="1:8" ht="127.5">
      <c r="A1087" s="212" t="s">
        <v>635</v>
      </c>
      <c r="B1087" s="278" t="s">
        <v>249</v>
      </c>
      <c r="C1087" s="278" t="s">
        <v>531</v>
      </c>
      <c r="D1087" s="278" t="s">
        <v>931</v>
      </c>
      <c r="E1087" s="278" t="s">
        <v>1468</v>
      </c>
      <c r="F1087" s="218">
        <v>18693000</v>
      </c>
      <c r="G1087" s="218">
        <v>18693000</v>
      </c>
      <c r="H1087" s="147" t="str">
        <f t="shared" si="18"/>
        <v>14031110080120</v>
      </c>
    </row>
    <row r="1088" spans="1:8">
      <c r="A1088" s="212" t="s">
        <v>1765</v>
      </c>
      <c r="B1088" s="278" t="s">
        <v>249</v>
      </c>
      <c r="C1088" s="278" t="s">
        <v>531</v>
      </c>
      <c r="D1088" s="278" t="s">
        <v>931</v>
      </c>
      <c r="E1088" s="278" t="s">
        <v>1766</v>
      </c>
      <c r="F1088" s="218">
        <v>18693000</v>
      </c>
      <c r="G1088" s="218">
        <v>18693000</v>
      </c>
      <c r="H1088" s="147" t="str">
        <f t="shared" si="18"/>
        <v>14031110080120500</v>
      </c>
    </row>
    <row r="1089" spans="1:8">
      <c r="A1089" s="212" t="s">
        <v>94</v>
      </c>
      <c r="B1089" s="278" t="s">
        <v>249</v>
      </c>
      <c r="C1089" s="278" t="s">
        <v>531</v>
      </c>
      <c r="D1089" s="278" t="s">
        <v>931</v>
      </c>
      <c r="E1089" s="278" t="s">
        <v>519</v>
      </c>
      <c r="F1089" s="218">
        <v>18693000</v>
      </c>
      <c r="G1089" s="218">
        <v>18693000</v>
      </c>
      <c r="H1089" s="147" t="str">
        <f t="shared" si="18"/>
        <v>14031110080120540</v>
      </c>
    </row>
    <row r="1090" spans="1:8">
      <c r="A1090" s="6" t="s">
        <v>1753</v>
      </c>
      <c r="B1090" s="278"/>
      <c r="C1090" s="278"/>
      <c r="D1090" s="278"/>
      <c r="E1090" s="278"/>
      <c r="F1090" s="350">
        <v>22470000</v>
      </c>
      <c r="G1090" s="346">
        <v>45430000</v>
      </c>
    </row>
  </sheetData>
  <autoFilter ref="A6:I1085">
    <filterColumn colId="0"/>
    <filterColumn colId="1"/>
  </autoFilter>
  <mergeCells count="7">
    <mergeCell ref="A1:G1"/>
    <mergeCell ref="A2:G2"/>
    <mergeCell ref="A3:G3"/>
    <mergeCell ref="G5:G6"/>
    <mergeCell ref="A5:A6"/>
    <mergeCell ref="B5:E5"/>
    <mergeCell ref="F5:F6"/>
  </mergeCells>
  <pageMargins left="0.70866141732283472" right="0.31496062992125984" top="0.74803149606299213" bottom="0.74803149606299213" header="0.31496062992125984" footer="0.31496062992125984"/>
  <pageSetup paperSize="9" scale="80" orientation="portrait" r:id="rId1"/>
</worksheet>
</file>

<file path=xl/worksheets/sheet8.xml><?xml version="1.0" encoding="utf-8"?>
<worksheet xmlns="http://schemas.openxmlformats.org/spreadsheetml/2006/main" xmlns:r="http://schemas.openxmlformats.org/officeDocument/2006/relationships">
  <sheetPr codeName="Лист6">
    <tabColor rgb="FF00B0F0"/>
  </sheetPr>
  <dimension ref="A1:F56"/>
  <sheetViews>
    <sheetView topLeftCell="A2" zoomScaleNormal="100" workbookViewId="0">
      <selection activeCell="G59" sqref="G59"/>
    </sheetView>
  </sheetViews>
  <sheetFormatPr defaultRowHeight="12.75"/>
  <cols>
    <col min="1" max="1" width="48.7109375" style="4" customWidth="1"/>
    <col min="2" max="2" width="8.140625" style="4" customWidth="1"/>
    <col min="3" max="3" width="7.7109375" style="4" customWidth="1"/>
    <col min="4" max="4" width="16" style="4" customWidth="1"/>
    <col min="5" max="5" width="15.85546875" style="4" customWidth="1"/>
    <col min="6" max="6" width="13.140625" style="4" customWidth="1"/>
    <col min="7" max="16384" width="9.140625" style="4"/>
  </cols>
  <sheetData>
    <row r="1" spans="1:6" ht="45.75" hidden="1" customHeight="1">
      <c r="A1" s="442" t="str">
        <f>"Приложение №"&amp;Н2фун&amp;"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2"/>
      <c r="C1" s="442"/>
      <c r="D1" s="442"/>
    </row>
    <row r="2" spans="1:6" ht="42.75" customHeight="1">
      <c r="A2" s="442" t="str">
        <f>"Приложение "&amp;Н1фун&amp;" к решению
Богучанского районного Совета депутатов
от "&amp;Р1дата&amp;" года №"&amp;Р1номер</f>
        <v>Приложение 4 к решению
Богучанского районного Совета депутатов
от 2020  года №</v>
      </c>
      <c r="B2" s="442"/>
      <c r="C2" s="442"/>
      <c r="D2" s="442"/>
      <c r="E2" s="442"/>
      <c r="F2" s="442"/>
    </row>
    <row r="3" spans="1:6" ht="60.75" customHeight="1">
      <c r="A3" s="441" t="str">
        <f>"Распределение бюджетных ассигнований по разделам и подразделам бюджетной классификации расходов бюджетов Российской Федерации  за "&amp;год&amp;" год"</f>
        <v>Распределение бюджетных ассигнований по разделам и подразделам бюджетной классификации расходов бюджетов Российской Федерации  за 2019 год</v>
      </c>
      <c r="B3" s="441"/>
      <c r="C3" s="441"/>
      <c r="D3" s="441"/>
      <c r="E3" s="441"/>
      <c r="F3" s="441"/>
    </row>
    <row r="4" spans="1:6">
      <c r="F4" s="10" t="s">
        <v>95</v>
      </c>
    </row>
    <row r="5" spans="1:6" ht="12.75" customHeight="1">
      <c r="A5" s="481" t="s">
        <v>1774</v>
      </c>
      <c r="B5" s="484" t="s">
        <v>212</v>
      </c>
      <c r="C5" s="485"/>
      <c r="D5" s="481" t="s">
        <v>2086</v>
      </c>
      <c r="E5" s="482" t="s">
        <v>2087</v>
      </c>
      <c r="F5" s="483" t="s">
        <v>2085</v>
      </c>
    </row>
    <row r="6" spans="1:6" ht="25.5" customHeight="1">
      <c r="A6" s="481"/>
      <c r="B6" s="241" t="s">
        <v>1156</v>
      </c>
      <c r="C6" s="241" t="s">
        <v>277</v>
      </c>
      <c r="D6" s="481"/>
      <c r="E6" s="482"/>
      <c r="F6" s="483"/>
    </row>
    <row r="7" spans="1:6" s="13" customFormat="1">
      <c r="A7" s="396" t="s">
        <v>765</v>
      </c>
      <c r="B7" s="397" t="s">
        <v>1468</v>
      </c>
      <c r="C7" s="330" t="s">
        <v>1468</v>
      </c>
      <c r="D7" s="218">
        <f>D8+D15+D17+D20+D25+D30+D32+D38+D41+D43+D49+D52+D54</f>
        <v>2317056677.21</v>
      </c>
      <c r="E7" s="218">
        <f>E8+E15+E17+E20+E25+E30+E32+E38+E41+E43+E49+E52+E54</f>
        <v>2232600466.23</v>
      </c>
      <c r="F7" s="218">
        <f>E7/D7*100</f>
        <v>96.355021790761938</v>
      </c>
    </row>
    <row r="8" spans="1:6">
      <c r="A8" s="396" t="s">
        <v>278</v>
      </c>
      <c r="B8" s="397" t="s">
        <v>163</v>
      </c>
      <c r="C8" s="330" t="s">
        <v>159</v>
      </c>
      <c r="D8" s="398">
        <v>88829666.620000005</v>
      </c>
      <c r="E8" s="400">
        <f>SUM(E9:E14)</f>
        <v>80851580.819999993</v>
      </c>
      <c r="F8" s="218">
        <f t="shared" ref="F8:F56" si="0">E8/D8*100</f>
        <v>91.018669658945058</v>
      </c>
    </row>
    <row r="9" spans="1:6" ht="51">
      <c r="A9" s="232" t="s">
        <v>93</v>
      </c>
      <c r="B9" s="331" t="s">
        <v>163</v>
      </c>
      <c r="C9" s="332" t="s">
        <v>279</v>
      </c>
      <c r="D9" s="333">
        <v>4504264</v>
      </c>
      <c r="E9" s="400">
        <v>3965842.59</v>
      </c>
      <c r="F9" s="218">
        <f t="shared" si="0"/>
        <v>88.046406471734343</v>
      </c>
    </row>
    <row r="10" spans="1:6" ht="51">
      <c r="A10" s="232" t="s">
        <v>280</v>
      </c>
      <c r="B10" s="331" t="s">
        <v>163</v>
      </c>
      <c r="C10" s="332" t="s">
        <v>281</v>
      </c>
      <c r="D10" s="333">
        <v>57478864.18</v>
      </c>
      <c r="E10" s="400">
        <v>52818491.119999997</v>
      </c>
      <c r="F10" s="218">
        <f t="shared" si="0"/>
        <v>91.892023047975258</v>
      </c>
    </row>
    <row r="11" spans="1:6">
      <c r="A11" s="232" t="s">
        <v>1489</v>
      </c>
      <c r="B11" s="331" t="s">
        <v>163</v>
      </c>
      <c r="C11" s="332" t="s">
        <v>271</v>
      </c>
      <c r="D11" s="333">
        <v>19600</v>
      </c>
      <c r="E11" s="437">
        <v>0</v>
      </c>
      <c r="F11" s="218">
        <f t="shared" si="0"/>
        <v>0</v>
      </c>
    </row>
    <row r="12" spans="1:6" ht="38.25">
      <c r="A12" s="232" t="s">
        <v>260</v>
      </c>
      <c r="B12" s="331" t="s">
        <v>163</v>
      </c>
      <c r="C12" s="332" t="s">
        <v>272</v>
      </c>
      <c r="D12" s="333">
        <v>16824789.280000001</v>
      </c>
      <c r="E12" s="400">
        <v>15856274.470000001</v>
      </c>
      <c r="F12" s="218">
        <f t="shared" si="0"/>
        <v>94.24352487343603</v>
      </c>
    </row>
    <row r="13" spans="1:6">
      <c r="A13" s="232" t="s">
        <v>70</v>
      </c>
      <c r="B13" s="331" t="s">
        <v>163</v>
      </c>
      <c r="C13" s="332" t="s">
        <v>36</v>
      </c>
      <c r="D13" s="333">
        <v>1442379.99</v>
      </c>
      <c r="E13" s="437">
        <v>0</v>
      </c>
      <c r="F13" s="218">
        <f t="shared" si="0"/>
        <v>0</v>
      </c>
    </row>
    <row r="14" spans="1:6">
      <c r="A14" s="232" t="s">
        <v>261</v>
      </c>
      <c r="B14" s="331" t="s">
        <v>163</v>
      </c>
      <c r="C14" s="332" t="s">
        <v>97</v>
      </c>
      <c r="D14" s="333">
        <v>8559769.1699999999</v>
      </c>
      <c r="E14" s="400">
        <v>8210972.6399999997</v>
      </c>
      <c r="F14" s="218">
        <f t="shared" si="0"/>
        <v>95.925164299728422</v>
      </c>
    </row>
    <row r="15" spans="1:6">
      <c r="A15" s="232" t="s">
        <v>228</v>
      </c>
      <c r="B15" s="331" t="s">
        <v>267</v>
      </c>
      <c r="C15" s="332" t="s">
        <v>159</v>
      </c>
      <c r="D15" s="333">
        <v>4523000</v>
      </c>
      <c r="E15" s="333">
        <v>4523000</v>
      </c>
      <c r="F15" s="218">
        <f t="shared" si="0"/>
        <v>100</v>
      </c>
    </row>
    <row r="16" spans="1:6">
      <c r="A16" s="396" t="s">
        <v>229</v>
      </c>
      <c r="B16" s="397" t="s">
        <v>267</v>
      </c>
      <c r="C16" s="330" t="s">
        <v>279</v>
      </c>
      <c r="D16" s="398">
        <v>4523000</v>
      </c>
      <c r="E16" s="398">
        <v>4523000</v>
      </c>
      <c r="F16" s="218">
        <f t="shared" si="0"/>
        <v>100</v>
      </c>
    </row>
    <row r="17" spans="1:6" ht="25.5">
      <c r="A17" s="232" t="s">
        <v>282</v>
      </c>
      <c r="B17" s="331" t="s">
        <v>279</v>
      </c>
      <c r="C17" s="332" t="s">
        <v>159</v>
      </c>
      <c r="D17" s="333">
        <v>26947275.789999999</v>
      </c>
      <c r="E17" s="400">
        <v>25268653.370000001</v>
      </c>
      <c r="F17" s="218">
        <f t="shared" si="0"/>
        <v>93.770715700238142</v>
      </c>
    </row>
    <row r="18" spans="1:6" ht="38.25">
      <c r="A18" s="396" t="s">
        <v>305</v>
      </c>
      <c r="B18" s="397" t="s">
        <v>279</v>
      </c>
      <c r="C18" s="330" t="s">
        <v>35</v>
      </c>
      <c r="D18" s="398">
        <v>3337312.91</v>
      </c>
      <c r="E18" s="400">
        <v>2763852.37</v>
      </c>
      <c r="F18" s="218">
        <f t="shared" si="0"/>
        <v>82.816698479735905</v>
      </c>
    </row>
    <row r="19" spans="1:6">
      <c r="A19" s="232" t="s">
        <v>133</v>
      </c>
      <c r="B19" s="331" t="s">
        <v>279</v>
      </c>
      <c r="C19" s="332" t="s">
        <v>233</v>
      </c>
      <c r="D19" s="333">
        <v>23609962.879999999</v>
      </c>
      <c r="E19" s="400">
        <v>22504801</v>
      </c>
      <c r="F19" s="218">
        <f t="shared" si="0"/>
        <v>95.319086753261345</v>
      </c>
    </row>
    <row r="20" spans="1:6">
      <c r="A20" s="232" t="s">
        <v>218</v>
      </c>
      <c r="B20" s="331" t="s">
        <v>281</v>
      </c>
      <c r="C20" s="332" t="s">
        <v>159</v>
      </c>
      <c r="D20" s="333">
        <v>106482879.44</v>
      </c>
      <c r="E20" s="400">
        <v>106162555.02</v>
      </c>
      <c r="F20" s="218">
        <f t="shared" si="0"/>
        <v>99.699177537567905</v>
      </c>
    </row>
    <row r="21" spans="1:6">
      <c r="A21" s="396" t="s">
        <v>219</v>
      </c>
      <c r="B21" s="397" t="s">
        <v>281</v>
      </c>
      <c r="C21" s="330" t="s">
        <v>271</v>
      </c>
      <c r="D21" s="398">
        <v>1407460</v>
      </c>
      <c r="E21" s="171">
        <v>1317318.08</v>
      </c>
      <c r="F21" s="218">
        <f t="shared" si="0"/>
        <v>93.595418697511832</v>
      </c>
    </row>
    <row r="22" spans="1:6">
      <c r="A22" s="232" t="s">
        <v>220</v>
      </c>
      <c r="B22" s="331" t="s">
        <v>281</v>
      </c>
      <c r="C22" s="332" t="s">
        <v>40</v>
      </c>
      <c r="D22" s="333">
        <v>56835003</v>
      </c>
      <c r="E22" s="171">
        <v>56835003</v>
      </c>
      <c r="F22" s="218">
        <f t="shared" si="0"/>
        <v>100</v>
      </c>
    </row>
    <row r="23" spans="1:6">
      <c r="A23" s="232" t="s">
        <v>298</v>
      </c>
      <c r="B23" s="331" t="s">
        <v>281</v>
      </c>
      <c r="C23" s="332" t="s">
        <v>35</v>
      </c>
      <c r="D23" s="333">
        <v>29687580</v>
      </c>
      <c r="E23" s="171">
        <v>29687579.579999998</v>
      </c>
      <c r="F23" s="218">
        <f t="shared" si="0"/>
        <v>99.999998585266965</v>
      </c>
    </row>
    <row r="24" spans="1:6">
      <c r="A24" s="232" t="s">
        <v>179</v>
      </c>
      <c r="B24" s="331" t="s">
        <v>281</v>
      </c>
      <c r="C24" s="332" t="s">
        <v>240</v>
      </c>
      <c r="D24" s="333">
        <v>18552836.440000001</v>
      </c>
      <c r="E24" s="171">
        <v>18322654.359999999</v>
      </c>
      <c r="F24" s="218">
        <f t="shared" si="0"/>
        <v>98.759315963656491</v>
      </c>
    </row>
    <row r="25" spans="1:6">
      <c r="A25" s="232" t="s">
        <v>283</v>
      </c>
      <c r="B25" s="331" t="s">
        <v>271</v>
      </c>
      <c r="C25" s="332" t="s">
        <v>159</v>
      </c>
      <c r="D25" s="333">
        <v>261342664.49000001</v>
      </c>
      <c r="E25" s="400">
        <v>228696429.97</v>
      </c>
      <c r="F25" s="218">
        <f t="shared" si="0"/>
        <v>87.508264452837096</v>
      </c>
    </row>
    <row r="26" spans="1:6">
      <c r="A26" s="396" t="s">
        <v>3</v>
      </c>
      <c r="B26" s="397" t="s">
        <v>271</v>
      </c>
      <c r="C26" s="330" t="s">
        <v>163</v>
      </c>
      <c r="D26" s="398">
        <v>2309293</v>
      </c>
      <c r="E26" s="400">
        <v>2300267.59</v>
      </c>
      <c r="F26" s="218">
        <f t="shared" si="0"/>
        <v>99.609169992720709</v>
      </c>
    </row>
    <row r="27" spans="1:6">
      <c r="A27" s="232" t="s">
        <v>180</v>
      </c>
      <c r="B27" s="331" t="s">
        <v>271</v>
      </c>
      <c r="C27" s="332" t="s">
        <v>267</v>
      </c>
      <c r="D27" s="333">
        <v>247254171.03</v>
      </c>
      <c r="E27" s="400">
        <v>215064933.06999999</v>
      </c>
      <c r="F27" s="218">
        <f t="shared" si="0"/>
        <v>86.981316502808596</v>
      </c>
    </row>
    <row r="28" spans="1:6">
      <c r="A28" s="232" t="s">
        <v>46</v>
      </c>
      <c r="B28" s="331" t="s">
        <v>271</v>
      </c>
      <c r="C28" s="332" t="s">
        <v>279</v>
      </c>
      <c r="D28" s="333">
        <v>6998851.4000000004</v>
      </c>
      <c r="E28" s="400">
        <v>6867008.5999999996</v>
      </c>
      <c r="F28" s="218">
        <f t="shared" si="0"/>
        <v>98.116222327566476</v>
      </c>
    </row>
    <row r="29" spans="1:6" ht="25.5">
      <c r="A29" s="232" t="s">
        <v>185</v>
      </c>
      <c r="B29" s="331" t="s">
        <v>271</v>
      </c>
      <c r="C29" s="332" t="s">
        <v>271</v>
      </c>
      <c r="D29" s="333">
        <v>4780349.0599999996</v>
      </c>
      <c r="E29" s="400">
        <v>4464220.71</v>
      </c>
      <c r="F29" s="218">
        <f t="shared" si="0"/>
        <v>93.386919113392125</v>
      </c>
    </row>
    <row r="30" spans="1:6">
      <c r="A30" s="232" t="s">
        <v>1598</v>
      </c>
      <c r="B30" s="331" t="s">
        <v>272</v>
      </c>
      <c r="C30" s="332" t="s">
        <v>159</v>
      </c>
      <c r="D30" s="333">
        <v>12678182</v>
      </c>
      <c r="E30" s="400">
        <v>6738160</v>
      </c>
      <c r="F30" s="218">
        <f t="shared" si="0"/>
        <v>53.147683161513214</v>
      </c>
    </row>
    <row r="31" spans="1:6" ht="25.5">
      <c r="A31" s="396" t="s">
        <v>1600</v>
      </c>
      <c r="B31" s="397" t="s">
        <v>272</v>
      </c>
      <c r="C31" s="330" t="s">
        <v>271</v>
      </c>
      <c r="D31" s="398">
        <v>12678182</v>
      </c>
      <c r="E31" s="171">
        <v>6738160</v>
      </c>
      <c r="F31" s="218">
        <f t="shared" si="0"/>
        <v>53.147683161513214</v>
      </c>
    </row>
    <row r="32" spans="1:6">
      <c r="A32" s="232" t="s">
        <v>173</v>
      </c>
      <c r="B32" s="331" t="s">
        <v>31</v>
      </c>
      <c r="C32" s="332" t="s">
        <v>159</v>
      </c>
      <c r="D32" s="333">
        <v>1324320168.1300001</v>
      </c>
      <c r="E32" s="400">
        <v>1292538537.5699999</v>
      </c>
      <c r="F32" s="218">
        <f t="shared" si="0"/>
        <v>97.600155058811993</v>
      </c>
    </row>
    <row r="33" spans="1:6">
      <c r="A33" s="396" t="s">
        <v>186</v>
      </c>
      <c r="B33" s="397" t="s">
        <v>31</v>
      </c>
      <c r="C33" s="330" t="s">
        <v>163</v>
      </c>
      <c r="D33" s="398">
        <v>404680876.43000001</v>
      </c>
      <c r="E33" s="171">
        <v>395904396.94999999</v>
      </c>
      <c r="F33" s="218">
        <f t="shared" si="0"/>
        <v>97.831259149820951</v>
      </c>
    </row>
    <row r="34" spans="1:6">
      <c r="A34" s="232" t="s">
        <v>187</v>
      </c>
      <c r="B34" s="331" t="s">
        <v>31</v>
      </c>
      <c r="C34" s="332" t="s">
        <v>267</v>
      </c>
      <c r="D34" s="333">
        <v>711899534.88999999</v>
      </c>
      <c r="E34" s="171">
        <v>696983846.92999995</v>
      </c>
      <c r="F34" s="218">
        <f t="shared" si="0"/>
        <v>97.904804367893732</v>
      </c>
    </row>
    <row r="35" spans="1:6">
      <c r="A35" s="232" t="s">
        <v>1240</v>
      </c>
      <c r="B35" s="331" t="s">
        <v>31</v>
      </c>
      <c r="C35" s="332" t="s">
        <v>279</v>
      </c>
      <c r="D35" s="333">
        <v>96963181.609999999</v>
      </c>
      <c r="E35" s="171">
        <v>93705060.069999993</v>
      </c>
      <c r="F35" s="218">
        <f t="shared" si="0"/>
        <v>96.639836393668844</v>
      </c>
    </row>
    <row r="36" spans="1:6">
      <c r="A36" s="232" t="s">
        <v>1238</v>
      </c>
      <c r="B36" s="331" t="s">
        <v>31</v>
      </c>
      <c r="C36" s="332" t="s">
        <v>31</v>
      </c>
      <c r="D36" s="333">
        <v>31778653.699999999</v>
      </c>
      <c r="E36" s="171">
        <v>30077426.5</v>
      </c>
      <c r="F36" s="218">
        <f t="shared" si="0"/>
        <v>94.646635392235012</v>
      </c>
    </row>
    <row r="37" spans="1:6">
      <c r="A37" s="232" t="s">
        <v>4</v>
      </c>
      <c r="B37" s="331" t="s">
        <v>31</v>
      </c>
      <c r="C37" s="332" t="s">
        <v>35</v>
      </c>
      <c r="D37" s="333">
        <v>78997921.5</v>
      </c>
      <c r="E37" s="171">
        <v>75867807.120000005</v>
      </c>
      <c r="F37" s="218">
        <f t="shared" si="0"/>
        <v>96.037725650794499</v>
      </c>
    </row>
    <row r="38" spans="1:6">
      <c r="A38" s="232" t="s">
        <v>293</v>
      </c>
      <c r="B38" s="331" t="s">
        <v>40</v>
      </c>
      <c r="C38" s="332" t="s">
        <v>159</v>
      </c>
      <c r="D38" s="333">
        <v>230533940.43000001</v>
      </c>
      <c r="E38" s="400">
        <v>230352976.16</v>
      </c>
      <c r="F38" s="218">
        <f t="shared" si="0"/>
        <v>99.921502113891563</v>
      </c>
    </row>
    <row r="39" spans="1:6">
      <c r="A39" s="396" t="s">
        <v>250</v>
      </c>
      <c r="B39" s="397" t="s">
        <v>40</v>
      </c>
      <c r="C39" s="330" t="s">
        <v>163</v>
      </c>
      <c r="D39" s="398">
        <v>144494841.08000001</v>
      </c>
      <c r="E39" s="171">
        <v>144468915.19999999</v>
      </c>
      <c r="F39" s="218">
        <f t="shared" si="0"/>
        <v>99.982057573954719</v>
      </c>
    </row>
    <row r="40" spans="1:6">
      <c r="A40" s="232" t="s">
        <v>0</v>
      </c>
      <c r="B40" s="331" t="s">
        <v>40</v>
      </c>
      <c r="C40" s="332" t="s">
        <v>281</v>
      </c>
      <c r="D40" s="333">
        <v>86039099.349999994</v>
      </c>
      <c r="E40" s="171">
        <v>85884060.959999993</v>
      </c>
      <c r="F40" s="218">
        <f t="shared" si="0"/>
        <v>99.819804726954061</v>
      </c>
    </row>
    <row r="41" spans="1:6">
      <c r="A41" s="232" t="s">
        <v>291</v>
      </c>
      <c r="B41" s="331" t="s">
        <v>35</v>
      </c>
      <c r="C41" s="332" t="s">
        <v>159</v>
      </c>
      <c r="D41" s="333">
        <v>60600</v>
      </c>
      <c r="E41" s="400">
        <v>60600</v>
      </c>
      <c r="F41" s="218">
        <f t="shared" si="0"/>
        <v>100</v>
      </c>
    </row>
    <row r="42" spans="1:6">
      <c r="A42" s="396" t="s">
        <v>1379</v>
      </c>
      <c r="B42" s="397" t="s">
        <v>35</v>
      </c>
      <c r="C42" s="330" t="s">
        <v>35</v>
      </c>
      <c r="D42" s="398">
        <v>60600</v>
      </c>
      <c r="E42" s="171">
        <v>60600</v>
      </c>
      <c r="F42" s="218">
        <f t="shared" si="0"/>
        <v>100</v>
      </c>
    </row>
    <row r="43" spans="1:6">
      <c r="A43" s="232" t="s">
        <v>174</v>
      </c>
      <c r="B43" s="331" t="s">
        <v>233</v>
      </c>
      <c r="C43" s="332" t="s">
        <v>159</v>
      </c>
      <c r="D43" s="333">
        <v>135310164.49000001</v>
      </c>
      <c r="E43" s="400">
        <v>131416129.70999999</v>
      </c>
      <c r="F43" s="218">
        <f t="shared" si="0"/>
        <v>97.122141714425453</v>
      </c>
    </row>
    <row r="44" spans="1:6">
      <c r="A44" s="396" t="s">
        <v>126</v>
      </c>
      <c r="B44" s="397" t="s">
        <v>233</v>
      </c>
      <c r="C44" s="330" t="s">
        <v>163</v>
      </c>
      <c r="D44" s="398">
        <v>1510430.09</v>
      </c>
      <c r="E44" s="171">
        <v>1510430.09</v>
      </c>
      <c r="F44" s="218">
        <f t="shared" si="0"/>
        <v>100</v>
      </c>
    </row>
    <row r="45" spans="1:6">
      <c r="A45" s="232" t="s">
        <v>1586</v>
      </c>
      <c r="B45" s="331" t="s">
        <v>233</v>
      </c>
      <c r="C45" s="332" t="s">
        <v>267</v>
      </c>
      <c r="D45" s="333">
        <v>69845170</v>
      </c>
      <c r="E45" s="171">
        <v>69845170</v>
      </c>
      <c r="F45" s="218">
        <f t="shared" si="0"/>
        <v>100</v>
      </c>
    </row>
    <row r="46" spans="1:6">
      <c r="A46" s="232" t="s">
        <v>127</v>
      </c>
      <c r="B46" s="331" t="s">
        <v>233</v>
      </c>
      <c r="C46" s="332" t="s">
        <v>279</v>
      </c>
      <c r="D46" s="333">
        <v>33555392.799999997</v>
      </c>
      <c r="E46" s="171">
        <v>33318101.329999998</v>
      </c>
      <c r="F46" s="218">
        <f t="shared" si="0"/>
        <v>99.292836560089384</v>
      </c>
    </row>
    <row r="47" spans="1:6">
      <c r="A47" s="232" t="s">
        <v>26</v>
      </c>
      <c r="B47" s="331" t="s">
        <v>233</v>
      </c>
      <c r="C47" s="332" t="s">
        <v>281</v>
      </c>
      <c r="D47" s="333">
        <v>7908531.5999999996</v>
      </c>
      <c r="E47" s="171">
        <v>4253039.9800000004</v>
      </c>
      <c r="F47" s="218">
        <f t="shared" si="0"/>
        <v>53.777871735380067</v>
      </c>
    </row>
    <row r="48" spans="1:6">
      <c r="A48" s="232" t="s">
        <v>82</v>
      </c>
      <c r="B48" s="331" t="s">
        <v>233</v>
      </c>
      <c r="C48" s="332" t="s">
        <v>272</v>
      </c>
      <c r="D48" s="333">
        <v>22490640</v>
      </c>
      <c r="E48" s="171">
        <v>22489388.309999999</v>
      </c>
      <c r="F48" s="218">
        <f t="shared" si="0"/>
        <v>99.994434618134477</v>
      </c>
    </row>
    <row r="49" spans="1:6">
      <c r="A49" s="232" t="s">
        <v>292</v>
      </c>
      <c r="B49" s="331" t="s">
        <v>36</v>
      </c>
      <c r="C49" s="332" t="s">
        <v>159</v>
      </c>
      <c r="D49" s="333">
        <v>15327226.49</v>
      </c>
      <c r="E49" s="400">
        <v>15290934.279999999</v>
      </c>
      <c r="F49" s="218">
        <f t="shared" si="0"/>
        <v>99.763217369928739</v>
      </c>
    </row>
    <row r="50" spans="1:6">
      <c r="A50" s="396" t="s">
        <v>1588</v>
      </c>
      <c r="B50" s="397" t="s">
        <v>36</v>
      </c>
      <c r="C50" s="330" t="s">
        <v>163</v>
      </c>
      <c r="D50" s="398">
        <v>9977615.8900000006</v>
      </c>
      <c r="E50" s="171">
        <v>9958013.2599999998</v>
      </c>
      <c r="F50" s="218">
        <f t="shared" si="0"/>
        <v>99.803533928183711</v>
      </c>
    </row>
    <row r="51" spans="1:6">
      <c r="A51" s="232" t="s">
        <v>254</v>
      </c>
      <c r="B51" s="331" t="s">
        <v>36</v>
      </c>
      <c r="C51" s="332" t="s">
        <v>267</v>
      </c>
      <c r="D51" s="333">
        <v>5349610.5999999996</v>
      </c>
      <c r="E51" s="171">
        <v>5332921.0199999996</v>
      </c>
      <c r="F51" s="218">
        <f t="shared" si="0"/>
        <v>99.688022526349869</v>
      </c>
    </row>
    <row r="52" spans="1:6" ht="25.5">
      <c r="A52" s="232" t="s">
        <v>294</v>
      </c>
      <c r="B52" s="331" t="s">
        <v>97</v>
      </c>
      <c r="C52" s="332" t="s">
        <v>159</v>
      </c>
      <c r="D52" s="333">
        <v>3112.33</v>
      </c>
      <c r="E52" s="400">
        <v>3112.33</v>
      </c>
      <c r="F52" s="218">
        <f t="shared" si="0"/>
        <v>100</v>
      </c>
    </row>
    <row r="53" spans="1:6" ht="25.5">
      <c r="A53" s="396" t="s">
        <v>295</v>
      </c>
      <c r="B53" s="397" t="s">
        <v>97</v>
      </c>
      <c r="C53" s="330" t="s">
        <v>163</v>
      </c>
      <c r="D53" s="398">
        <v>3112.33</v>
      </c>
      <c r="E53" s="171">
        <v>3112.33</v>
      </c>
      <c r="F53" s="218">
        <f t="shared" si="0"/>
        <v>100</v>
      </c>
    </row>
    <row r="54" spans="1:6" ht="38.25">
      <c r="A54" s="232" t="s">
        <v>1381</v>
      </c>
      <c r="B54" s="331" t="s">
        <v>99</v>
      </c>
      <c r="C54" s="332" t="s">
        <v>159</v>
      </c>
      <c r="D54" s="333">
        <v>110697797</v>
      </c>
      <c r="E54" s="400">
        <v>110697797</v>
      </c>
      <c r="F54" s="218">
        <f t="shared" si="0"/>
        <v>100</v>
      </c>
    </row>
    <row r="55" spans="1:6" ht="38.25">
      <c r="A55" s="396" t="s">
        <v>255</v>
      </c>
      <c r="B55" s="397" t="s">
        <v>99</v>
      </c>
      <c r="C55" s="330" t="s">
        <v>163</v>
      </c>
      <c r="D55" s="398">
        <v>82239100</v>
      </c>
      <c r="E55" s="395">
        <v>82239100</v>
      </c>
      <c r="F55" s="218">
        <f t="shared" si="0"/>
        <v>100</v>
      </c>
    </row>
    <row r="56" spans="1:6" ht="25.5">
      <c r="A56" s="232" t="s">
        <v>296</v>
      </c>
      <c r="B56" s="331" t="s">
        <v>99</v>
      </c>
      <c r="C56" s="332" t="s">
        <v>279</v>
      </c>
      <c r="D56" s="333">
        <v>28458697</v>
      </c>
      <c r="E56" s="395">
        <v>28458697</v>
      </c>
      <c r="F56" s="218">
        <f t="shared" si="0"/>
        <v>100</v>
      </c>
    </row>
  </sheetData>
  <autoFilter ref="A6:D56"/>
  <mergeCells count="8">
    <mergeCell ref="E5:E6"/>
    <mergeCell ref="F5:F6"/>
    <mergeCell ref="A2:F2"/>
    <mergeCell ref="A3:F3"/>
    <mergeCell ref="A1:D1"/>
    <mergeCell ref="A5:A6"/>
    <mergeCell ref="B5:C5"/>
    <mergeCell ref="D5:D6"/>
  </mergeCells>
  <phoneticPr fontId="0" type="noConversion"/>
  <pageMargins left="0.78740157480314965" right="0.23622047244094491" top="0.19685039370078741" bottom="0.19685039370078741" header="0.15748031496062992" footer="0.15748031496062992"/>
  <pageSetup paperSize="9" scale="84" fitToHeight="0" orientation="portrait" r:id="rId1"/>
  <headerFooter alignWithMargins="0"/>
</worksheet>
</file>

<file path=xl/worksheets/sheet9.xml><?xml version="1.0" encoding="utf-8"?>
<worksheet xmlns="http://schemas.openxmlformats.org/spreadsheetml/2006/main" xmlns:r="http://schemas.openxmlformats.org/officeDocument/2006/relationships">
  <sheetPr>
    <tabColor rgb="FFFF0000"/>
  </sheetPr>
  <dimension ref="A1:G56"/>
  <sheetViews>
    <sheetView topLeftCell="A35" zoomScaleNormal="100" workbookViewId="0">
      <selection activeCell="A2" sqref="A1:XFD2"/>
    </sheetView>
  </sheetViews>
  <sheetFormatPr defaultRowHeight="12.75"/>
  <cols>
    <col min="1" max="1" width="40.85546875" style="4" customWidth="1"/>
    <col min="2" max="2" width="9" style="4" customWidth="1"/>
    <col min="3" max="3" width="7.5703125" style="4" customWidth="1"/>
    <col min="4" max="4" width="20.140625" style="4" customWidth="1"/>
    <col min="5" max="5" width="20.140625" style="21" customWidth="1"/>
    <col min="6" max="6" width="9.140625" style="4"/>
    <col min="7" max="7" width="19.28515625" style="4" customWidth="1"/>
    <col min="8" max="16384" width="9.140625" style="4"/>
  </cols>
  <sheetData>
    <row r="1" spans="1:7" ht="45.75" customHeight="1">
      <c r="A1" s="442" t="str">
        <f>"Приложение №"&amp;Н2фун1&amp;"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442"/>
      <c r="C1" s="442"/>
      <c r="D1" s="442"/>
      <c r="E1" s="442"/>
    </row>
    <row r="2" spans="1:7" ht="47.25" customHeight="1">
      <c r="A2" s="442" t="str">
        <f>"Приложение "&amp;Н1фун1&amp;" к решению
Богучанского районного Совета депутатов
от "&amp;Р1дата&amp;" года №"&amp;Р1номер</f>
        <v>Приложение  к решению
Богучанского районного Совета депутатов
от 2020  года №</v>
      </c>
      <c r="B2" s="442"/>
      <c r="C2" s="442"/>
      <c r="D2" s="442"/>
      <c r="E2" s="442"/>
    </row>
    <row r="3" spans="1:7" ht="65.25" customHeight="1">
      <c r="A3" s="441" t="str">
        <f>"Распределение  бюджетных ассигнований по разделам и подразделам бюджетной классификации расходов бюджетов Российской Федерации  на  плановый период "&amp;ПлПер&amp;" годов"</f>
        <v>Распределение  бюджетных ассигнований по разделам и подразделам бюджетной классификации расходов бюджетов Российской Федерации  на  плановый период  годов</v>
      </c>
      <c r="B3" s="441"/>
      <c r="C3" s="441"/>
      <c r="D3" s="441"/>
      <c r="E3" s="441"/>
      <c r="G3" s="197"/>
    </row>
    <row r="4" spans="1:7">
      <c r="E4" s="10" t="s">
        <v>95</v>
      </c>
    </row>
    <row r="5" spans="1:7" ht="12.75" customHeight="1">
      <c r="A5" s="481" t="s">
        <v>276</v>
      </c>
      <c r="B5" s="483" t="s">
        <v>212</v>
      </c>
      <c r="C5" s="483"/>
      <c r="D5" s="481" t="s">
        <v>1488</v>
      </c>
      <c r="E5" s="481" t="s">
        <v>1633</v>
      </c>
    </row>
    <row r="6" spans="1:7" ht="25.5" customHeight="1">
      <c r="A6" s="481"/>
      <c r="B6" s="319" t="s">
        <v>1156</v>
      </c>
      <c r="C6" s="54" t="s">
        <v>277</v>
      </c>
      <c r="D6" s="481"/>
      <c r="E6" s="481"/>
    </row>
    <row r="7" spans="1:7" s="13" customFormat="1">
      <c r="A7" s="320" t="s">
        <v>1501</v>
      </c>
      <c r="B7" s="321" t="s">
        <v>1468</v>
      </c>
      <c r="C7" s="322" t="s">
        <v>1468</v>
      </c>
      <c r="D7" s="290">
        <f>1903103151+22470000</f>
        <v>1925573151</v>
      </c>
      <c r="E7" s="290">
        <f>1882974463+45430000</f>
        <v>1928404463</v>
      </c>
    </row>
    <row r="8" spans="1:7">
      <c r="A8" s="54" t="s">
        <v>278</v>
      </c>
      <c r="B8" s="54" t="s">
        <v>163</v>
      </c>
      <c r="C8" s="140" t="s">
        <v>159</v>
      </c>
      <c r="D8" s="347">
        <v>54919576</v>
      </c>
      <c r="E8" s="347">
        <v>40733488</v>
      </c>
    </row>
    <row r="9" spans="1:7" ht="38.25">
      <c r="A9" s="54" t="s">
        <v>1737</v>
      </c>
      <c r="B9" s="54" t="s">
        <v>163</v>
      </c>
      <c r="C9" s="139" t="s">
        <v>267</v>
      </c>
      <c r="D9" s="347">
        <v>1605429</v>
      </c>
      <c r="E9" s="347">
        <v>1605429</v>
      </c>
    </row>
    <row r="10" spans="1:7" ht="51">
      <c r="A10" s="54" t="s">
        <v>93</v>
      </c>
      <c r="B10" s="54" t="s">
        <v>163</v>
      </c>
      <c r="C10" s="139" t="s">
        <v>279</v>
      </c>
      <c r="D10" s="347">
        <v>4652622</v>
      </c>
      <c r="E10" s="347">
        <v>4652622</v>
      </c>
    </row>
    <row r="11" spans="1:7" ht="63.75">
      <c r="A11" s="54" t="s">
        <v>280</v>
      </c>
      <c r="B11" s="54" t="s">
        <v>163</v>
      </c>
      <c r="C11" s="139" t="s">
        <v>281</v>
      </c>
      <c r="D11" s="347">
        <v>26260124</v>
      </c>
      <c r="E11" s="347">
        <v>17876936</v>
      </c>
    </row>
    <row r="12" spans="1:7">
      <c r="A12" s="54" t="s">
        <v>1489</v>
      </c>
      <c r="B12" s="54" t="s">
        <v>163</v>
      </c>
      <c r="C12" s="139" t="s">
        <v>271</v>
      </c>
      <c r="D12" s="347">
        <v>2900</v>
      </c>
      <c r="E12" s="348">
        <v>0</v>
      </c>
    </row>
    <row r="13" spans="1:7" ht="51">
      <c r="A13" s="54" t="s">
        <v>260</v>
      </c>
      <c r="B13" s="54" t="s">
        <v>163</v>
      </c>
      <c r="C13" s="139" t="s">
        <v>272</v>
      </c>
      <c r="D13" s="347">
        <v>13386301</v>
      </c>
      <c r="E13" s="348">
        <v>13386301</v>
      </c>
    </row>
    <row r="14" spans="1:7">
      <c r="A14" s="54" t="s">
        <v>70</v>
      </c>
      <c r="B14" s="54" t="s">
        <v>163</v>
      </c>
      <c r="C14" s="140" t="s">
        <v>36</v>
      </c>
      <c r="D14" s="347">
        <v>2000000</v>
      </c>
      <c r="E14" s="348">
        <v>2000000</v>
      </c>
    </row>
    <row r="15" spans="1:7">
      <c r="A15" s="54" t="s">
        <v>261</v>
      </c>
      <c r="B15" s="54" t="s">
        <v>163</v>
      </c>
      <c r="C15" s="140" t="s">
        <v>97</v>
      </c>
      <c r="D15" s="347">
        <v>7012200</v>
      </c>
      <c r="E15" s="348">
        <v>1212200</v>
      </c>
    </row>
    <row r="16" spans="1:7">
      <c r="A16" s="156" t="s">
        <v>228</v>
      </c>
      <c r="B16" s="156" t="s">
        <v>267</v>
      </c>
      <c r="C16" s="139" t="s">
        <v>159</v>
      </c>
      <c r="D16" s="347">
        <v>4504200</v>
      </c>
      <c r="E16" s="348">
        <v>0</v>
      </c>
    </row>
    <row r="17" spans="1:5" ht="25.5">
      <c r="A17" s="54" t="s">
        <v>229</v>
      </c>
      <c r="B17" s="54" t="s">
        <v>267</v>
      </c>
      <c r="C17" s="139" t="s">
        <v>279</v>
      </c>
      <c r="D17" s="347">
        <v>4504200</v>
      </c>
      <c r="E17" s="348">
        <v>0</v>
      </c>
    </row>
    <row r="18" spans="1:5" ht="25.5">
      <c r="A18" s="54" t="s">
        <v>282</v>
      </c>
      <c r="B18" s="54" t="s">
        <v>279</v>
      </c>
      <c r="C18" s="140" t="s">
        <v>159</v>
      </c>
      <c r="D18" s="347">
        <v>22960529</v>
      </c>
      <c r="E18" s="348">
        <v>22960529</v>
      </c>
    </row>
    <row r="19" spans="1:5" ht="51">
      <c r="A19" s="54" t="s">
        <v>305</v>
      </c>
      <c r="B19" s="54" t="s">
        <v>279</v>
      </c>
      <c r="C19" s="139" t="s">
        <v>35</v>
      </c>
      <c r="D19" s="347">
        <v>2901942</v>
      </c>
      <c r="E19" s="348">
        <v>2901942</v>
      </c>
    </row>
    <row r="20" spans="1:5">
      <c r="A20" s="54" t="s">
        <v>133</v>
      </c>
      <c r="B20" s="54" t="s">
        <v>279</v>
      </c>
      <c r="C20" s="139" t="s">
        <v>233</v>
      </c>
      <c r="D20" s="347">
        <v>20058587</v>
      </c>
      <c r="E20" s="348">
        <v>20058587</v>
      </c>
    </row>
    <row r="21" spans="1:5">
      <c r="A21" s="54" t="s">
        <v>218</v>
      </c>
      <c r="B21" s="54" t="s">
        <v>281</v>
      </c>
      <c r="C21" s="139" t="s">
        <v>159</v>
      </c>
      <c r="D21" s="347">
        <v>15448302</v>
      </c>
      <c r="E21" s="348">
        <v>15465302</v>
      </c>
    </row>
    <row r="22" spans="1:5">
      <c r="A22" s="53" t="s">
        <v>219</v>
      </c>
      <c r="B22" s="53" t="s">
        <v>281</v>
      </c>
      <c r="C22" s="140" t="s">
        <v>271</v>
      </c>
      <c r="D22" s="347">
        <v>1383400</v>
      </c>
      <c r="E22" s="348">
        <v>1380700</v>
      </c>
    </row>
    <row r="23" spans="1:5">
      <c r="A23" s="54" t="s">
        <v>220</v>
      </c>
      <c r="B23" s="54" t="s">
        <v>281</v>
      </c>
      <c r="C23" s="140" t="s">
        <v>40</v>
      </c>
      <c r="D23" s="347">
        <v>12835502</v>
      </c>
      <c r="E23" s="348">
        <v>12850502</v>
      </c>
    </row>
    <row r="24" spans="1:5">
      <c r="A24" s="54" t="s">
        <v>298</v>
      </c>
      <c r="B24" s="54" t="s">
        <v>281</v>
      </c>
      <c r="C24" s="139" t="s">
        <v>35</v>
      </c>
      <c r="D24" s="347">
        <v>35700</v>
      </c>
      <c r="E24" s="348">
        <v>40400</v>
      </c>
    </row>
    <row r="25" spans="1:5" ht="25.5">
      <c r="A25" s="54" t="s">
        <v>179</v>
      </c>
      <c r="B25" s="54" t="s">
        <v>281</v>
      </c>
      <c r="C25" s="139" t="s">
        <v>240</v>
      </c>
      <c r="D25" s="347">
        <v>1193700</v>
      </c>
      <c r="E25" s="348">
        <v>1193700</v>
      </c>
    </row>
    <row r="26" spans="1:5">
      <c r="A26" s="54" t="s">
        <v>283</v>
      </c>
      <c r="B26" s="54" t="s">
        <v>271</v>
      </c>
      <c r="C26" s="139" t="s">
        <v>159</v>
      </c>
      <c r="D26" s="347">
        <v>208063499</v>
      </c>
      <c r="E26" s="348">
        <v>208063499</v>
      </c>
    </row>
    <row r="27" spans="1:5">
      <c r="A27" s="54" t="s">
        <v>3</v>
      </c>
      <c r="B27" s="54" t="s">
        <v>271</v>
      </c>
      <c r="C27" s="139" t="s">
        <v>163</v>
      </c>
      <c r="D27" s="347">
        <v>325000</v>
      </c>
      <c r="E27" s="348">
        <v>325000</v>
      </c>
    </row>
    <row r="28" spans="1:5">
      <c r="A28" s="54" t="s">
        <v>180</v>
      </c>
      <c r="B28" s="54" t="s">
        <v>271</v>
      </c>
      <c r="C28" s="140" t="s">
        <v>267</v>
      </c>
      <c r="D28" s="347">
        <v>203157800</v>
      </c>
      <c r="E28" s="348">
        <v>203157800</v>
      </c>
    </row>
    <row r="29" spans="1:5">
      <c r="A29" s="54" t="s">
        <v>46</v>
      </c>
      <c r="B29" s="54" t="s">
        <v>271</v>
      </c>
      <c r="C29" s="139" t="s">
        <v>279</v>
      </c>
      <c r="D29" s="349">
        <v>1200000</v>
      </c>
      <c r="E29" s="349">
        <v>1200000</v>
      </c>
    </row>
    <row r="30" spans="1:5" ht="25.5">
      <c r="A30" s="54" t="s">
        <v>185</v>
      </c>
      <c r="B30" s="54" t="s">
        <v>271</v>
      </c>
      <c r="C30" s="54" t="s">
        <v>271</v>
      </c>
      <c r="D30" s="346">
        <v>3380699</v>
      </c>
      <c r="E30" s="346">
        <v>3380699</v>
      </c>
    </row>
    <row r="31" spans="1:5">
      <c r="A31" s="54" t="s">
        <v>173</v>
      </c>
      <c r="B31" s="54" t="s">
        <v>31</v>
      </c>
      <c r="C31" s="189" t="s">
        <v>159</v>
      </c>
      <c r="D31" s="346">
        <v>1205956113</v>
      </c>
      <c r="E31" s="346">
        <v>1205956113</v>
      </c>
    </row>
    <row r="32" spans="1:5">
      <c r="A32" s="54" t="s">
        <v>186</v>
      </c>
      <c r="B32" s="54" t="s">
        <v>31</v>
      </c>
      <c r="C32" s="54" t="s">
        <v>163</v>
      </c>
      <c r="D32" s="346">
        <v>385161126</v>
      </c>
      <c r="E32" s="346">
        <v>385161126</v>
      </c>
    </row>
    <row r="33" spans="1:5">
      <c r="A33" s="54" t="s">
        <v>187</v>
      </c>
      <c r="B33" s="54" t="s">
        <v>31</v>
      </c>
      <c r="C33" s="54" t="s">
        <v>267</v>
      </c>
      <c r="D33" s="346">
        <v>643183205</v>
      </c>
      <c r="E33" s="346">
        <v>643183205</v>
      </c>
    </row>
    <row r="34" spans="1:5">
      <c r="A34" s="54" t="s">
        <v>1240</v>
      </c>
      <c r="B34" s="54" t="s">
        <v>31</v>
      </c>
      <c r="C34" s="189" t="s">
        <v>279</v>
      </c>
      <c r="D34" s="346">
        <v>80781338</v>
      </c>
      <c r="E34" s="346">
        <v>80781338</v>
      </c>
    </row>
    <row r="35" spans="1:5">
      <c r="A35" s="54" t="s">
        <v>1238</v>
      </c>
      <c r="B35" s="54" t="s">
        <v>31</v>
      </c>
      <c r="C35" s="54" t="s">
        <v>31</v>
      </c>
      <c r="D35" s="346">
        <v>25484433</v>
      </c>
      <c r="E35" s="346">
        <v>25484433</v>
      </c>
    </row>
    <row r="36" spans="1:5">
      <c r="A36" s="54" t="s">
        <v>4</v>
      </c>
      <c r="B36" s="54" t="s">
        <v>31</v>
      </c>
      <c r="C36" s="189" t="s">
        <v>35</v>
      </c>
      <c r="D36" s="346">
        <v>71346011</v>
      </c>
      <c r="E36" s="346">
        <v>71346011</v>
      </c>
    </row>
    <row r="37" spans="1:5">
      <c r="A37" s="54" t="s">
        <v>293</v>
      </c>
      <c r="B37" s="54" t="s">
        <v>40</v>
      </c>
      <c r="C37" s="189" t="s">
        <v>159</v>
      </c>
      <c r="D37" s="346">
        <v>166353474</v>
      </c>
      <c r="E37" s="346">
        <v>166353474</v>
      </c>
    </row>
    <row r="38" spans="1:5">
      <c r="A38" s="54" t="s">
        <v>250</v>
      </c>
      <c r="B38" s="54" t="s">
        <v>40</v>
      </c>
      <c r="C38" s="54" t="s">
        <v>163</v>
      </c>
      <c r="D38" s="346">
        <v>104506410</v>
      </c>
      <c r="E38" s="346">
        <v>104506410</v>
      </c>
    </row>
    <row r="39" spans="1:5" ht="25.5">
      <c r="A39" s="54" t="s">
        <v>0</v>
      </c>
      <c r="B39" s="54" t="s">
        <v>40</v>
      </c>
      <c r="C39" s="189" t="s">
        <v>281</v>
      </c>
      <c r="D39" s="346">
        <v>61847064</v>
      </c>
      <c r="E39" s="346">
        <v>61847064</v>
      </c>
    </row>
    <row r="40" spans="1:5">
      <c r="A40" s="54" t="s">
        <v>291</v>
      </c>
      <c r="B40" s="54" t="s">
        <v>35</v>
      </c>
      <c r="C40" s="54" t="s">
        <v>159</v>
      </c>
      <c r="D40" s="346">
        <v>60600</v>
      </c>
      <c r="E40" s="346">
        <v>60600</v>
      </c>
    </row>
    <row r="41" spans="1:5">
      <c r="A41" s="54" t="s">
        <v>1379</v>
      </c>
      <c r="B41" s="54" t="s">
        <v>35</v>
      </c>
      <c r="C41" s="54" t="s">
        <v>35</v>
      </c>
      <c r="D41" s="346">
        <v>60600</v>
      </c>
      <c r="E41" s="346">
        <v>60600</v>
      </c>
    </row>
    <row r="42" spans="1:5">
      <c r="A42" s="54" t="s">
        <v>174</v>
      </c>
      <c r="B42" s="54" t="s">
        <v>233</v>
      </c>
      <c r="C42" s="189" t="s">
        <v>159</v>
      </c>
      <c r="D42" s="346">
        <v>133321618</v>
      </c>
      <c r="E42" s="346">
        <v>131904218</v>
      </c>
    </row>
    <row r="43" spans="1:5">
      <c r="A43" s="54" t="s">
        <v>126</v>
      </c>
      <c r="B43" s="54" t="s">
        <v>233</v>
      </c>
      <c r="C43" s="54" t="s">
        <v>163</v>
      </c>
      <c r="D43" s="346">
        <v>1555318</v>
      </c>
      <c r="E43" s="346">
        <v>1555318</v>
      </c>
    </row>
    <row r="44" spans="1:5">
      <c r="A44" s="54" t="s">
        <v>1586</v>
      </c>
      <c r="B44" s="54" t="s">
        <v>233</v>
      </c>
      <c r="C44" s="189" t="s">
        <v>267</v>
      </c>
      <c r="D44" s="346">
        <v>63202800</v>
      </c>
      <c r="E44" s="346">
        <v>63202800</v>
      </c>
    </row>
    <row r="45" spans="1:5">
      <c r="A45" s="54" t="s">
        <v>127</v>
      </c>
      <c r="B45" s="54" t="s">
        <v>233</v>
      </c>
      <c r="C45" s="189" t="s">
        <v>279</v>
      </c>
      <c r="D45" s="346">
        <v>35835300</v>
      </c>
      <c r="E45" s="346">
        <v>35835300</v>
      </c>
    </row>
    <row r="46" spans="1:5">
      <c r="A46" s="54" t="s">
        <v>26</v>
      </c>
      <c r="B46" s="54" t="s">
        <v>233</v>
      </c>
      <c r="C46" s="54" t="s">
        <v>281</v>
      </c>
      <c r="D46" s="346">
        <v>11301300</v>
      </c>
      <c r="E46" s="346">
        <v>9883900</v>
      </c>
    </row>
    <row r="47" spans="1:5" ht="25.5">
      <c r="A47" s="54" t="s">
        <v>82</v>
      </c>
      <c r="B47" s="54" t="s">
        <v>233</v>
      </c>
      <c r="C47" s="189" t="s">
        <v>272</v>
      </c>
      <c r="D47" s="346">
        <v>21426900</v>
      </c>
      <c r="E47" s="346">
        <v>21426900</v>
      </c>
    </row>
    <row r="48" spans="1:5">
      <c r="A48" s="54" t="s">
        <v>292</v>
      </c>
      <c r="B48" s="54" t="s">
        <v>36</v>
      </c>
      <c r="C48" s="189" t="s">
        <v>159</v>
      </c>
      <c r="D48" s="350">
        <v>7611700</v>
      </c>
      <c r="E48" s="351">
        <v>7611700</v>
      </c>
    </row>
    <row r="49" spans="1:5">
      <c r="A49" s="54" t="s">
        <v>1588</v>
      </c>
      <c r="B49" s="54" t="s">
        <v>36</v>
      </c>
      <c r="C49" s="201" t="s">
        <v>163</v>
      </c>
      <c r="D49" s="350">
        <v>5964674</v>
      </c>
      <c r="E49" s="351">
        <v>5964674</v>
      </c>
    </row>
    <row r="50" spans="1:5">
      <c r="A50" s="54" t="s">
        <v>254</v>
      </c>
      <c r="B50" s="54" t="s">
        <v>36</v>
      </c>
      <c r="C50" s="6" t="s">
        <v>267</v>
      </c>
      <c r="D50" s="350">
        <v>1647026</v>
      </c>
      <c r="E50" s="351">
        <v>1647026</v>
      </c>
    </row>
    <row r="51" spans="1:5" ht="25.5">
      <c r="A51" s="54" t="s">
        <v>294</v>
      </c>
      <c r="B51" s="54" t="s">
        <v>97</v>
      </c>
      <c r="C51" s="6" t="s">
        <v>159</v>
      </c>
      <c r="D51" s="350">
        <v>40740</v>
      </c>
      <c r="E51" s="351">
        <v>2740</v>
      </c>
    </row>
    <row r="52" spans="1:5" ht="25.5">
      <c r="A52" s="54" t="s">
        <v>295</v>
      </c>
      <c r="B52" s="6" t="s">
        <v>97</v>
      </c>
      <c r="C52" s="6" t="s">
        <v>163</v>
      </c>
      <c r="D52" s="350">
        <v>40740</v>
      </c>
      <c r="E52" s="351">
        <v>2740</v>
      </c>
    </row>
    <row r="53" spans="1:5" ht="38.25">
      <c r="A53" s="54" t="s">
        <v>1381</v>
      </c>
      <c r="B53" s="6" t="s">
        <v>99</v>
      </c>
      <c r="C53" s="6" t="s">
        <v>159</v>
      </c>
      <c r="D53" s="350">
        <v>83862800</v>
      </c>
      <c r="E53" s="351">
        <v>83862800</v>
      </c>
    </row>
    <row r="54" spans="1:5" ht="38.25">
      <c r="A54" s="54" t="s">
        <v>255</v>
      </c>
      <c r="B54" s="6" t="s">
        <v>99</v>
      </c>
      <c r="C54" s="6" t="s">
        <v>163</v>
      </c>
      <c r="D54" s="350">
        <v>65169800</v>
      </c>
      <c r="E54" s="351">
        <v>65169800</v>
      </c>
    </row>
    <row r="55" spans="1:5" ht="25.5">
      <c r="A55" s="54" t="s">
        <v>296</v>
      </c>
      <c r="B55" s="6" t="s">
        <v>99</v>
      </c>
      <c r="C55" s="6" t="s">
        <v>279</v>
      </c>
      <c r="D55" s="350">
        <v>18693000</v>
      </c>
      <c r="E55" s="351">
        <v>18693000</v>
      </c>
    </row>
    <row r="56" spans="1:5">
      <c r="A56" s="6" t="s">
        <v>1753</v>
      </c>
      <c r="B56" s="6"/>
      <c r="C56" s="6"/>
      <c r="D56" s="350">
        <v>22470000</v>
      </c>
      <c r="E56" s="346">
        <v>45430000</v>
      </c>
    </row>
  </sheetData>
  <autoFilter ref="A6:E51">
    <filterColumn colId="1"/>
  </autoFilter>
  <mergeCells count="7">
    <mergeCell ref="B5:C5"/>
    <mergeCell ref="A1:E1"/>
    <mergeCell ref="D5:D6"/>
    <mergeCell ref="A2:E2"/>
    <mergeCell ref="A3:E3"/>
    <mergeCell ref="A5:A6"/>
    <mergeCell ref="E5:E6"/>
  </mergeCells>
  <pageMargins left="0.70866141732283472" right="0.31496062992125984" top="0.35433070866141736" bottom="0.35433070866141736"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31</vt:i4>
      </vt:variant>
      <vt:variant>
        <vt:lpstr>Именованные диапазоны</vt:lpstr>
      </vt:variant>
      <vt:variant>
        <vt:i4>148</vt:i4>
      </vt:variant>
    </vt:vector>
  </HeadingPairs>
  <TitlesOfParts>
    <vt:vector size="179" baseType="lpstr">
      <vt:lpstr>Деф</vt:lpstr>
      <vt:lpstr>АдмДох</vt:lpstr>
      <vt:lpstr>АдмИст</vt:lpstr>
      <vt:lpstr>Норм</vt:lpstr>
      <vt:lpstr>Дох </vt:lpstr>
      <vt:lpstr>Вед19</vt:lpstr>
      <vt:lpstr>вед 20-21</vt:lpstr>
      <vt:lpstr>Фун19</vt:lpstr>
      <vt:lpstr>Фун 20-21</vt:lpstr>
      <vt:lpstr>ЦСР 19</vt:lpstr>
      <vt:lpstr>ЦСР 20-21</vt:lpstr>
      <vt:lpstr>публ</vt:lpstr>
      <vt:lpstr>Полн</vt:lpstr>
      <vt:lpstr>сбал</vt:lpstr>
      <vt:lpstr>ФФП</vt:lpstr>
      <vt:lpstr>Молод</vt:lpstr>
      <vt:lpstr>Протоколы</vt:lpstr>
      <vt:lpstr>ВУС</vt:lpstr>
      <vt:lpstr>ак</vt:lpstr>
      <vt:lpstr>Заим</vt:lpstr>
      <vt:lpstr>потенц</vt:lpstr>
      <vt:lpstr>дороги</vt:lpstr>
      <vt:lpstr>дороги кап</vt:lpstr>
      <vt:lpstr>пожарка</vt:lpstr>
      <vt:lpstr>софин</vt:lpstr>
      <vt:lpstr>благоус</vt:lpstr>
      <vt:lpstr>рег вып</vt:lpstr>
      <vt:lpstr>Муниц ЗП</vt:lpstr>
      <vt:lpstr>окл рег</vt:lpstr>
      <vt:lpstr>спр</vt:lpstr>
      <vt:lpstr>Лист1</vt:lpstr>
      <vt:lpstr>H1ДК</vt:lpstr>
      <vt:lpstr>H1окл</vt:lpstr>
      <vt:lpstr>H1пожар</vt:lpstr>
      <vt:lpstr>H2ДК</vt:lpstr>
      <vt:lpstr>H2окл</vt:lpstr>
      <vt:lpstr>H2пожар</vt:lpstr>
      <vt:lpstr>АдмДох!год</vt:lpstr>
      <vt:lpstr>год</vt:lpstr>
      <vt:lpstr>АдмДох!Заголовки_для_печати</vt:lpstr>
      <vt:lpstr>АдмИст!Заголовки_для_печати</vt:lpstr>
      <vt:lpstr>'вед 20-21'!Заголовки_для_печати</vt:lpstr>
      <vt:lpstr>Вед19!Заголовки_для_печати</vt:lpstr>
      <vt:lpstr>ВУС!Заголовки_для_печати</vt:lpstr>
      <vt:lpstr>Деф!Заголовки_для_печати</vt:lpstr>
      <vt:lpstr>'Дох '!Заголовки_для_печати</vt:lpstr>
      <vt:lpstr>Молод!Заголовки_для_печати</vt:lpstr>
      <vt:lpstr>Полн!Заголовки_для_печати</vt:lpstr>
      <vt:lpstr>Протоколы!Заголовки_для_печати</vt:lpstr>
      <vt:lpstr>Фун19!Заголовки_для_печати</vt:lpstr>
      <vt:lpstr>ФФП!Заголовки_для_печати</vt:lpstr>
      <vt:lpstr>'ЦСР 19'!Заголовки_для_печати</vt:lpstr>
      <vt:lpstr>АдмДох!квр13</vt:lpstr>
      <vt:lpstr>квр13</vt:lpstr>
      <vt:lpstr>АдмДох!кврПлПер</vt:lpstr>
      <vt:lpstr>кврПлПер</vt:lpstr>
      <vt:lpstr>АдмДох!Н1адох</vt:lpstr>
      <vt:lpstr>Н1адох</vt:lpstr>
      <vt:lpstr>АдмДох!Н1аист</vt:lpstr>
      <vt:lpstr>Н1аист</vt:lpstr>
      <vt:lpstr>Н1акк</vt:lpstr>
      <vt:lpstr>Н1благ</vt:lpstr>
      <vt:lpstr>АдмДох!Н1вед</vt:lpstr>
      <vt:lpstr>Н1вед</vt:lpstr>
      <vt:lpstr>АдмДох!Н1вед1</vt:lpstr>
      <vt:lpstr>Н1вед1</vt:lpstr>
      <vt:lpstr>Н1вод</vt:lpstr>
      <vt:lpstr>АдмДох!Н1вус</vt:lpstr>
      <vt:lpstr>Н1вус</vt:lpstr>
      <vt:lpstr>Н1гранты</vt:lpstr>
      <vt:lpstr>АдмДох!Н1деф</vt:lpstr>
      <vt:lpstr>Н1деф</vt:lpstr>
      <vt:lpstr>Н1Дор</vt:lpstr>
      <vt:lpstr>Н1доркап</vt:lpstr>
      <vt:lpstr>Н1Дороги</vt:lpstr>
      <vt:lpstr>АдмДох!Н1дох</vt:lpstr>
      <vt:lpstr>Н1дох</vt:lpstr>
      <vt:lpstr>Н1займ</vt:lpstr>
      <vt:lpstr>Н1ком</vt:lpstr>
      <vt:lpstr>Н1метвус</vt:lpstr>
      <vt:lpstr>Н1мин</vt:lpstr>
      <vt:lpstr>Н1мол</vt:lpstr>
      <vt:lpstr>Н1Норм</vt:lpstr>
      <vt:lpstr>Н1Перес</vt:lpstr>
      <vt:lpstr>Н1Пересел</vt:lpstr>
      <vt:lpstr>Н1пож</vt:lpstr>
      <vt:lpstr>Н1пожар</vt:lpstr>
      <vt:lpstr>Н1пол</vt:lpstr>
      <vt:lpstr>Н1поощ</vt:lpstr>
      <vt:lpstr>Н1потенц</vt:lpstr>
      <vt:lpstr>АдмДох!Н1Публ</vt:lpstr>
      <vt:lpstr>Н1Публ</vt:lpstr>
      <vt:lpstr>Н1сбал</vt:lpstr>
      <vt:lpstr>Н1софин</vt:lpstr>
      <vt:lpstr>Н1фун</vt:lpstr>
      <vt:lpstr>Н1фун1</vt:lpstr>
      <vt:lpstr>АдмДох!Н1ффп</vt:lpstr>
      <vt:lpstr>Н1ффп</vt:lpstr>
      <vt:lpstr>Н1цср</vt:lpstr>
      <vt:lpstr>Н1цср1</vt:lpstr>
      <vt:lpstr>Н2адох</vt:lpstr>
      <vt:lpstr>Н2аист</vt:lpstr>
      <vt:lpstr>Н2акк</vt:lpstr>
      <vt:lpstr>Н2благ</vt:lpstr>
      <vt:lpstr>Н2вед</vt:lpstr>
      <vt:lpstr>Н2вед1</vt:lpstr>
      <vt:lpstr>Н2вод</vt:lpstr>
      <vt:lpstr>Н2вус</vt:lpstr>
      <vt:lpstr>Н2гранты</vt:lpstr>
      <vt:lpstr>Н2деф</vt:lpstr>
      <vt:lpstr>Н2дор</vt:lpstr>
      <vt:lpstr>Н2доркап</vt:lpstr>
      <vt:lpstr>Н2Дороги</vt:lpstr>
      <vt:lpstr>Н2дох</vt:lpstr>
      <vt:lpstr>Н2займ</vt:lpstr>
      <vt:lpstr>Н2ком</vt:lpstr>
      <vt:lpstr>Н2метвус</vt:lpstr>
      <vt:lpstr>Н2мин</vt:lpstr>
      <vt:lpstr>Н2мол</vt:lpstr>
      <vt:lpstr>Н2Норм</vt:lpstr>
      <vt:lpstr>Н2Перес</vt:lpstr>
      <vt:lpstr>Н2Пересел</vt:lpstr>
      <vt:lpstr>Н2пож</vt:lpstr>
      <vt:lpstr>Н2пожар</vt:lpstr>
      <vt:lpstr>Н2пол</vt:lpstr>
      <vt:lpstr>Н2поощ</vt:lpstr>
      <vt:lpstr>Н2потенц</vt:lpstr>
      <vt:lpstr>Н2публ</vt:lpstr>
      <vt:lpstr>Н2сбал</vt:lpstr>
      <vt:lpstr>Н2софин</vt:lpstr>
      <vt:lpstr>Н2фун</vt:lpstr>
      <vt:lpstr>Н2фун1</vt:lpstr>
      <vt:lpstr>Н2ффп</vt:lpstr>
      <vt:lpstr>Н2цср</vt:lpstr>
      <vt:lpstr>Н2цср1</vt:lpstr>
      <vt:lpstr>Надох</vt:lpstr>
      <vt:lpstr>АдмДох!Область_печати</vt:lpstr>
      <vt:lpstr>АдмИст!Область_печати</vt:lpstr>
      <vt:lpstr>благоус!Область_печати</vt:lpstr>
      <vt:lpstr>'вед 20-21'!Область_печати</vt:lpstr>
      <vt:lpstr>Вед19!Область_печати</vt:lpstr>
      <vt:lpstr>ВУС!Область_печати</vt:lpstr>
      <vt:lpstr>Деф!Область_печати</vt:lpstr>
      <vt:lpstr>дороги!Область_печати</vt:lpstr>
      <vt:lpstr>'дороги кап'!Область_печати</vt:lpstr>
      <vt:lpstr>'Дох '!Область_печати</vt:lpstr>
      <vt:lpstr>Заим!Область_печати</vt:lpstr>
      <vt:lpstr>Молод!Область_печати</vt:lpstr>
      <vt:lpstr>'Муниц ЗП'!Область_печати</vt:lpstr>
      <vt:lpstr>'окл рег'!Область_печати</vt:lpstr>
      <vt:lpstr>пожарка!Область_печати</vt:lpstr>
      <vt:lpstr>Полн!Область_печати</vt:lpstr>
      <vt:lpstr>потенц!Область_печати</vt:lpstr>
      <vt:lpstr>Протоколы!Область_печати</vt:lpstr>
      <vt:lpstr>публ!Область_печати</vt:lpstr>
      <vt:lpstr>'рег вып'!Область_печати</vt:lpstr>
      <vt:lpstr>сбал!Область_печати</vt:lpstr>
      <vt:lpstr>ФФП!Область_печати</vt:lpstr>
      <vt:lpstr>'ЦСР 19'!Область_печати</vt:lpstr>
      <vt:lpstr>АдмДох!ПлПер</vt:lpstr>
      <vt:lpstr>ПлПер</vt:lpstr>
      <vt:lpstr>АдмДох!Р1дата</vt:lpstr>
      <vt:lpstr>Р1дата</vt:lpstr>
      <vt:lpstr>АдмДох!Р1номер</vt:lpstr>
      <vt:lpstr>Р1номер</vt:lpstr>
      <vt:lpstr>Р2дата</vt:lpstr>
      <vt:lpstr>Р2номер</vt:lpstr>
      <vt:lpstr>АдмДох!РзПз</vt:lpstr>
      <vt:lpstr>РзПз</vt:lpstr>
      <vt:lpstr>АдмДох!РзПзПлПер</vt:lpstr>
      <vt:lpstr>РзПзПлПер</vt:lpstr>
      <vt:lpstr>АдмДох!СумВед</vt:lpstr>
      <vt:lpstr>СумВед</vt:lpstr>
      <vt:lpstr>АдмДох!СумВед14</vt:lpstr>
      <vt:lpstr>СумВед14</vt:lpstr>
      <vt:lpstr>АдмДох!СумВед15</vt:lpstr>
      <vt:lpstr>СумВед15</vt:lpstr>
      <vt:lpstr>цср</vt:lpstr>
      <vt:lpstr>цср1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Adminn</dc:creator>
  <cp:lastModifiedBy>Userrfu</cp:lastModifiedBy>
  <cp:lastPrinted>2020-04-27T03:44:52Z</cp:lastPrinted>
  <dcterms:created xsi:type="dcterms:W3CDTF">2009-03-19T02:39:24Z</dcterms:created>
  <dcterms:modified xsi:type="dcterms:W3CDTF">2020-04-27T03:45:21Z</dcterms:modified>
</cp:coreProperties>
</file>